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watkins_150289_student_uwtsd_ac_uk/Documents/YEAR 3 UNI WORK/Alternative Powertrain/"/>
    </mc:Choice>
  </mc:AlternateContent>
  <xr:revisionPtr revIDLastSave="190" documentId="8_{E3E4A8C7-DE76-42AF-A0E4-EFA6F1AC7281}" xr6:coauthVersionLast="45" xr6:coauthVersionMax="45" xr10:uidLastSave="{B72780BF-7ABA-44D7-92DB-C61564402E1A}"/>
  <bookViews>
    <workbookView xWindow="-120" yWindow="-120" windowWidth="29040" windowHeight="15840" firstSheet="1" activeTab="2" xr2:uid="{00000000-000D-0000-FFFF-FFFF00000000}"/>
  </bookViews>
  <sheets>
    <sheet name="Per Sector" sheetId="1" r:id="rId1"/>
    <sheet name="Per Second" sheetId="6" r:id="rId2"/>
    <sheet name="With Motor" sheetId="8" r:id="rId3"/>
    <sheet name="Motor Conversion" sheetId="9" r:id="rId4"/>
    <sheet name="Distance Graphs (m)" sheetId="4" r:id="rId5"/>
    <sheet name="Time Graphs (s)" sheetId="2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S31" i="8" l="1"/>
  <c r="AS32" i="8"/>
  <c r="AS37" i="8"/>
  <c r="AS38" i="8"/>
  <c r="AS39" i="8"/>
  <c r="AS41" i="8"/>
  <c r="AS42" i="8"/>
  <c r="AS45" i="8"/>
  <c r="AS46" i="8"/>
  <c r="AS48" i="8"/>
  <c r="AS49" i="8"/>
  <c r="AS50" i="8"/>
  <c r="AS55" i="8"/>
  <c r="AS56" i="8"/>
  <c r="AS59" i="8"/>
  <c r="AS63" i="8"/>
  <c r="AS64" i="8"/>
  <c r="AS66" i="8"/>
  <c r="AS67" i="8"/>
  <c r="AS71" i="8"/>
  <c r="AS74" i="8"/>
  <c r="AS75" i="8"/>
  <c r="AS76" i="8"/>
  <c r="AS77" i="8"/>
  <c r="AS78" i="8"/>
  <c r="AS79" i="8"/>
  <c r="AS84" i="8"/>
  <c r="AS85" i="8"/>
  <c r="AS86" i="8"/>
  <c r="AS87" i="8"/>
  <c r="AS91" i="8"/>
  <c r="AS93" i="8"/>
  <c r="AS94" i="8"/>
  <c r="AS95" i="8"/>
  <c r="AS98" i="8"/>
  <c r="AS99" i="8"/>
  <c r="AS103" i="8"/>
  <c r="AS104" i="8"/>
  <c r="AS106" i="8"/>
  <c r="AS109" i="8"/>
  <c r="AS111" i="8"/>
  <c r="AS112" i="8"/>
  <c r="AS113" i="8"/>
  <c r="AS118" i="8"/>
  <c r="AS119" i="8"/>
  <c r="AS124" i="8"/>
  <c r="AS125" i="8"/>
  <c r="AS129" i="8"/>
  <c r="AS130" i="8"/>
  <c r="AS133" i="8"/>
  <c r="AS134" i="8"/>
  <c r="AS135" i="8"/>
  <c r="AS137" i="8"/>
  <c r="AS138" i="8"/>
  <c r="AS141" i="8"/>
  <c r="AS142" i="8"/>
  <c r="AS146" i="8"/>
  <c r="AS147" i="8"/>
  <c r="AS149" i="8"/>
  <c r="AS150" i="8"/>
  <c r="AS151" i="8"/>
  <c r="AS154" i="8"/>
  <c r="AS155" i="8"/>
  <c r="AS156" i="8"/>
  <c r="AS157" i="8"/>
  <c r="AS162" i="8"/>
  <c r="AS167" i="8"/>
  <c r="AS171" i="8"/>
  <c r="AS174" i="8"/>
  <c r="AS175" i="8"/>
  <c r="AS179" i="8"/>
  <c r="AS185" i="8"/>
  <c r="AS187" i="8"/>
  <c r="AS194" i="8"/>
  <c r="AS196" i="8"/>
  <c r="AS197" i="8"/>
  <c r="AS199" i="8"/>
  <c r="AS200" i="8"/>
  <c r="AS203" i="8"/>
  <c r="AS28" i="8"/>
  <c r="R6" i="6" l="1"/>
  <c r="R5" i="6"/>
  <c r="O6" i="6"/>
  <c r="O5" i="6"/>
  <c r="L5" i="6"/>
  <c r="L6" i="6" s="1"/>
  <c r="I6" i="6" l="1"/>
  <c r="I5" i="6"/>
  <c r="C35" i="9" l="1"/>
  <c r="F32" i="9"/>
  <c r="C32" i="9"/>
  <c r="C36" i="9" s="1"/>
  <c r="J30" i="9" s="1"/>
  <c r="F30" i="9"/>
  <c r="F36" i="9" s="1"/>
  <c r="J31" i="9" s="1"/>
  <c r="C30" i="9"/>
  <c r="L22" i="9"/>
  <c r="L25" i="9"/>
  <c r="L24" i="9"/>
  <c r="L23" i="9"/>
  <c r="L21" i="9"/>
  <c r="L12" i="9"/>
  <c r="J11" i="9"/>
  <c r="L11" i="9" s="1"/>
  <c r="L9" i="9"/>
  <c r="N41" i="8"/>
  <c r="N39" i="8"/>
  <c r="J49" i="8"/>
  <c r="J48" i="8"/>
  <c r="J53" i="8"/>
  <c r="J54" i="8"/>
  <c r="J63" i="8"/>
  <c r="G63" i="8"/>
  <c r="K40" i="8"/>
  <c r="N40" i="8" s="1"/>
  <c r="G54" i="8"/>
  <c r="G53" i="8"/>
  <c r="C47" i="6"/>
  <c r="G35" i="6"/>
  <c r="N28" i="6"/>
  <c r="L28" i="6" s="1"/>
  <c r="I28" i="6"/>
  <c r="G35" i="8"/>
  <c r="N28" i="8"/>
  <c r="L28" i="8" s="1"/>
  <c r="C47" i="8"/>
  <c r="I28" i="8"/>
  <c r="G28" i="8" s="1"/>
  <c r="I29" i="8" s="1"/>
  <c r="I30" i="8" s="1"/>
  <c r="G28" i="6" l="1"/>
  <c r="I29" i="6" s="1"/>
  <c r="G29" i="6" s="1"/>
  <c r="J14" i="9"/>
  <c r="F35" i="9"/>
  <c r="N29" i="8"/>
  <c r="L29" i="8" s="1"/>
  <c r="G29" i="8"/>
  <c r="G30" i="8" s="1"/>
  <c r="G32" i="8" s="1"/>
  <c r="N29" i="6"/>
  <c r="L29" i="6" s="1"/>
  <c r="AK205" i="8"/>
  <c r="AI205" i="8"/>
  <c r="AC205" i="8"/>
  <c r="AK204" i="8"/>
  <c r="AI204" i="8"/>
  <c r="AA204" i="8"/>
  <c r="AA203" i="8" s="1"/>
  <c r="AK203" i="8"/>
  <c r="AI203" i="8"/>
  <c r="V203" i="8"/>
  <c r="V204" i="8" s="1"/>
  <c r="AK202" i="8"/>
  <c r="AI202" i="8"/>
  <c r="AC202" i="8"/>
  <c r="AK201" i="8"/>
  <c r="AI201" i="8"/>
  <c r="AK200" i="8"/>
  <c r="AI200" i="8"/>
  <c r="AK199" i="8"/>
  <c r="AI199" i="8"/>
  <c r="AK198" i="8"/>
  <c r="AI198" i="8"/>
  <c r="AA198" i="8"/>
  <c r="AA201" i="8" s="1"/>
  <c r="V198" i="8"/>
  <c r="V200" i="8" s="1"/>
  <c r="AK197" i="8"/>
  <c r="AI197" i="8"/>
  <c r="AC197" i="8"/>
  <c r="AK196" i="8"/>
  <c r="AI196" i="8"/>
  <c r="AA196" i="8"/>
  <c r="AK195" i="8"/>
  <c r="AI195" i="8"/>
  <c r="AK194" i="8"/>
  <c r="AI194" i="8"/>
  <c r="AK193" i="8"/>
  <c r="AI193" i="8"/>
  <c r="V193" i="8"/>
  <c r="V196" i="8" s="1"/>
  <c r="AK192" i="8"/>
  <c r="AI192" i="8"/>
  <c r="AC192" i="8"/>
  <c r="AK191" i="8"/>
  <c r="AI191" i="8"/>
  <c r="AK190" i="8"/>
  <c r="AI190" i="8"/>
  <c r="AK189" i="8"/>
  <c r="AI189" i="8"/>
  <c r="AA189" i="8"/>
  <c r="AA190" i="8" s="1"/>
  <c r="V189" i="8"/>
  <c r="V191" i="8" s="1"/>
  <c r="AK188" i="8"/>
  <c r="AI188" i="8"/>
  <c r="AC188" i="8"/>
  <c r="AK187" i="8"/>
  <c r="AI187" i="8"/>
  <c r="AA187" i="8"/>
  <c r="AA186" i="8" s="1"/>
  <c r="AK186" i="8"/>
  <c r="AI186" i="8"/>
  <c r="V186" i="8"/>
  <c r="V187" i="8" s="1"/>
  <c r="AK185" i="8"/>
  <c r="AI185" i="8"/>
  <c r="AC185" i="8"/>
  <c r="AK184" i="8"/>
  <c r="AI184" i="8"/>
  <c r="AK183" i="8"/>
  <c r="AI183" i="8"/>
  <c r="AK182" i="8"/>
  <c r="AI182" i="8"/>
  <c r="AK181" i="8"/>
  <c r="AI181" i="8"/>
  <c r="AA181" i="8"/>
  <c r="AA183" i="8" s="1"/>
  <c r="V181" i="8"/>
  <c r="V182" i="8" s="1"/>
  <c r="AK180" i="8"/>
  <c r="AI180" i="8"/>
  <c r="AC180" i="8"/>
  <c r="AK179" i="8"/>
  <c r="AI179" i="8"/>
  <c r="AA179" i="8"/>
  <c r="AA178" i="8" s="1"/>
  <c r="AK178" i="8"/>
  <c r="AI178" i="8"/>
  <c r="AK177" i="8"/>
  <c r="AI177" i="8"/>
  <c r="V177" i="8"/>
  <c r="V178" i="8" s="1"/>
  <c r="AK176" i="8"/>
  <c r="AI176" i="8"/>
  <c r="AC176" i="8"/>
  <c r="AK175" i="8"/>
  <c r="AI175" i="8"/>
  <c r="AK174" i="8"/>
  <c r="AI174" i="8"/>
  <c r="AK173" i="8"/>
  <c r="AI173" i="8"/>
  <c r="AA173" i="8"/>
  <c r="AA174" i="8" s="1"/>
  <c r="V173" i="8"/>
  <c r="V174" i="8" s="1"/>
  <c r="AK172" i="8"/>
  <c r="AI172" i="8"/>
  <c r="AC172" i="8"/>
  <c r="AK171" i="8"/>
  <c r="AI171" i="8"/>
  <c r="AA171" i="8"/>
  <c r="AA170" i="8" s="1"/>
  <c r="AK170" i="8"/>
  <c r="AI170" i="8"/>
  <c r="V170" i="8"/>
  <c r="V171" i="8" s="1"/>
  <c r="AK169" i="8"/>
  <c r="AI169" i="8"/>
  <c r="AC169" i="8"/>
  <c r="AK168" i="8"/>
  <c r="AI168" i="8"/>
  <c r="AK167" i="8"/>
  <c r="AI167" i="8"/>
  <c r="AK166" i="8"/>
  <c r="AI166" i="8"/>
  <c r="AA166" i="8"/>
  <c r="AA167" i="8" s="1"/>
  <c r="V166" i="8"/>
  <c r="V168" i="8" s="1"/>
  <c r="AK165" i="8"/>
  <c r="AI165" i="8"/>
  <c r="AC165" i="8"/>
  <c r="AK164" i="8"/>
  <c r="AI164" i="8"/>
  <c r="AC164" i="8"/>
  <c r="AK163" i="8"/>
  <c r="AI163" i="8"/>
  <c r="AK162" i="8"/>
  <c r="AI162" i="8"/>
  <c r="AA162" i="8"/>
  <c r="AA163" i="8" s="1"/>
  <c r="V162" i="8"/>
  <c r="V163" i="8" s="1"/>
  <c r="AK161" i="8"/>
  <c r="AI161" i="8"/>
  <c r="AC161" i="8"/>
  <c r="AK160" i="8"/>
  <c r="AI160" i="8"/>
  <c r="AA160" i="8"/>
  <c r="AA159" i="8" s="1"/>
  <c r="AK159" i="8"/>
  <c r="AI159" i="8"/>
  <c r="AK158" i="8"/>
  <c r="AI158" i="8"/>
  <c r="AK157" i="8"/>
  <c r="AI157" i="8"/>
  <c r="AK156" i="8"/>
  <c r="AI156" i="8"/>
  <c r="V156" i="8"/>
  <c r="V159" i="8" s="1"/>
  <c r="AK155" i="8"/>
  <c r="AI155" i="8"/>
  <c r="AC155" i="8"/>
  <c r="AK154" i="8"/>
  <c r="AI154" i="8"/>
  <c r="AK153" i="8"/>
  <c r="AI153" i="8"/>
  <c r="AK152" i="8"/>
  <c r="AI152" i="8"/>
  <c r="AA152" i="8"/>
  <c r="AA153" i="8" s="1"/>
  <c r="V152" i="8"/>
  <c r="V153" i="8" s="1"/>
  <c r="AK151" i="8"/>
  <c r="AI151" i="8"/>
  <c r="AC151" i="8"/>
  <c r="AK150" i="8"/>
  <c r="AI150" i="8"/>
  <c r="AA150" i="8"/>
  <c r="AA149" i="8" s="1"/>
  <c r="AK149" i="8"/>
  <c r="AI149" i="8"/>
  <c r="V149" i="8"/>
  <c r="V150" i="8" s="1"/>
  <c r="AK148" i="8"/>
  <c r="AI148" i="8"/>
  <c r="AC148" i="8"/>
  <c r="AK147" i="8"/>
  <c r="AI147" i="8"/>
  <c r="AK146" i="8"/>
  <c r="AI146" i="8"/>
  <c r="AA146" i="8"/>
  <c r="AA147" i="8" s="1"/>
  <c r="V146" i="8"/>
  <c r="V147" i="8" s="1"/>
  <c r="AK145" i="8"/>
  <c r="AI145" i="8"/>
  <c r="AC145" i="8"/>
  <c r="AK144" i="8"/>
  <c r="AI144" i="8"/>
  <c r="AA144" i="8"/>
  <c r="AA143" i="8" s="1"/>
  <c r="AK143" i="8"/>
  <c r="AI143" i="8"/>
  <c r="AK142" i="8"/>
  <c r="AI142" i="8"/>
  <c r="AK141" i="8"/>
  <c r="AI141" i="8"/>
  <c r="V141" i="8"/>
  <c r="V142" i="8" s="1"/>
  <c r="AK140" i="8"/>
  <c r="AI140" i="8"/>
  <c r="AC140" i="8"/>
  <c r="AK139" i="8"/>
  <c r="AI139" i="8"/>
  <c r="AK138" i="8"/>
  <c r="AI138" i="8"/>
  <c r="AK137" i="8"/>
  <c r="AI137" i="8"/>
  <c r="AA137" i="8"/>
  <c r="AA138" i="8" s="1"/>
  <c r="V137" i="8"/>
  <c r="V138" i="8" s="1"/>
  <c r="AK136" i="8"/>
  <c r="AI136" i="8"/>
  <c r="AC136" i="8"/>
  <c r="AK135" i="8"/>
  <c r="AI135" i="8"/>
  <c r="AA135" i="8"/>
  <c r="AA134" i="8" s="1"/>
  <c r="AK134" i="8"/>
  <c r="AI134" i="8"/>
  <c r="AK133" i="8"/>
  <c r="AI133" i="8"/>
  <c r="AK132" i="8"/>
  <c r="AI132" i="8"/>
  <c r="AK131" i="8"/>
  <c r="AI131" i="8"/>
  <c r="V131" i="8"/>
  <c r="V132" i="8" s="1"/>
  <c r="AK130" i="8"/>
  <c r="AI130" i="8"/>
  <c r="AC130" i="8"/>
  <c r="AK129" i="8"/>
  <c r="AI129" i="8"/>
  <c r="AK128" i="8"/>
  <c r="AI128" i="8"/>
  <c r="AK127" i="8"/>
  <c r="AI127" i="8"/>
  <c r="AA127" i="8"/>
  <c r="AA128" i="8" s="1"/>
  <c r="V127" i="8"/>
  <c r="V128" i="8" s="1"/>
  <c r="AK126" i="8"/>
  <c r="AI126" i="8"/>
  <c r="AC126" i="8"/>
  <c r="AK125" i="8"/>
  <c r="AI125" i="8"/>
  <c r="AA125" i="8"/>
  <c r="AA124" i="8" s="1"/>
  <c r="AK124" i="8"/>
  <c r="AI124" i="8"/>
  <c r="AK123" i="8"/>
  <c r="AI123" i="8"/>
  <c r="AK122" i="8"/>
  <c r="AI122" i="8"/>
  <c r="AK121" i="8"/>
  <c r="AI121" i="8"/>
  <c r="V121" i="8"/>
  <c r="V124" i="8" s="1"/>
  <c r="AK120" i="8"/>
  <c r="AI120" i="8"/>
  <c r="AC120" i="8"/>
  <c r="AK119" i="8"/>
  <c r="AI119" i="8"/>
  <c r="AK118" i="8"/>
  <c r="AI118" i="8"/>
  <c r="AK117" i="8"/>
  <c r="AI117" i="8"/>
  <c r="AA117" i="8"/>
  <c r="AA118" i="8" s="1"/>
  <c r="V117" i="8"/>
  <c r="V118" i="8" s="1"/>
  <c r="AK116" i="8"/>
  <c r="AI116" i="8"/>
  <c r="AC116" i="8"/>
  <c r="X116" i="8"/>
  <c r="X120" i="8" s="1"/>
  <c r="X126" i="8" s="1"/>
  <c r="X130" i="8" s="1"/>
  <c r="X136" i="8" s="1"/>
  <c r="X140" i="8" s="1"/>
  <c r="X145" i="8" s="1"/>
  <c r="X148" i="8" s="1"/>
  <c r="X151" i="8" s="1"/>
  <c r="X155" i="8" s="1"/>
  <c r="X161" i="8" s="1"/>
  <c r="X164" i="8" s="1"/>
  <c r="X165" i="8" s="1"/>
  <c r="X169" i="8" s="1"/>
  <c r="X172" i="8" s="1"/>
  <c r="X176" i="8" s="1"/>
  <c r="X180" i="8" s="1"/>
  <c r="X185" i="8" s="1"/>
  <c r="X188" i="8" s="1"/>
  <c r="X192" i="8" s="1"/>
  <c r="X197" i="8" s="1"/>
  <c r="X202" i="8" s="1"/>
  <c r="X205" i="8" s="1"/>
  <c r="AK115" i="8"/>
  <c r="AI115" i="8"/>
  <c r="AA115" i="8"/>
  <c r="AA111" i="8" s="1"/>
  <c r="AK114" i="8"/>
  <c r="AI114" i="8"/>
  <c r="AK113" i="8"/>
  <c r="AI113" i="8"/>
  <c r="AK112" i="8"/>
  <c r="AI112" i="8"/>
  <c r="AK111" i="8"/>
  <c r="AI111" i="8"/>
  <c r="AK110" i="8"/>
  <c r="AI110" i="8"/>
  <c r="V110" i="8"/>
  <c r="V115" i="8" s="1"/>
  <c r="AK109" i="8"/>
  <c r="AI109" i="8"/>
  <c r="AC109" i="8"/>
  <c r="AK108" i="8"/>
  <c r="AI108" i="8"/>
  <c r="AK107" i="8"/>
  <c r="AI107" i="8"/>
  <c r="AK106" i="8"/>
  <c r="AI106" i="8"/>
  <c r="V106" i="8"/>
  <c r="AK105" i="8"/>
  <c r="AI105" i="8"/>
  <c r="AC105" i="8"/>
  <c r="AK104" i="8"/>
  <c r="AI104" i="8"/>
  <c r="AA104" i="8"/>
  <c r="AA103" i="8" s="1"/>
  <c r="AA102" i="8" s="1"/>
  <c r="AK103" i="8"/>
  <c r="AI103" i="8"/>
  <c r="AK102" i="8"/>
  <c r="AI102" i="8"/>
  <c r="AK101" i="8"/>
  <c r="AI101" i="8"/>
  <c r="V101" i="8"/>
  <c r="V104" i="8" s="1"/>
  <c r="AK100" i="8"/>
  <c r="AI100" i="8"/>
  <c r="AC100" i="8"/>
  <c r="AK99" i="8"/>
  <c r="AI99" i="8"/>
  <c r="AK98" i="8"/>
  <c r="AI98" i="8"/>
  <c r="AK97" i="8"/>
  <c r="AI97" i="8"/>
  <c r="AA97" i="8"/>
  <c r="AA99" i="8" s="1"/>
  <c r="V97" i="8"/>
  <c r="V98" i="8" s="1"/>
  <c r="AK96" i="8"/>
  <c r="AI96" i="8"/>
  <c r="AC96" i="8"/>
  <c r="AK95" i="8"/>
  <c r="AI95" i="8"/>
  <c r="AA95" i="8"/>
  <c r="AA94" i="8" s="1"/>
  <c r="AK94" i="8"/>
  <c r="AI94" i="8"/>
  <c r="AK93" i="8"/>
  <c r="AI93" i="8"/>
  <c r="AK92" i="8"/>
  <c r="AI92" i="8"/>
  <c r="V92" i="8"/>
  <c r="V93" i="8" s="1"/>
  <c r="AK91" i="8"/>
  <c r="AI91" i="8"/>
  <c r="AC91" i="8"/>
  <c r="AK90" i="8"/>
  <c r="AI90" i="8"/>
  <c r="AK89" i="8"/>
  <c r="AI89" i="8"/>
  <c r="AA89" i="8"/>
  <c r="AA90" i="8" s="1"/>
  <c r="V89" i="8"/>
  <c r="V90" i="8" s="1"/>
  <c r="AK88" i="8"/>
  <c r="AI88" i="8"/>
  <c r="AC88" i="8"/>
  <c r="AK87" i="8"/>
  <c r="AI87" i="8"/>
  <c r="AA87" i="8"/>
  <c r="AA86" i="8" s="1"/>
  <c r="V87" i="8"/>
  <c r="AK86" i="8"/>
  <c r="AI86" i="8"/>
  <c r="V86" i="8"/>
  <c r="AK85" i="8"/>
  <c r="AI85" i="8"/>
  <c r="V85" i="8"/>
  <c r="AK84" i="8"/>
  <c r="AI84" i="8"/>
  <c r="V84" i="8"/>
  <c r="AK83" i="8"/>
  <c r="AI83" i="8"/>
  <c r="V83" i="8"/>
  <c r="AK82" i="8"/>
  <c r="AI82" i="8"/>
  <c r="AK81" i="8"/>
  <c r="AI81" i="8"/>
  <c r="AC81" i="8"/>
  <c r="AK80" i="8"/>
  <c r="AI80" i="8"/>
  <c r="AK79" i="8"/>
  <c r="AI79" i="8"/>
  <c r="AK78" i="8"/>
  <c r="AI78" i="8"/>
  <c r="AK77" i="8"/>
  <c r="AI77" i="8"/>
  <c r="AA77" i="8"/>
  <c r="AK76" i="8"/>
  <c r="AI76" i="8"/>
  <c r="AC76" i="8"/>
  <c r="AK75" i="8"/>
  <c r="AI75" i="8"/>
  <c r="AA75" i="8"/>
  <c r="AA74" i="8" s="1"/>
  <c r="AK74" i="8"/>
  <c r="AI74" i="8"/>
  <c r="AK73" i="8"/>
  <c r="AI73" i="8"/>
  <c r="AK72" i="8"/>
  <c r="AI72" i="8"/>
  <c r="AK71" i="8"/>
  <c r="AI71" i="8"/>
  <c r="AC71" i="8"/>
  <c r="AK70" i="8"/>
  <c r="AI70" i="8"/>
  <c r="AK69" i="8"/>
  <c r="AI69" i="8"/>
  <c r="AK68" i="8"/>
  <c r="AI68" i="8"/>
  <c r="AK67" i="8"/>
  <c r="AI67" i="8"/>
  <c r="AK66" i="8"/>
  <c r="AI66" i="8"/>
  <c r="AA66" i="8"/>
  <c r="AA69" i="8" s="1"/>
  <c r="AK65" i="8"/>
  <c r="AI65" i="8"/>
  <c r="AC65" i="8"/>
  <c r="AK64" i="8"/>
  <c r="AI64" i="8"/>
  <c r="AA64" i="8"/>
  <c r="AA59" i="8" s="1"/>
  <c r="AK63" i="8"/>
  <c r="AI63" i="8"/>
  <c r="AK62" i="8"/>
  <c r="AI62" i="8"/>
  <c r="AK61" i="8"/>
  <c r="AI61" i="8"/>
  <c r="AK60" i="8"/>
  <c r="AI60" i="8"/>
  <c r="AK59" i="8"/>
  <c r="AI59" i="8"/>
  <c r="AK58" i="8"/>
  <c r="AI58" i="8"/>
  <c r="AC58" i="8"/>
  <c r="AK57" i="8"/>
  <c r="AI57" i="8"/>
  <c r="AK56" i="8"/>
  <c r="AI56" i="8"/>
  <c r="AK55" i="8"/>
  <c r="AI55" i="8"/>
  <c r="AK54" i="8"/>
  <c r="AI54" i="8"/>
  <c r="AA54" i="8"/>
  <c r="AA57" i="8" s="1"/>
  <c r="AK53" i="8"/>
  <c r="AI53" i="8"/>
  <c r="AC53" i="8"/>
  <c r="AK52" i="8"/>
  <c r="AI52" i="8"/>
  <c r="AA52" i="8"/>
  <c r="AA49" i="8" s="1"/>
  <c r="AK51" i="8"/>
  <c r="AI51" i="8"/>
  <c r="AK50" i="8"/>
  <c r="AI50" i="8"/>
  <c r="AK49" i="8"/>
  <c r="AI49" i="8"/>
  <c r="AK48" i="8"/>
  <c r="AI48" i="8"/>
  <c r="AK47" i="8"/>
  <c r="AI47" i="8"/>
  <c r="AK46" i="8"/>
  <c r="AI46" i="8"/>
  <c r="AC46" i="8"/>
  <c r="AK45" i="8"/>
  <c r="AI45" i="8"/>
  <c r="AK44" i="8"/>
  <c r="AI44" i="8"/>
  <c r="AK43" i="8"/>
  <c r="AI43" i="8"/>
  <c r="AK42" i="8"/>
  <c r="AI42" i="8"/>
  <c r="AK41" i="8"/>
  <c r="AI41" i="8"/>
  <c r="AA41" i="8"/>
  <c r="AA45" i="8" s="1"/>
  <c r="AK40" i="8"/>
  <c r="AI40" i="8"/>
  <c r="AC40" i="8"/>
  <c r="AK39" i="8"/>
  <c r="AI39" i="8"/>
  <c r="AA39" i="8"/>
  <c r="AA38" i="8" s="1"/>
  <c r="C39" i="8"/>
  <c r="C40" i="8" s="1"/>
  <c r="C41" i="8" s="1"/>
  <c r="C42" i="8" s="1"/>
  <c r="AK38" i="8"/>
  <c r="AI38" i="8"/>
  <c r="AK37" i="8"/>
  <c r="AI37" i="8"/>
  <c r="C37" i="8"/>
  <c r="AK36" i="8"/>
  <c r="AI36" i="8"/>
  <c r="C36" i="8"/>
  <c r="AK35" i="8"/>
  <c r="AI35" i="8"/>
  <c r="AK34" i="8"/>
  <c r="AI34" i="8"/>
  <c r="AK33" i="8"/>
  <c r="AI33" i="8"/>
  <c r="AK32" i="8"/>
  <c r="AI32" i="8"/>
  <c r="AK31" i="8"/>
  <c r="AI31" i="8"/>
  <c r="AC31" i="8"/>
  <c r="AI30" i="8"/>
  <c r="Z30" i="8"/>
  <c r="AK30" i="8" s="1"/>
  <c r="AI29" i="8"/>
  <c r="Z29" i="8"/>
  <c r="AK29" i="8" s="1"/>
  <c r="AK28" i="8"/>
  <c r="AI28" i="8"/>
  <c r="AK27" i="8"/>
  <c r="AI27" i="8"/>
  <c r="AC27" i="8"/>
  <c r="AB27" i="8"/>
  <c r="AB28" i="8" s="1"/>
  <c r="W27" i="8"/>
  <c r="W31" i="8" s="1"/>
  <c r="AK26" i="8"/>
  <c r="AI26" i="8"/>
  <c r="W26" i="8"/>
  <c r="AK25" i="8"/>
  <c r="AI25" i="8"/>
  <c r="W25" i="8"/>
  <c r="AK24" i="8"/>
  <c r="AI24" i="8"/>
  <c r="W24" i="8"/>
  <c r="AK23" i="8"/>
  <c r="AI23" i="8"/>
  <c r="W23" i="8"/>
  <c r="AI22" i="8"/>
  <c r="AM22" i="8" s="1"/>
  <c r="AN22" i="8" s="1"/>
  <c r="AO22" i="8" s="1"/>
  <c r="AG22" i="8"/>
  <c r="X22" i="8"/>
  <c r="X27" i="8" s="1"/>
  <c r="X31" i="8" s="1"/>
  <c r="X40" i="8" s="1"/>
  <c r="X46" i="8" s="1"/>
  <c r="X53" i="8" s="1"/>
  <c r="X58" i="8" s="1"/>
  <c r="X65" i="8" s="1"/>
  <c r="X71" i="8" s="1"/>
  <c r="X76" i="8" s="1"/>
  <c r="X81" i="8" s="1"/>
  <c r="X88" i="8" s="1"/>
  <c r="X91" i="8" s="1"/>
  <c r="X96" i="8" s="1"/>
  <c r="X100" i="8" s="1"/>
  <c r="X105" i="8" s="1"/>
  <c r="C18" i="8"/>
  <c r="F14" i="8"/>
  <c r="F11" i="8"/>
  <c r="C39" i="6"/>
  <c r="C40" i="6" s="1"/>
  <c r="C41" i="6" s="1"/>
  <c r="C42" i="6" s="1"/>
  <c r="AI22" i="6"/>
  <c r="AM22" i="6" s="1"/>
  <c r="C37" i="6"/>
  <c r="C36" i="6"/>
  <c r="AI30" i="6"/>
  <c r="AI31" i="6"/>
  <c r="AI32" i="6"/>
  <c r="AI33" i="6"/>
  <c r="AI34" i="6"/>
  <c r="AI35" i="6"/>
  <c r="AI36" i="6"/>
  <c r="AI37" i="6"/>
  <c r="AI38" i="6"/>
  <c r="AI39" i="6"/>
  <c r="AI40" i="6"/>
  <c r="AI41" i="6"/>
  <c r="AI42" i="6"/>
  <c r="AI43" i="6"/>
  <c r="AI44" i="6"/>
  <c r="AI45" i="6"/>
  <c r="AI46" i="6"/>
  <c r="AI47" i="6"/>
  <c r="AI48" i="6"/>
  <c r="AI49" i="6"/>
  <c r="AI50" i="6"/>
  <c r="AI51" i="6"/>
  <c r="AI52" i="6"/>
  <c r="AI53" i="6"/>
  <c r="AI54" i="6"/>
  <c r="AI55" i="6"/>
  <c r="AI56" i="6"/>
  <c r="AI57" i="6"/>
  <c r="AI58" i="6"/>
  <c r="AI59" i="6"/>
  <c r="AI60" i="6"/>
  <c r="AI61" i="6"/>
  <c r="AI62" i="6"/>
  <c r="AI63" i="6"/>
  <c r="AI64" i="6"/>
  <c r="AI65" i="6"/>
  <c r="AI66" i="6"/>
  <c r="AI67" i="6"/>
  <c r="AI68" i="6"/>
  <c r="AI69" i="6"/>
  <c r="AI70" i="6"/>
  <c r="AI71" i="6"/>
  <c r="AI72" i="6"/>
  <c r="AI73" i="6"/>
  <c r="AI74" i="6"/>
  <c r="AI75" i="6"/>
  <c r="AI76" i="6"/>
  <c r="AI77" i="6"/>
  <c r="AI78" i="6"/>
  <c r="AI79" i="6"/>
  <c r="AI80" i="6"/>
  <c r="AI81" i="6"/>
  <c r="AI82" i="6"/>
  <c r="AI83" i="6"/>
  <c r="AI84" i="6"/>
  <c r="AI85" i="6"/>
  <c r="AI86" i="6"/>
  <c r="AI87" i="6"/>
  <c r="AI88" i="6"/>
  <c r="AI89" i="6"/>
  <c r="AI90" i="6"/>
  <c r="AI91" i="6"/>
  <c r="AI92" i="6"/>
  <c r="AI93" i="6"/>
  <c r="AI94" i="6"/>
  <c r="AI95" i="6"/>
  <c r="AI96" i="6"/>
  <c r="AI97" i="6"/>
  <c r="AI98" i="6"/>
  <c r="AI99" i="6"/>
  <c r="AI100" i="6"/>
  <c r="AI101" i="6"/>
  <c r="AI102" i="6"/>
  <c r="AI103" i="6"/>
  <c r="AI104" i="6"/>
  <c r="AI105" i="6"/>
  <c r="AI106" i="6"/>
  <c r="AI107" i="6"/>
  <c r="AI108" i="6"/>
  <c r="AI109" i="6"/>
  <c r="AI110" i="6"/>
  <c r="AI111" i="6"/>
  <c r="AI112" i="6"/>
  <c r="AI113" i="6"/>
  <c r="AI114" i="6"/>
  <c r="AI115" i="6"/>
  <c r="AI116" i="6"/>
  <c r="AI117" i="6"/>
  <c r="AI118" i="6"/>
  <c r="AI119" i="6"/>
  <c r="AI120" i="6"/>
  <c r="AI121" i="6"/>
  <c r="AI122" i="6"/>
  <c r="AI123" i="6"/>
  <c r="AI124" i="6"/>
  <c r="AI125" i="6"/>
  <c r="AI126" i="6"/>
  <c r="AI127" i="6"/>
  <c r="AI128" i="6"/>
  <c r="AI129" i="6"/>
  <c r="AI130" i="6"/>
  <c r="AI131" i="6"/>
  <c r="AI132" i="6"/>
  <c r="AI133" i="6"/>
  <c r="AI134" i="6"/>
  <c r="AI135" i="6"/>
  <c r="AI136" i="6"/>
  <c r="AI137" i="6"/>
  <c r="AI138" i="6"/>
  <c r="AI139" i="6"/>
  <c r="AI140" i="6"/>
  <c r="AI141" i="6"/>
  <c r="AI142" i="6"/>
  <c r="AI143" i="6"/>
  <c r="AI144" i="6"/>
  <c r="AI145" i="6"/>
  <c r="AI146" i="6"/>
  <c r="AI147" i="6"/>
  <c r="AI148" i="6"/>
  <c r="AI149" i="6"/>
  <c r="AI150" i="6"/>
  <c r="AI151" i="6"/>
  <c r="AI152" i="6"/>
  <c r="AI153" i="6"/>
  <c r="AI154" i="6"/>
  <c r="AI155" i="6"/>
  <c r="AI156" i="6"/>
  <c r="AI157" i="6"/>
  <c r="AI158" i="6"/>
  <c r="AI159" i="6"/>
  <c r="AI160" i="6"/>
  <c r="AI161" i="6"/>
  <c r="AI162" i="6"/>
  <c r="AI163" i="6"/>
  <c r="AI164" i="6"/>
  <c r="AI165" i="6"/>
  <c r="AI166" i="6"/>
  <c r="AI167" i="6"/>
  <c r="AI168" i="6"/>
  <c r="AI169" i="6"/>
  <c r="AI170" i="6"/>
  <c r="AI171" i="6"/>
  <c r="AI172" i="6"/>
  <c r="AI173" i="6"/>
  <c r="AI174" i="6"/>
  <c r="AI175" i="6"/>
  <c r="AI176" i="6"/>
  <c r="AI177" i="6"/>
  <c r="AI178" i="6"/>
  <c r="AI179" i="6"/>
  <c r="AI180" i="6"/>
  <c r="AI181" i="6"/>
  <c r="AI182" i="6"/>
  <c r="AI183" i="6"/>
  <c r="AI184" i="6"/>
  <c r="AI185" i="6"/>
  <c r="AI186" i="6"/>
  <c r="AI187" i="6"/>
  <c r="AI188" i="6"/>
  <c r="AI189" i="6"/>
  <c r="AI190" i="6"/>
  <c r="AI191" i="6"/>
  <c r="AI192" i="6"/>
  <c r="AI193" i="6"/>
  <c r="AI194" i="6"/>
  <c r="AI195" i="6"/>
  <c r="AI196" i="6"/>
  <c r="AI197" i="6"/>
  <c r="AI198" i="6"/>
  <c r="AI199" i="6"/>
  <c r="AI200" i="6"/>
  <c r="AI201" i="6"/>
  <c r="AI202" i="6"/>
  <c r="AI203" i="6"/>
  <c r="AI204" i="6"/>
  <c r="AI205" i="6"/>
  <c r="AI23" i="6"/>
  <c r="AI24" i="6"/>
  <c r="AI25" i="6"/>
  <c r="AI26" i="6"/>
  <c r="AI27" i="6"/>
  <c r="AI28" i="6"/>
  <c r="AI29" i="6"/>
  <c r="AK23" i="6"/>
  <c r="AK24" i="6"/>
  <c r="AK25" i="6"/>
  <c r="AK26" i="6"/>
  <c r="AK27" i="6"/>
  <c r="AK31" i="6"/>
  <c r="AK32" i="6"/>
  <c r="AK33" i="6"/>
  <c r="AK34" i="6"/>
  <c r="AK35" i="6"/>
  <c r="AK36" i="6"/>
  <c r="AK37" i="6"/>
  <c r="AK38" i="6"/>
  <c r="AK39" i="6"/>
  <c r="AK40" i="6"/>
  <c r="AK41" i="6"/>
  <c r="AK42" i="6"/>
  <c r="AK43" i="6"/>
  <c r="AK44" i="6"/>
  <c r="AK45" i="6"/>
  <c r="AK46" i="6"/>
  <c r="AK47" i="6"/>
  <c r="AK48" i="6"/>
  <c r="AK49" i="6"/>
  <c r="AK50" i="6"/>
  <c r="AK51" i="6"/>
  <c r="AK52" i="6"/>
  <c r="AK53" i="6"/>
  <c r="AK54" i="6"/>
  <c r="AK55" i="6"/>
  <c r="AK56" i="6"/>
  <c r="AK57" i="6"/>
  <c r="AK58" i="6"/>
  <c r="AK59" i="6"/>
  <c r="AK60" i="6"/>
  <c r="AK61" i="6"/>
  <c r="AK62" i="6"/>
  <c r="AK63" i="6"/>
  <c r="AK64" i="6"/>
  <c r="AK65" i="6"/>
  <c r="AK66" i="6"/>
  <c r="AK67" i="6"/>
  <c r="AK68" i="6"/>
  <c r="AK69" i="6"/>
  <c r="AK70" i="6"/>
  <c r="AK71" i="6"/>
  <c r="AK72" i="6"/>
  <c r="AK73" i="6"/>
  <c r="AK74" i="6"/>
  <c r="AK75" i="6"/>
  <c r="AK76" i="6"/>
  <c r="AK77" i="6"/>
  <c r="AK78" i="6"/>
  <c r="AK79" i="6"/>
  <c r="AK80" i="6"/>
  <c r="AK81" i="6"/>
  <c r="AK82" i="6"/>
  <c r="AK83" i="6"/>
  <c r="AK84" i="6"/>
  <c r="AK85" i="6"/>
  <c r="AK86" i="6"/>
  <c r="AK87" i="6"/>
  <c r="AK88" i="6"/>
  <c r="AK89" i="6"/>
  <c r="AK90" i="6"/>
  <c r="AK91" i="6"/>
  <c r="AK92" i="6"/>
  <c r="AK93" i="6"/>
  <c r="AK94" i="6"/>
  <c r="AK95" i="6"/>
  <c r="AK96" i="6"/>
  <c r="AK97" i="6"/>
  <c r="AK98" i="6"/>
  <c r="AK99" i="6"/>
  <c r="AK100" i="6"/>
  <c r="AK101" i="6"/>
  <c r="AK102" i="6"/>
  <c r="AK103" i="6"/>
  <c r="AK104" i="6"/>
  <c r="AK105" i="6"/>
  <c r="AK106" i="6"/>
  <c r="AK107" i="6"/>
  <c r="AK108" i="6"/>
  <c r="AK109" i="6"/>
  <c r="AK110" i="6"/>
  <c r="AK111" i="6"/>
  <c r="AK112" i="6"/>
  <c r="AK113" i="6"/>
  <c r="AK114" i="6"/>
  <c r="AK115" i="6"/>
  <c r="AK116" i="6"/>
  <c r="AK117" i="6"/>
  <c r="AK118" i="6"/>
  <c r="AK119" i="6"/>
  <c r="AK120" i="6"/>
  <c r="AK121" i="6"/>
  <c r="AK122" i="6"/>
  <c r="AK123" i="6"/>
  <c r="AK124" i="6"/>
  <c r="AK125" i="6"/>
  <c r="AK126" i="6"/>
  <c r="AK127" i="6"/>
  <c r="AK128" i="6"/>
  <c r="AK129" i="6"/>
  <c r="AK130" i="6"/>
  <c r="AK131" i="6"/>
  <c r="AK132" i="6"/>
  <c r="AK133" i="6"/>
  <c r="AK134" i="6"/>
  <c r="AK135" i="6"/>
  <c r="AK136" i="6"/>
  <c r="AK137" i="6"/>
  <c r="AK138" i="6"/>
  <c r="AK139" i="6"/>
  <c r="AK140" i="6"/>
  <c r="AK141" i="6"/>
  <c r="AK142" i="6"/>
  <c r="AK143" i="6"/>
  <c r="AK144" i="6"/>
  <c r="AK145" i="6"/>
  <c r="AK146" i="6"/>
  <c r="AK147" i="6"/>
  <c r="AK148" i="6"/>
  <c r="AK149" i="6"/>
  <c r="AK150" i="6"/>
  <c r="AK151" i="6"/>
  <c r="AK152" i="6"/>
  <c r="AK153" i="6"/>
  <c r="AK154" i="6"/>
  <c r="AK155" i="6"/>
  <c r="AK156" i="6"/>
  <c r="AK157" i="6"/>
  <c r="AK158" i="6"/>
  <c r="AK159" i="6"/>
  <c r="AK160" i="6"/>
  <c r="AK161" i="6"/>
  <c r="AK162" i="6"/>
  <c r="AK163" i="6"/>
  <c r="AK164" i="6"/>
  <c r="AK165" i="6"/>
  <c r="AK166" i="6"/>
  <c r="AK167" i="6"/>
  <c r="AK168" i="6"/>
  <c r="AK169" i="6"/>
  <c r="AK170" i="6"/>
  <c r="AK171" i="6"/>
  <c r="AK172" i="6"/>
  <c r="AK173" i="6"/>
  <c r="AK174" i="6"/>
  <c r="AK175" i="6"/>
  <c r="AK176" i="6"/>
  <c r="AK177" i="6"/>
  <c r="AK178" i="6"/>
  <c r="AK179" i="6"/>
  <c r="AK180" i="6"/>
  <c r="AK181" i="6"/>
  <c r="AK182" i="6"/>
  <c r="AK183" i="6"/>
  <c r="AK184" i="6"/>
  <c r="AK185" i="6"/>
  <c r="AK186" i="6"/>
  <c r="AK187" i="6"/>
  <c r="AK188" i="6"/>
  <c r="AK189" i="6"/>
  <c r="AK190" i="6"/>
  <c r="AK191" i="6"/>
  <c r="AK192" i="6"/>
  <c r="AK193" i="6"/>
  <c r="AK194" i="6"/>
  <c r="AK195" i="6"/>
  <c r="AK196" i="6"/>
  <c r="AK197" i="6"/>
  <c r="AK198" i="6"/>
  <c r="AK199" i="6"/>
  <c r="AK200" i="6"/>
  <c r="AK201" i="6"/>
  <c r="AK202" i="6"/>
  <c r="AK203" i="6"/>
  <c r="AK204" i="6"/>
  <c r="AK205" i="6"/>
  <c r="AK28" i="6"/>
  <c r="G30" i="6" l="1"/>
  <c r="G32" i="6" s="1"/>
  <c r="I30" i="6"/>
  <c r="C48" i="6"/>
  <c r="AA122" i="8"/>
  <c r="AD54" i="8"/>
  <c r="AE54" i="8" s="1"/>
  <c r="AC54" i="8" s="1"/>
  <c r="AF54" i="8" s="1"/>
  <c r="AG54" i="8" s="1"/>
  <c r="AA141" i="8"/>
  <c r="AJ40" i="8"/>
  <c r="AB29" i="8"/>
  <c r="AA123" i="8"/>
  <c r="AA156" i="8"/>
  <c r="AA132" i="8"/>
  <c r="AA72" i="8"/>
  <c r="AA92" i="8"/>
  <c r="AA101" i="8"/>
  <c r="AA131" i="8"/>
  <c r="AD127" i="8"/>
  <c r="AE127" i="8" s="1"/>
  <c r="AC127" i="8" s="1"/>
  <c r="AC128" i="8" s="1"/>
  <c r="AJ128" i="8" s="1"/>
  <c r="AM128" i="8" s="1"/>
  <c r="AD66" i="8"/>
  <c r="AE66" i="8" s="1"/>
  <c r="AC66" i="8" s="1"/>
  <c r="AC67" i="8" s="1"/>
  <c r="AJ67" i="8" s="1"/>
  <c r="AM67" i="8" s="1"/>
  <c r="AD97" i="8"/>
  <c r="AE97" i="8" s="1"/>
  <c r="AC97" i="8" s="1"/>
  <c r="AC98" i="8" s="1"/>
  <c r="AJ98" i="8" s="1"/>
  <c r="AM98" i="8" s="1"/>
  <c r="AD110" i="8"/>
  <c r="AE110" i="8" s="1"/>
  <c r="AC110" i="8" s="1"/>
  <c r="AJ110" i="8" s="1"/>
  <c r="AM110" i="8" s="1"/>
  <c r="AA121" i="8"/>
  <c r="V154" i="8"/>
  <c r="AD203" i="8"/>
  <c r="AE203" i="8" s="1"/>
  <c r="AD41" i="8"/>
  <c r="AE41" i="8" s="1"/>
  <c r="AC41" i="8" s="1"/>
  <c r="AA56" i="8"/>
  <c r="AD59" i="8"/>
  <c r="AE59" i="8" s="1"/>
  <c r="AA157" i="8"/>
  <c r="AD198" i="8"/>
  <c r="AE198" i="8" s="1"/>
  <c r="AC198" i="8" s="1"/>
  <c r="AA34" i="8"/>
  <c r="AD156" i="8"/>
  <c r="AE156" i="8" s="1"/>
  <c r="AC156" i="8" s="1"/>
  <c r="AJ156" i="8" s="1"/>
  <c r="AM156" i="8" s="1"/>
  <c r="AA93" i="8"/>
  <c r="AD92" i="8"/>
  <c r="AE92" i="8" s="1"/>
  <c r="AC92" i="8" s="1"/>
  <c r="AJ92" i="8" s="1"/>
  <c r="AM92" i="8" s="1"/>
  <c r="AA133" i="8"/>
  <c r="AA177" i="8"/>
  <c r="AD141" i="8"/>
  <c r="AE141" i="8" s="1"/>
  <c r="AC141" i="8" s="1"/>
  <c r="AJ141" i="8" s="1"/>
  <c r="AM141" i="8" s="1"/>
  <c r="AA48" i="8"/>
  <c r="AA82" i="8"/>
  <c r="AA73" i="8"/>
  <c r="AD72" i="8"/>
  <c r="AE72" i="8" s="1"/>
  <c r="AC72" i="8" s="1"/>
  <c r="AJ72" i="8" s="1"/>
  <c r="AM72" i="8" s="1"/>
  <c r="AA110" i="8"/>
  <c r="V123" i="8"/>
  <c r="V139" i="8"/>
  <c r="AD181" i="8"/>
  <c r="AE181" i="8" s="1"/>
  <c r="AC181" i="8" s="1"/>
  <c r="AD101" i="8"/>
  <c r="AE101" i="8" s="1"/>
  <c r="AC101" i="8" s="1"/>
  <c r="AC102" i="8" s="1"/>
  <c r="AJ102" i="8" s="1"/>
  <c r="AM102" i="8" s="1"/>
  <c r="AA83" i="8"/>
  <c r="AA85" i="8"/>
  <c r="V114" i="8"/>
  <c r="V119" i="8"/>
  <c r="AA158" i="8"/>
  <c r="AA98" i="8"/>
  <c r="AA51" i="8"/>
  <c r="AD89" i="8"/>
  <c r="AE89" i="8" s="1"/>
  <c r="AC89" i="8" s="1"/>
  <c r="AF89" i="8" s="1"/>
  <c r="AG89" i="8" s="1"/>
  <c r="AD173" i="8"/>
  <c r="AE173" i="8" s="1"/>
  <c r="AC173" i="8" s="1"/>
  <c r="AA84" i="8"/>
  <c r="AD131" i="8"/>
  <c r="AE131" i="8" s="1"/>
  <c r="AC131" i="8" s="1"/>
  <c r="AJ131" i="8" s="1"/>
  <c r="AM131" i="8" s="1"/>
  <c r="AF165" i="8"/>
  <c r="AG165" i="8" s="1"/>
  <c r="N30" i="8"/>
  <c r="L30" i="8" s="1"/>
  <c r="L32" i="8" s="1"/>
  <c r="L34" i="8" s="1"/>
  <c r="AA32" i="8"/>
  <c r="AA68" i="8"/>
  <c r="AD32" i="8"/>
  <c r="AE32" i="8" s="1"/>
  <c r="AC32" i="8" s="1"/>
  <c r="AJ96" i="8"/>
  <c r="AM96" i="8" s="1"/>
  <c r="AA129" i="8"/>
  <c r="C48" i="8"/>
  <c r="AM40" i="8"/>
  <c r="AA55" i="8"/>
  <c r="AC59" i="8"/>
  <c r="AF59" i="8" s="1"/>
  <c r="AG59" i="8" s="1"/>
  <c r="V99" i="8"/>
  <c r="V112" i="8"/>
  <c r="AA142" i="8"/>
  <c r="AD165" i="8"/>
  <c r="V195" i="8"/>
  <c r="AB31" i="8"/>
  <c r="AA36" i="8"/>
  <c r="AA67" i="8"/>
  <c r="AA70" i="8"/>
  <c r="N30" i="6"/>
  <c r="L30" i="6" s="1"/>
  <c r="L32" i="6" s="1"/>
  <c r="L34" i="6" s="1"/>
  <c r="W37" i="8"/>
  <c r="W34" i="8"/>
  <c r="W38" i="8"/>
  <c r="W35" i="8"/>
  <c r="W39" i="8"/>
  <c r="W36" i="8"/>
  <c r="W32" i="8"/>
  <c r="W40" i="8"/>
  <c r="W33" i="8"/>
  <c r="W30" i="8"/>
  <c r="AA78" i="8"/>
  <c r="AA79" i="8"/>
  <c r="AA80" i="8"/>
  <c r="AA37" i="8"/>
  <c r="AA47" i="8"/>
  <c r="V108" i="8"/>
  <c r="V107" i="8"/>
  <c r="AD28" i="8"/>
  <c r="AE28" i="8" s="1"/>
  <c r="AC28" i="8" s="1"/>
  <c r="AB30" i="8"/>
  <c r="AA33" i="8"/>
  <c r="AA44" i="8"/>
  <c r="AJ46" i="8"/>
  <c r="AM46" i="8" s="1"/>
  <c r="AA50" i="8"/>
  <c r="W29" i="8"/>
  <c r="AJ58" i="8"/>
  <c r="AM58" i="8" s="1"/>
  <c r="AJ31" i="8"/>
  <c r="AM31" i="8" s="1"/>
  <c r="AD47" i="8"/>
  <c r="AE47" i="8" s="1"/>
  <c r="AC47" i="8" s="1"/>
  <c r="AA42" i="8"/>
  <c r="AJ172" i="8"/>
  <c r="AM172" i="8" s="1"/>
  <c r="AJ205" i="8"/>
  <c r="AM205" i="8" s="1"/>
  <c r="AJ164" i="8"/>
  <c r="AM164" i="8" s="1"/>
  <c r="AJ155" i="8"/>
  <c r="AM155" i="8" s="1"/>
  <c r="AJ192" i="8"/>
  <c r="AM192" i="8" s="1"/>
  <c r="AJ169" i="8"/>
  <c r="AM169" i="8" s="1"/>
  <c r="AJ197" i="8"/>
  <c r="AM197" i="8" s="1"/>
  <c r="AJ188" i="8"/>
  <c r="AM188" i="8" s="1"/>
  <c r="AJ165" i="8"/>
  <c r="AM165" i="8" s="1"/>
  <c r="AJ202" i="8"/>
  <c r="AM202" i="8" s="1"/>
  <c r="AJ161" i="8"/>
  <c r="AM161" i="8" s="1"/>
  <c r="AJ180" i="8"/>
  <c r="AM180" i="8" s="1"/>
  <c r="AJ145" i="8"/>
  <c r="AM145" i="8" s="1"/>
  <c r="AJ136" i="8"/>
  <c r="AM136" i="8" s="1"/>
  <c r="AJ151" i="8"/>
  <c r="AM151" i="8" s="1"/>
  <c r="AJ176" i="8"/>
  <c r="AM176" i="8" s="1"/>
  <c r="AJ120" i="8"/>
  <c r="AM120" i="8" s="1"/>
  <c r="AJ116" i="8"/>
  <c r="AM116" i="8" s="1"/>
  <c r="AJ185" i="8"/>
  <c r="AM185" i="8" s="1"/>
  <c r="AJ148" i="8"/>
  <c r="AM148" i="8" s="1"/>
  <c r="AJ130" i="8"/>
  <c r="AM130" i="8" s="1"/>
  <c r="AJ126" i="8"/>
  <c r="AM126" i="8" s="1"/>
  <c r="AJ140" i="8"/>
  <c r="AM140" i="8" s="1"/>
  <c r="AJ88" i="8"/>
  <c r="AM88" i="8" s="1"/>
  <c r="AJ71" i="8"/>
  <c r="AM71" i="8" s="1"/>
  <c r="AJ65" i="8"/>
  <c r="AM65" i="8" s="1"/>
  <c r="AJ81" i="8"/>
  <c r="AM81" i="8" s="1"/>
  <c r="AJ109" i="8"/>
  <c r="AM109" i="8" s="1"/>
  <c r="AJ105" i="8"/>
  <c r="AM105" i="8" s="1"/>
  <c r="AJ100" i="8"/>
  <c r="AM100" i="8" s="1"/>
  <c r="AJ91" i="8"/>
  <c r="AM91" i="8" s="1"/>
  <c r="AJ76" i="8"/>
  <c r="AM76" i="8" s="1"/>
  <c r="AC23" i="8"/>
  <c r="W28" i="8"/>
  <c r="AA35" i="8"/>
  <c r="AA43" i="8"/>
  <c r="AA63" i="8"/>
  <c r="AA61" i="8"/>
  <c r="AC60" i="8"/>
  <c r="AJ60" i="8" s="1"/>
  <c r="AM60" i="8" s="1"/>
  <c r="AA60" i="8"/>
  <c r="AA62" i="8"/>
  <c r="AD82" i="8"/>
  <c r="AE82" i="8" s="1"/>
  <c r="AC82" i="8" s="1"/>
  <c r="AD77" i="8"/>
  <c r="AE77" i="8" s="1"/>
  <c r="AC77" i="8" s="1"/>
  <c r="AJ77" i="8" s="1"/>
  <c r="AM77" i="8" s="1"/>
  <c r="AJ27" i="8"/>
  <c r="AM27" i="8" s="1"/>
  <c r="AJ53" i="8"/>
  <c r="AM53" i="8" s="1"/>
  <c r="V95" i="8"/>
  <c r="AD106" i="8"/>
  <c r="AE106" i="8" s="1"/>
  <c r="AC106" i="8" s="1"/>
  <c r="AD121" i="8"/>
  <c r="AE121" i="8" s="1"/>
  <c r="AC121" i="8" s="1"/>
  <c r="AD117" i="8"/>
  <c r="AE117" i="8" s="1"/>
  <c r="AC117" i="8" s="1"/>
  <c r="AC132" i="8"/>
  <c r="AJ132" i="8" s="1"/>
  <c r="AM132" i="8" s="1"/>
  <c r="V133" i="8"/>
  <c r="V134" i="8"/>
  <c r="V135" i="8"/>
  <c r="V94" i="8"/>
  <c r="V103" i="8"/>
  <c r="AA112" i="8"/>
  <c r="AA113" i="8"/>
  <c r="AA114" i="8"/>
  <c r="V102" i="8"/>
  <c r="AA119" i="8"/>
  <c r="V113" i="8"/>
  <c r="V122" i="8"/>
  <c r="AD137" i="8"/>
  <c r="AE137" i="8" s="1"/>
  <c r="AC137" i="8" s="1"/>
  <c r="V144" i="8"/>
  <c r="AD146" i="8"/>
  <c r="AE146" i="8" s="1"/>
  <c r="AC146" i="8" s="1"/>
  <c r="AJ146" i="8" s="1"/>
  <c r="AM146" i="8" s="1"/>
  <c r="AD152" i="8"/>
  <c r="AE152" i="8" s="1"/>
  <c r="AC152" i="8" s="1"/>
  <c r="AJ152" i="8" s="1"/>
  <c r="AM152" i="8" s="1"/>
  <c r="AD170" i="8"/>
  <c r="AE170" i="8" s="1"/>
  <c r="AC170" i="8" s="1"/>
  <c r="AD166" i="8"/>
  <c r="AE166" i="8" s="1"/>
  <c r="AC166" i="8" s="1"/>
  <c r="AJ166" i="8" s="1"/>
  <c r="AM166" i="8" s="1"/>
  <c r="V125" i="8"/>
  <c r="V143" i="8"/>
  <c r="AD149" i="8"/>
  <c r="AE149" i="8" s="1"/>
  <c r="AC149" i="8" s="1"/>
  <c r="V129" i="8"/>
  <c r="AA139" i="8"/>
  <c r="AD193" i="8"/>
  <c r="AE193" i="8" s="1"/>
  <c r="AC193" i="8" s="1"/>
  <c r="AD189" i="8"/>
  <c r="AE189" i="8" s="1"/>
  <c r="AC189" i="8" s="1"/>
  <c r="AA194" i="8"/>
  <c r="AA193" i="8"/>
  <c r="AA195" i="8"/>
  <c r="AC203" i="8"/>
  <c r="AJ203" i="8" s="1"/>
  <c r="AM203" i="8" s="1"/>
  <c r="V111" i="8"/>
  <c r="V158" i="8"/>
  <c r="V167" i="8"/>
  <c r="AA168" i="8"/>
  <c r="AA182" i="8"/>
  <c r="V190" i="8"/>
  <c r="AA191" i="8"/>
  <c r="V199" i="8"/>
  <c r="AA200" i="8"/>
  <c r="AA154" i="8"/>
  <c r="V194" i="8"/>
  <c r="V157" i="8"/>
  <c r="V175" i="8"/>
  <c r="AD177" i="8"/>
  <c r="AE177" i="8" s="1"/>
  <c r="AC177" i="8" s="1"/>
  <c r="V184" i="8"/>
  <c r="AD186" i="8"/>
  <c r="AE186" i="8" s="1"/>
  <c r="AC186" i="8" s="1"/>
  <c r="AA199" i="8"/>
  <c r="V179" i="8"/>
  <c r="V160" i="8"/>
  <c r="AD162" i="8"/>
  <c r="AE162" i="8" s="1"/>
  <c r="AC162" i="8" s="1"/>
  <c r="AJ162" i="8" s="1"/>
  <c r="AM162" i="8" s="1"/>
  <c r="AA175" i="8"/>
  <c r="V183" i="8"/>
  <c r="AA184" i="8"/>
  <c r="V201" i="8"/>
  <c r="AC71" i="6"/>
  <c r="AJ127" i="8" l="1"/>
  <c r="AM127" i="8" s="1"/>
  <c r="AF127" i="8"/>
  <c r="AG127" i="8" s="1"/>
  <c r="AJ97" i="8"/>
  <c r="AM97" i="8" s="1"/>
  <c r="AB35" i="8"/>
  <c r="AJ66" i="8"/>
  <c r="AM66" i="8" s="1"/>
  <c r="AJ89" i="8"/>
  <c r="AM89" i="8" s="1"/>
  <c r="AN89" i="8" s="1"/>
  <c r="AF97" i="8"/>
  <c r="AG97" i="8" s="1"/>
  <c r="AF131" i="8"/>
  <c r="AG131" i="8" s="1"/>
  <c r="AJ54" i="8"/>
  <c r="AM54" i="8" s="1"/>
  <c r="AN54" i="8" s="1"/>
  <c r="AF72" i="8"/>
  <c r="AG72" i="8" s="1"/>
  <c r="AC93" i="8"/>
  <c r="AF93" i="8" s="1"/>
  <c r="AG93" i="8" s="1"/>
  <c r="AC73" i="8"/>
  <c r="AJ73" i="8" s="1"/>
  <c r="AM73" i="8" s="1"/>
  <c r="AF66" i="8"/>
  <c r="AG66" i="8" s="1"/>
  <c r="AJ59" i="8"/>
  <c r="AM59" i="8" s="1"/>
  <c r="AN59" i="8" s="1"/>
  <c r="AF101" i="8"/>
  <c r="AG101" i="8" s="1"/>
  <c r="AC90" i="8"/>
  <c r="AF90" i="8" s="1"/>
  <c r="AG90" i="8" s="1"/>
  <c r="AJ101" i="8"/>
  <c r="AM101" i="8" s="1"/>
  <c r="AN165" i="8"/>
  <c r="AF92" i="8"/>
  <c r="AG92" i="8" s="1"/>
  <c r="AB32" i="8"/>
  <c r="AB39" i="8"/>
  <c r="AB37" i="8"/>
  <c r="AC55" i="8"/>
  <c r="AJ55" i="8" s="1"/>
  <c r="AM55" i="8" s="1"/>
  <c r="AC33" i="8"/>
  <c r="AJ33" i="8" s="1"/>
  <c r="AM33" i="8" s="1"/>
  <c r="AF32" i="8"/>
  <c r="AG32" i="8" s="1"/>
  <c r="AJ32" i="8"/>
  <c r="AM32" i="8" s="1"/>
  <c r="AB38" i="8"/>
  <c r="AB34" i="8"/>
  <c r="AB40" i="8"/>
  <c r="AB44" i="8" s="1"/>
  <c r="AB36" i="8"/>
  <c r="AB33" i="8"/>
  <c r="AC122" i="8"/>
  <c r="AF121" i="8"/>
  <c r="AG121" i="8" s="1"/>
  <c r="AJ121" i="8"/>
  <c r="AM121" i="8" s="1"/>
  <c r="AC171" i="8"/>
  <c r="AF170" i="8"/>
  <c r="AG170" i="8" s="1"/>
  <c r="AJ170" i="8"/>
  <c r="AM170" i="8" s="1"/>
  <c r="AC107" i="8"/>
  <c r="AF106" i="8"/>
  <c r="AG106" i="8" s="1"/>
  <c r="AJ106" i="8"/>
  <c r="AM106" i="8" s="1"/>
  <c r="AC118" i="8"/>
  <c r="AF117" i="8"/>
  <c r="AG117" i="8" s="1"/>
  <c r="AJ117" i="8"/>
  <c r="AM117" i="8" s="1"/>
  <c r="AC194" i="8"/>
  <c r="AF193" i="8"/>
  <c r="AG193" i="8" s="1"/>
  <c r="AJ193" i="8"/>
  <c r="AM193" i="8" s="1"/>
  <c r="AF137" i="8"/>
  <c r="AG137" i="8" s="1"/>
  <c r="AC138" i="8"/>
  <c r="AJ137" i="8"/>
  <c r="AM137" i="8" s="1"/>
  <c r="AC83" i="8"/>
  <c r="AF82" i="8"/>
  <c r="AG82" i="8" s="1"/>
  <c r="AJ82" i="8"/>
  <c r="AM82" i="8" s="1"/>
  <c r="AF177" i="8"/>
  <c r="AG177" i="8" s="1"/>
  <c r="AC178" i="8"/>
  <c r="AJ177" i="8"/>
  <c r="AM177" i="8" s="1"/>
  <c r="AC190" i="8"/>
  <c r="AF189" i="8"/>
  <c r="AG189" i="8" s="1"/>
  <c r="AJ189" i="8"/>
  <c r="AM189" i="8" s="1"/>
  <c r="AC29" i="8"/>
  <c r="AF28" i="8"/>
  <c r="AG28" i="8" s="1"/>
  <c r="AJ28" i="8"/>
  <c r="AM28" i="8" s="1"/>
  <c r="AC199" i="8"/>
  <c r="AF198" i="8"/>
  <c r="AG198" i="8" s="1"/>
  <c r="AF149" i="8"/>
  <c r="AG149" i="8" s="1"/>
  <c r="AC150" i="8"/>
  <c r="AN127" i="8"/>
  <c r="AQ127" i="8" s="1"/>
  <c r="AJ198" i="8"/>
  <c r="AM198" i="8" s="1"/>
  <c r="AF186" i="8"/>
  <c r="AG186" i="8" s="1"/>
  <c r="AC187" i="8"/>
  <c r="AF146" i="8"/>
  <c r="AG146" i="8" s="1"/>
  <c r="AC147" i="8"/>
  <c r="AF173" i="8"/>
  <c r="AG173" i="8" s="1"/>
  <c r="AC174" i="8"/>
  <c r="AC157" i="8"/>
  <c r="AF156" i="8"/>
  <c r="AG156" i="8" s="1"/>
  <c r="AF110" i="8"/>
  <c r="AG110" i="8" s="1"/>
  <c r="AC111" i="8"/>
  <c r="AF102" i="8"/>
  <c r="AG102" i="8" s="1"/>
  <c r="AC103" i="8"/>
  <c r="AJ186" i="8"/>
  <c r="AM186" i="8" s="1"/>
  <c r="AF132" i="8"/>
  <c r="AG132" i="8" s="1"/>
  <c r="AC133" i="8"/>
  <c r="AC24" i="8"/>
  <c r="AC26" i="8"/>
  <c r="AF23" i="8"/>
  <c r="AG23" i="8" s="1"/>
  <c r="AC25" i="8"/>
  <c r="AJ23" i="8"/>
  <c r="AM23" i="8" s="1"/>
  <c r="AJ149" i="8"/>
  <c r="AM149" i="8" s="1"/>
  <c r="AF41" i="8"/>
  <c r="AG41" i="8" s="1"/>
  <c r="AC42" i="8"/>
  <c r="AJ41" i="8"/>
  <c r="AM41" i="8" s="1"/>
  <c r="W42" i="8"/>
  <c r="W41" i="8"/>
  <c r="W45" i="8"/>
  <c r="W43" i="8"/>
  <c r="W46" i="8"/>
  <c r="W44" i="8"/>
  <c r="AF203" i="8"/>
  <c r="AG203" i="8" s="1"/>
  <c r="AC204" i="8"/>
  <c r="AC153" i="8"/>
  <c r="AF152" i="8"/>
  <c r="AG152" i="8" s="1"/>
  <c r="AF98" i="8"/>
  <c r="AG98" i="8" s="1"/>
  <c r="AC99" i="8"/>
  <c r="AC167" i="8"/>
  <c r="AF166" i="8"/>
  <c r="AG166" i="8" s="1"/>
  <c r="AF77" i="8"/>
  <c r="AG77" i="8" s="1"/>
  <c r="AC78" i="8"/>
  <c r="AF162" i="8"/>
  <c r="AG162" i="8" s="1"/>
  <c r="AC163" i="8"/>
  <c r="AF181" i="8"/>
  <c r="AG181" i="8" s="1"/>
  <c r="AC182" i="8"/>
  <c r="AF141" i="8"/>
  <c r="AG141" i="8" s="1"/>
  <c r="AC142" i="8"/>
  <c r="AF128" i="8"/>
  <c r="AG128" i="8" s="1"/>
  <c r="AC129" i="8"/>
  <c r="AF47" i="8"/>
  <c r="AG47" i="8" s="1"/>
  <c r="AC48" i="8"/>
  <c r="AJ47" i="8"/>
  <c r="AM47" i="8" s="1"/>
  <c r="AC61" i="8"/>
  <c r="AF60" i="8"/>
  <c r="AG60" i="8" s="1"/>
  <c r="AJ181" i="8"/>
  <c r="AM181" i="8" s="1"/>
  <c r="AJ173" i="8"/>
  <c r="AM173" i="8" s="1"/>
  <c r="AC68" i="8"/>
  <c r="AF67" i="8"/>
  <c r="AG67" i="8" s="1"/>
  <c r="AD189" i="6"/>
  <c r="AE189" i="6" s="1"/>
  <c r="AD127" i="6"/>
  <c r="AE127" i="6" s="1"/>
  <c r="AD89" i="6"/>
  <c r="AE89" i="6" s="1"/>
  <c r="AD41" i="6"/>
  <c r="AE41" i="6" s="1"/>
  <c r="AC40" i="6"/>
  <c r="AD32" i="6" s="1"/>
  <c r="AE32" i="6" s="1"/>
  <c r="AC31" i="6"/>
  <c r="AC46" i="6"/>
  <c r="AC53" i="6"/>
  <c r="AD47" i="6" s="1"/>
  <c r="AE47" i="6" s="1"/>
  <c r="AC58" i="6"/>
  <c r="AD54" i="6" s="1"/>
  <c r="AE54" i="6" s="1"/>
  <c r="AC65" i="6"/>
  <c r="AC76" i="6"/>
  <c r="AC81" i="6"/>
  <c r="AC88" i="6"/>
  <c r="AC91" i="6"/>
  <c r="AC96" i="6"/>
  <c r="AD92" i="6" s="1"/>
  <c r="AE92" i="6" s="1"/>
  <c r="AC100" i="6"/>
  <c r="AD97" i="6" s="1"/>
  <c r="AE97" i="6" s="1"/>
  <c r="AC105" i="6"/>
  <c r="AC109" i="6"/>
  <c r="AC116" i="6"/>
  <c r="AC120" i="6"/>
  <c r="AC126" i="6"/>
  <c r="AC130" i="6"/>
  <c r="AC136" i="6"/>
  <c r="AD131" i="6" s="1"/>
  <c r="AE131" i="6" s="1"/>
  <c r="AC140" i="6"/>
  <c r="AD137" i="6" s="1"/>
  <c r="AE137" i="6" s="1"/>
  <c r="AC145" i="6"/>
  <c r="AC148" i="6"/>
  <c r="AC151" i="6"/>
  <c r="AC155" i="6"/>
  <c r="AC161" i="6"/>
  <c r="AC164" i="6"/>
  <c r="AD162" i="6" s="1"/>
  <c r="AE162" i="6" s="1"/>
  <c r="AC165" i="6"/>
  <c r="AD165" i="6" s="1"/>
  <c r="AC169" i="6"/>
  <c r="AD166" i="6" s="1"/>
  <c r="AE166" i="6" s="1"/>
  <c r="AC172" i="6"/>
  <c r="AD173" i="6" s="1"/>
  <c r="AE173" i="6" s="1"/>
  <c r="AC176" i="6"/>
  <c r="AC180" i="6"/>
  <c r="AC185" i="6"/>
  <c r="AC188" i="6"/>
  <c r="AC192" i="6"/>
  <c r="AC197" i="6"/>
  <c r="AD193" i="6" s="1"/>
  <c r="AE193" i="6" s="1"/>
  <c r="AC202" i="6"/>
  <c r="AD198" i="6" s="1"/>
  <c r="AE198" i="6" s="1"/>
  <c r="AC205" i="6"/>
  <c r="AA204" i="6"/>
  <c r="AA203" i="6" s="1"/>
  <c r="AA201" i="6"/>
  <c r="AA198" i="6"/>
  <c r="AA200" i="6" s="1"/>
  <c r="AA196" i="6"/>
  <c r="AA193" i="6" s="1"/>
  <c r="AA189" i="6"/>
  <c r="AA190" i="6" s="1"/>
  <c r="AA187" i="6"/>
  <c r="AA186" i="6" s="1"/>
  <c r="AA181" i="6"/>
  <c r="AA184" i="6" s="1"/>
  <c r="AA177" i="6"/>
  <c r="AA178" i="6"/>
  <c r="AA179" i="6"/>
  <c r="AA173" i="6"/>
  <c r="AA175" i="6" s="1"/>
  <c r="AA171" i="6"/>
  <c r="AA170" i="6" s="1"/>
  <c r="AA166" i="6"/>
  <c r="AA168" i="6" s="1"/>
  <c r="AA162" i="6"/>
  <c r="AA163" i="6" s="1"/>
  <c r="AA160" i="6"/>
  <c r="AA159" i="6" s="1"/>
  <c r="AA152" i="6"/>
  <c r="AA154" i="6" s="1"/>
  <c r="AA150" i="6"/>
  <c r="AA149" i="6" s="1"/>
  <c r="AA146" i="6"/>
  <c r="AA147" i="6" s="1"/>
  <c r="AA144" i="6"/>
  <c r="AA141" i="6" s="1"/>
  <c r="AA137" i="6"/>
  <c r="AA139" i="6" s="1"/>
  <c r="AA135" i="6"/>
  <c r="AA131" i="6" s="1"/>
  <c r="AA127" i="6"/>
  <c r="AA129" i="6" s="1"/>
  <c r="AA125" i="6"/>
  <c r="AA121" i="6" s="1"/>
  <c r="AA117" i="6"/>
  <c r="AA119" i="6" s="1"/>
  <c r="AA110" i="6"/>
  <c r="AA114" i="6"/>
  <c r="AA115" i="6"/>
  <c r="AA112" i="6" s="1"/>
  <c r="AA104" i="6"/>
  <c r="AA103" i="6" s="1"/>
  <c r="AA102" i="6" s="1"/>
  <c r="AA97" i="6"/>
  <c r="AA99" i="6" s="1"/>
  <c r="AA95" i="6"/>
  <c r="AA92" i="6" s="1"/>
  <c r="AA87" i="6"/>
  <c r="AA82" i="6" s="1"/>
  <c r="AA75" i="6"/>
  <c r="AA72" i="6" s="1"/>
  <c r="AA89" i="6"/>
  <c r="AA90" i="6" s="1"/>
  <c r="AA77" i="6"/>
  <c r="AA80" i="6" s="1"/>
  <c r="AA66" i="6"/>
  <c r="AA70" i="6" s="1"/>
  <c r="AA64" i="6"/>
  <c r="AA59" i="6" s="1"/>
  <c r="AA54" i="6"/>
  <c r="AA56" i="6" s="1"/>
  <c r="AA52" i="6"/>
  <c r="AA47" i="6" s="1"/>
  <c r="AA41" i="6"/>
  <c r="AA45" i="6" s="1"/>
  <c r="AA39" i="6"/>
  <c r="AA32" i="6" s="1"/>
  <c r="Z30" i="6"/>
  <c r="AK30" i="6" s="1"/>
  <c r="Z29" i="6"/>
  <c r="AK29" i="6" s="1"/>
  <c r="W26" i="6"/>
  <c r="W25" i="6"/>
  <c r="W24" i="6"/>
  <c r="W23" i="6"/>
  <c r="V203" i="6"/>
  <c r="V204" i="6" s="1"/>
  <c r="V198" i="6"/>
  <c r="V199" i="6" s="1"/>
  <c r="V193" i="6"/>
  <c r="V195" i="6" s="1"/>
  <c r="V189" i="6"/>
  <c r="V191" i="6" s="1"/>
  <c r="V186" i="6"/>
  <c r="V187" i="6" s="1"/>
  <c r="V181" i="6"/>
  <c r="V184" i="6" s="1"/>
  <c r="V177" i="6"/>
  <c r="V178" i="6" s="1"/>
  <c r="V173" i="6"/>
  <c r="V175" i="6" s="1"/>
  <c r="V170" i="6"/>
  <c r="V171" i="6" s="1"/>
  <c r="V166" i="6"/>
  <c r="V167" i="6" s="1"/>
  <c r="V162" i="6"/>
  <c r="V163" i="6" s="1"/>
  <c r="V156" i="6"/>
  <c r="V160" i="6" s="1"/>
  <c r="V152" i="6"/>
  <c r="V153" i="6" s="1"/>
  <c r="V149" i="6"/>
  <c r="V150" i="6" s="1"/>
  <c r="V146" i="6"/>
  <c r="V147" i="6" s="1"/>
  <c r="V141" i="6"/>
  <c r="V144" i="6" s="1"/>
  <c r="V137" i="6"/>
  <c r="V139" i="6" s="1"/>
  <c r="V131" i="6"/>
  <c r="V134" i="6" s="1"/>
  <c r="V127" i="6"/>
  <c r="V129" i="6" s="1"/>
  <c r="V121" i="6"/>
  <c r="V124" i="6" s="1"/>
  <c r="V117" i="6"/>
  <c r="V119" i="6" s="1"/>
  <c r="V110" i="6"/>
  <c r="V114" i="6" s="1"/>
  <c r="V106" i="6"/>
  <c r="V107" i="6" s="1"/>
  <c r="V101" i="6"/>
  <c r="V104" i="6" s="1"/>
  <c r="V97" i="6"/>
  <c r="V99" i="6" s="1"/>
  <c r="V92" i="6"/>
  <c r="V94" i="6" s="1"/>
  <c r="V89" i="6"/>
  <c r="V90" i="6" s="1"/>
  <c r="V87" i="6"/>
  <c r="V86" i="6"/>
  <c r="V85" i="6"/>
  <c r="V84" i="6"/>
  <c r="V83" i="6"/>
  <c r="V122" i="6" l="1"/>
  <c r="AA63" i="6"/>
  <c r="V123" i="6"/>
  <c r="AP59" i="8"/>
  <c r="AR59" i="8"/>
  <c r="AA62" i="6"/>
  <c r="AA78" i="6"/>
  <c r="AN97" i="8"/>
  <c r="AP97" i="8" s="1"/>
  <c r="V102" i="6"/>
  <c r="AA79" i="6"/>
  <c r="AA111" i="6"/>
  <c r="AA199" i="6"/>
  <c r="AD181" i="6"/>
  <c r="AE181" i="6" s="1"/>
  <c r="AD117" i="6"/>
  <c r="AE117" i="6" s="1"/>
  <c r="AB45" i="8"/>
  <c r="AN72" i="8"/>
  <c r="AQ72" i="8" s="1"/>
  <c r="AC94" i="8"/>
  <c r="AN131" i="8"/>
  <c r="AO131" i="8" s="1"/>
  <c r="AB46" i="8"/>
  <c r="AB52" i="8" s="1"/>
  <c r="AC74" i="8"/>
  <c r="AF74" i="8" s="1"/>
  <c r="AG74" i="8" s="1"/>
  <c r="AB41" i="8"/>
  <c r="AF73" i="8"/>
  <c r="AG73" i="8" s="1"/>
  <c r="AP54" i="8"/>
  <c r="AQ54" i="8"/>
  <c r="AB43" i="8"/>
  <c r="AO89" i="8"/>
  <c r="AQ89" i="8"/>
  <c r="AO165" i="8"/>
  <c r="AQ165" i="8"/>
  <c r="AJ93" i="8"/>
  <c r="AM93" i="8" s="1"/>
  <c r="AN93" i="8" s="1"/>
  <c r="AB42" i="8"/>
  <c r="AC56" i="8"/>
  <c r="AF56" i="8" s="1"/>
  <c r="AG56" i="8" s="1"/>
  <c r="AN173" i="8"/>
  <c r="AP89" i="8"/>
  <c r="AN102" i="8"/>
  <c r="AO59" i="8"/>
  <c r="AN66" i="8"/>
  <c r="AN101" i="8"/>
  <c r="AQ101" i="8" s="1"/>
  <c r="AN117" i="8"/>
  <c r="AO117" i="8" s="1"/>
  <c r="AN92" i="8"/>
  <c r="AP92" i="8" s="1"/>
  <c r="AF91" i="8"/>
  <c r="AJ90" i="8"/>
  <c r="AM90" i="8" s="1"/>
  <c r="AN90" i="8" s="1"/>
  <c r="AQ90" i="8" s="1"/>
  <c r="AP165" i="8"/>
  <c r="AC34" i="8"/>
  <c r="AF34" i="8" s="1"/>
  <c r="AG34" i="8" s="1"/>
  <c r="AF33" i="8"/>
  <c r="AG33" i="8" s="1"/>
  <c r="AN32" i="8"/>
  <c r="AO54" i="8"/>
  <c r="AF55" i="8"/>
  <c r="AG55" i="8" s="1"/>
  <c r="AN41" i="8"/>
  <c r="AR41" i="8" s="1"/>
  <c r="AN149" i="8"/>
  <c r="AN198" i="8"/>
  <c r="AN186" i="8"/>
  <c r="AQ186" i="8" s="1"/>
  <c r="AN121" i="8"/>
  <c r="AN181" i="8"/>
  <c r="AN98" i="8"/>
  <c r="AN146" i="8"/>
  <c r="AN106" i="8"/>
  <c r="AN82" i="8"/>
  <c r="AN137" i="8"/>
  <c r="AO173" i="8"/>
  <c r="AF142" i="8"/>
  <c r="AG142" i="8" s="1"/>
  <c r="AC143" i="8"/>
  <c r="AJ142" i="8"/>
  <c r="AM142" i="8" s="1"/>
  <c r="AC104" i="8"/>
  <c r="AF103" i="8"/>
  <c r="AG103" i="8" s="1"/>
  <c r="AJ103" i="8"/>
  <c r="AM103" i="8" s="1"/>
  <c r="AJ74" i="8"/>
  <c r="AM74" i="8" s="1"/>
  <c r="AF190" i="8"/>
  <c r="AG190" i="8" s="1"/>
  <c r="AC191" i="8"/>
  <c r="AJ190" i="8"/>
  <c r="AM190" i="8" s="1"/>
  <c r="AN60" i="8"/>
  <c r="AQ60" i="8" s="1"/>
  <c r="AF68" i="8"/>
  <c r="AG68" i="8" s="1"/>
  <c r="AC69" i="8"/>
  <c r="AJ68" i="8"/>
  <c r="AM68" i="8" s="1"/>
  <c r="AF171" i="8"/>
  <c r="AG171" i="8" s="1"/>
  <c r="AF172" i="8"/>
  <c r="AJ171" i="8"/>
  <c r="AM171" i="8" s="1"/>
  <c r="W48" i="8"/>
  <c r="W51" i="8"/>
  <c r="W53" i="8"/>
  <c r="W47" i="8"/>
  <c r="W49" i="8"/>
  <c r="W52" i="8"/>
  <c r="W50" i="8"/>
  <c r="AN28" i="8"/>
  <c r="AR28" i="8" s="1"/>
  <c r="AN203" i="8"/>
  <c r="AR203" i="8" s="1"/>
  <c r="AN162" i="8"/>
  <c r="AR162" i="8" s="1"/>
  <c r="AN193" i="8"/>
  <c r="AQ193" i="8" s="1"/>
  <c r="AN110" i="8"/>
  <c r="AQ110" i="8" s="1"/>
  <c r="AC62" i="8"/>
  <c r="AF61" i="8"/>
  <c r="AG61" i="8" s="1"/>
  <c r="AJ61" i="8"/>
  <c r="AM61" i="8" s="1"/>
  <c r="AB49" i="8"/>
  <c r="AN67" i="8"/>
  <c r="AR67" i="8" s="1"/>
  <c r="AF83" i="8"/>
  <c r="AG83" i="8" s="1"/>
  <c r="AC84" i="8"/>
  <c r="AJ83" i="8"/>
  <c r="AM83" i="8" s="1"/>
  <c r="AN128" i="8"/>
  <c r="AQ128" i="8" s="1"/>
  <c r="AO106" i="8"/>
  <c r="AF122" i="8"/>
  <c r="AG122" i="8" s="1"/>
  <c r="AC123" i="8"/>
  <c r="AJ122" i="8"/>
  <c r="AM122" i="8" s="1"/>
  <c r="AJ24" i="8"/>
  <c r="AM24" i="8" s="1"/>
  <c r="AF24" i="8"/>
  <c r="AG24" i="8" s="1"/>
  <c r="AF182" i="8"/>
  <c r="AG182" i="8" s="1"/>
  <c r="AC183" i="8"/>
  <c r="AJ182" i="8"/>
  <c r="AM182" i="8" s="1"/>
  <c r="AF153" i="8"/>
  <c r="AG153" i="8" s="1"/>
  <c r="AC154" i="8"/>
  <c r="AJ153" i="8"/>
  <c r="AM153" i="8" s="1"/>
  <c r="AF167" i="8"/>
  <c r="AG167" i="8" s="1"/>
  <c r="AC168" i="8"/>
  <c r="AJ167" i="8"/>
  <c r="AM167" i="8" s="1"/>
  <c r="AF204" i="8"/>
  <c r="AG204" i="8" s="1"/>
  <c r="AF205" i="8"/>
  <c r="AJ204" i="8"/>
  <c r="AM204" i="8" s="1"/>
  <c r="AN23" i="8"/>
  <c r="AQ23" i="8" s="1"/>
  <c r="AC112" i="8"/>
  <c r="AF111" i="8"/>
  <c r="AG111" i="8" s="1"/>
  <c r="AJ111" i="8"/>
  <c r="AM111" i="8" s="1"/>
  <c r="AF148" i="8"/>
  <c r="AF147" i="8"/>
  <c r="AG147" i="8" s="1"/>
  <c r="AJ147" i="8"/>
  <c r="AM147" i="8" s="1"/>
  <c r="AP127" i="8"/>
  <c r="AO127" i="8"/>
  <c r="AF29" i="8"/>
  <c r="AG29" i="8" s="1"/>
  <c r="AC30" i="8"/>
  <c r="AJ29" i="8"/>
  <c r="AM29" i="8" s="1"/>
  <c r="AN132" i="8"/>
  <c r="AQ132" i="8" s="1"/>
  <c r="AC139" i="8"/>
  <c r="AF138" i="8"/>
  <c r="AG138" i="8" s="1"/>
  <c r="AJ138" i="8"/>
  <c r="AM138" i="8" s="1"/>
  <c r="AF194" i="8"/>
  <c r="AG194" i="8" s="1"/>
  <c r="AC195" i="8"/>
  <c r="AJ194" i="8"/>
  <c r="AM194" i="8" s="1"/>
  <c r="AN152" i="8"/>
  <c r="AQ152" i="8" s="1"/>
  <c r="AC43" i="8"/>
  <c r="AF42" i="8"/>
  <c r="AG42" i="8" s="1"/>
  <c r="AJ42" i="8"/>
  <c r="AM42" i="8" s="1"/>
  <c r="AF199" i="8"/>
  <c r="AG199" i="8" s="1"/>
  <c r="AC200" i="8"/>
  <c r="AJ199" i="8"/>
  <c r="AM199" i="8" s="1"/>
  <c r="AC95" i="8"/>
  <c r="AF94" i="8"/>
  <c r="AG94" i="8" s="1"/>
  <c r="AJ94" i="8"/>
  <c r="AM94" i="8" s="1"/>
  <c r="AF99" i="8"/>
  <c r="AG99" i="8" s="1"/>
  <c r="AJ99" i="8"/>
  <c r="AM99" i="8" s="1"/>
  <c r="AF100" i="8"/>
  <c r="AJ25" i="8"/>
  <c r="AM25" i="8" s="1"/>
  <c r="AF25" i="8"/>
  <c r="AG25" i="8" s="1"/>
  <c r="AF133" i="8"/>
  <c r="AG133" i="8" s="1"/>
  <c r="AC134" i="8"/>
  <c r="AJ133" i="8"/>
  <c r="AM133" i="8" s="1"/>
  <c r="AF150" i="8"/>
  <c r="AG150" i="8" s="1"/>
  <c r="AJ150" i="8"/>
  <c r="AM150" i="8" s="1"/>
  <c r="AF151" i="8"/>
  <c r="AN156" i="8"/>
  <c r="AR156" i="8" s="1"/>
  <c r="AN166" i="8"/>
  <c r="AQ166" i="8" s="1"/>
  <c r="AF107" i="8"/>
  <c r="AG107" i="8" s="1"/>
  <c r="AC108" i="8"/>
  <c r="AJ107" i="8"/>
  <c r="AM107" i="8" s="1"/>
  <c r="AC175" i="8"/>
  <c r="AF174" i="8"/>
  <c r="AG174" i="8" s="1"/>
  <c r="AJ174" i="8"/>
  <c r="AM174" i="8" s="1"/>
  <c r="AO72" i="8"/>
  <c r="AN47" i="8"/>
  <c r="AQ47" i="8" s="1"/>
  <c r="AF163" i="8"/>
  <c r="AG163" i="8" s="1"/>
  <c r="AJ163" i="8"/>
  <c r="AM163" i="8" s="1"/>
  <c r="AF164" i="8"/>
  <c r="AN141" i="8"/>
  <c r="AR141" i="8" s="1"/>
  <c r="AN177" i="8"/>
  <c r="AQ177" i="8" s="1"/>
  <c r="AN77" i="8"/>
  <c r="AR77" i="8" s="1"/>
  <c r="AN170" i="8"/>
  <c r="AQ170" i="8" s="1"/>
  <c r="AC49" i="8"/>
  <c r="AF48" i="8"/>
  <c r="AG48" i="8" s="1"/>
  <c r="AJ48" i="8"/>
  <c r="AM48" i="8" s="1"/>
  <c r="AF130" i="8"/>
  <c r="AF129" i="8"/>
  <c r="AG129" i="8" s="1"/>
  <c r="AJ129" i="8"/>
  <c r="AM129" i="8" s="1"/>
  <c r="AC79" i="8"/>
  <c r="AF78" i="8"/>
  <c r="AG78" i="8" s="1"/>
  <c r="AJ78" i="8"/>
  <c r="AM78" i="8" s="1"/>
  <c r="AP41" i="8"/>
  <c r="AO41" i="8"/>
  <c r="AF26" i="8"/>
  <c r="AG26" i="8" s="1"/>
  <c r="AF27" i="8"/>
  <c r="AJ26" i="8"/>
  <c r="AM26" i="8" s="1"/>
  <c r="AC158" i="8"/>
  <c r="AF157" i="8"/>
  <c r="AG157" i="8" s="1"/>
  <c r="AJ157" i="8"/>
  <c r="AM157" i="8" s="1"/>
  <c r="AF187" i="8"/>
  <c r="AG187" i="8" s="1"/>
  <c r="AF188" i="8"/>
  <c r="AJ187" i="8"/>
  <c r="AM187" i="8" s="1"/>
  <c r="AN189" i="8"/>
  <c r="AQ189" i="8" s="1"/>
  <c r="AF178" i="8"/>
  <c r="AG178" i="8" s="1"/>
  <c r="AC179" i="8"/>
  <c r="AJ178" i="8"/>
  <c r="AM178" i="8" s="1"/>
  <c r="AF118" i="8"/>
  <c r="AG118" i="8" s="1"/>
  <c r="AC119" i="8"/>
  <c r="AJ118" i="8"/>
  <c r="AM118" i="8" s="1"/>
  <c r="V200" i="6"/>
  <c r="AA57" i="6"/>
  <c r="AA94" i="6"/>
  <c r="AA167" i="6"/>
  <c r="AC181" i="6"/>
  <c r="AC117" i="6"/>
  <c r="AC77" i="6"/>
  <c r="V154" i="6"/>
  <c r="AA93" i="6"/>
  <c r="AA51" i="6"/>
  <c r="AD101" i="6"/>
  <c r="AE101" i="6" s="1"/>
  <c r="AC101" i="6" s="1"/>
  <c r="AD170" i="6"/>
  <c r="AE170" i="6" s="1"/>
  <c r="AC170" i="6" s="1"/>
  <c r="V133" i="6"/>
  <c r="V190" i="6"/>
  <c r="AA74" i="6"/>
  <c r="AC54" i="6"/>
  <c r="AD106" i="6"/>
  <c r="AE106" i="6" s="1"/>
  <c r="AC106" i="6" s="1"/>
  <c r="AD146" i="6"/>
  <c r="AE146" i="6" s="1"/>
  <c r="AC146" i="6" s="1"/>
  <c r="AA50" i="6"/>
  <c r="AA60" i="6"/>
  <c r="AA73" i="6"/>
  <c r="AA158" i="6"/>
  <c r="AA174" i="6"/>
  <c r="AA191" i="6"/>
  <c r="AC198" i="6"/>
  <c r="AC166" i="6"/>
  <c r="AF165" i="6"/>
  <c r="AC137" i="6"/>
  <c r="AC97" i="6"/>
  <c r="AC47" i="6"/>
  <c r="AD59" i="6"/>
  <c r="AE59" i="6" s="1"/>
  <c r="AC59" i="6" s="1"/>
  <c r="AD110" i="6"/>
  <c r="AE110" i="6" s="1"/>
  <c r="AC110" i="6" s="1"/>
  <c r="AD149" i="6"/>
  <c r="AE149" i="6" s="1"/>
  <c r="AC149" i="6" s="1"/>
  <c r="AD177" i="6"/>
  <c r="AE177" i="6" s="1"/>
  <c r="AC177" i="6" s="1"/>
  <c r="AC173" i="6"/>
  <c r="AD141" i="6"/>
  <c r="AE141" i="6" s="1"/>
  <c r="AC141" i="6" s="1"/>
  <c r="AD203" i="6"/>
  <c r="AE203" i="6" s="1"/>
  <c r="AC203" i="6" s="1"/>
  <c r="AA49" i="6"/>
  <c r="AA157" i="6"/>
  <c r="AC193" i="6"/>
  <c r="AC131" i="6"/>
  <c r="AC92" i="6"/>
  <c r="AC32" i="6"/>
  <c r="AD77" i="6"/>
  <c r="AE77" i="6" s="1"/>
  <c r="AD152" i="6"/>
  <c r="AE152" i="6" s="1"/>
  <c r="AC152" i="6" s="1"/>
  <c r="V196" i="6"/>
  <c r="AA48" i="6"/>
  <c r="AA113" i="6"/>
  <c r="AC189" i="6"/>
  <c r="AC162" i="6"/>
  <c r="AC127" i="6"/>
  <c r="AC89" i="6"/>
  <c r="AC41" i="6"/>
  <c r="AD82" i="6"/>
  <c r="AE82" i="6" s="1"/>
  <c r="AC82" i="6" s="1"/>
  <c r="AD121" i="6"/>
  <c r="AE121" i="6" s="1"/>
  <c r="AC121" i="6" s="1"/>
  <c r="AD156" i="6"/>
  <c r="AE156" i="6" s="1"/>
  <c r="AC156" i="6" s="1"/>
  <c r="AD186" i="6"/>
  <c r="AE186" i="6" s="1"/>
  <c r="AC186" i="6" s="1"/>
  <c r="V168" i="6"/>
  <c r="AA38" i="6"/>
  <c r="AA42" i="6"/>
  <c r="AA101" i="6"/>
  <c r="AA118" i="6"/>
  <c r="AA128" i="6"/>
  <c r="AA138" i="6"/>
  <c r="AA182" i="6"/>
  <c r="V111" i="6"/>
  <c r="V125" i="6"/>
  <c r="V142" i="6"/>
  <c r="V157" i="6"/>
  <c r="AA37" i="6"/>
  <c r="AA43" i="6"/>
  <c r="AA61" i="6"/>
  <c r="AA86" i="6"/>
  <c r="AA156" i="6"/>
  <c r="AA183" i="6"/>
  <c r="AA195" i="6"/>
  <c r="V143" i="6"/>
  <c r="V158" i="6"/>
  <c r="AA36" i="6"/>
  <c r="AA44" i="6"/>
  <c r="AA85" i="6"/>
  <c r="AA194" i="6"/>
  <c r="V112" i="6"/>
  <c r="V113" i="6"/>
  <c r="V159" i="6"/>
  <c r="V174" i="6"/>
  <c r="AA35" i="6"/>
  <c r="AA55" i="6"/>
  <c r="AA84" i="6"/>
  <c r="AA98" i="6"/>
  <c r="AA124" i="6"/>
  <c r="AA134" i="6"/>
  <c r="AA143" i="6"/>
  <c r="AA153" i="6"/>
  <c r="V115" i="6"/>
  <c r="V132" i="6"/>
  <c r="AA34" i="6"/>
  <c r="AA67" i="6"/>
  <c r="AA83" i="6"/>
  <c r="AA123" i="6"/>
  <c r="AA133" i="6"/>
  <c r="AA142" i="6"/>
  <c r="AA33" i="6"/>
  <c r="AA122" i="6"/>
  <c r="AA132" i="6"/>
  <c r="V103" i="6"/>
  <c r="V135" i="6"/>
  <c r="V179" i="6"/>
  <c r="AA68" i="6"/>
  <c r="AA69" i="6"/>
  <c r="V201" i="6"/>
  <c r="V98" i="6"/>
  <c r="V108" i="6"/>
  <c r="V118" i="6"/>
  <c r="V128" i="6"/>
  <c r="V138" i="6"/>
  <c r="V182" i="6"/>
  <c r="V183" i="6"/>
  <c r="V194" i="6"/>
  <c r="V95" i="6"/>
  <c r="V93" i="6"/>
  <c r="AC27" i="6"/>
  <c r="AB27" i="6"/>
  <c r="W27" i="6"/>
  <c r="AN22" i="6"/>
  <c r="AO22" i="6" s="1"/>
  <c r="AG22" i="6"/>
  <c r="X22" i="6"/>
  <c r="X27" i="6" s="1"/>
  <c r="X31" i="6" s="1"/>
  <c r="X40" i="6" s="1"/>
  <c r="X46" i="6" s="1"/>
  <c r="X53" i="6" s="1"/>
  <c r="X58" i="6" s="1"/>
  <c r="X65" i="6" s="1"/>
  <c r="X71" i="6" s="1"/>
  <c r="X76" i="6" s="1"/>
  <c r="X81" i="6" s="1"/>
  <c r="X88" i="6" s="1"/>
  <c r="X91" i="6" s="1"/>
  <c r="X96" i="6" s="1"/>
  <c r="X100" i="6" s="1"/>
  <c r="X105" i="6" s="1"/>
  <c r="X116" i="6" s="1"/>
  <c r="C18" i="6"/>
  <c r="F14" i="6"/>
  <c r="F11" i="6"/>
  <c r="AP66" i="8" l="1"/>
  <c r="AR66" i="8"/>
  <c r="AO137" i="8"/>
  <c r="AR137" i="8"/>
  <c r="AO97" i="8"/>
  <c r="AP149" i="8"/>
  <c r="AR149" i="8"/>
  <c r="AP106" i="8"/>
  <c r="AR106" i="8"/>
  <c r="AO146" i="8"/>
  <c r="AR146" i="8"/>
  <c r="AO93" i="8"/>
  <c r="AR93" i="8"/>
  <c r="AP98" i="8"/>
  <c r="AR98" i="8"/>
  <c r="AQ97" i="8"/>
  <c r="AO32" i="8"/>
  <c r="AR32" i="8"/>
  <c r="AP72" i="8"/>
  <c r="AB48" i="8"/>
  <c r="AB51" i="8"/>
  <c r="AN190" i="8"/>
  <c r="AQ190" i="8" s="1"/>
  <c r="AQ131" i="8"/>
  <c r="AP131" i="8"/>
  <c r="AC75" i="8"/>
  <c r="AF76" i="8" s="1"/>
  <c r="AJ34" i="8"/>
  <c r="AM34" i="8" s="1"/>
  <c r="AN34" i="8" s="1"/>
  <c r="AB47" i="8"/>
  <c r="AB53" i="8"/>
  <c r="AC35" i="8"/>
  <c r="AC36" i="8" s="1"/>
  <c r="AB50" i="8"/>
  <c r="AJ56" i="8"/>
  <c r="AM56" i="8" s="1"/>
  <c r="AC57" i="8"/>
  <c r="AP186" i="8"/>
  <c r="AP32" i="8"/>
  <c r="AO186" i="8"/>
  <c r="AN73" i="8"/>
  <c r="AQ73" i="8" s="1"/>
  <c r="AP121" i="8"/>
  <c r="AQ121" i="8"/>
  <c r="AO92" i="8"/>
  <c r="AQ92" i="8"/>
  <c r="AP173" i="8"/>
  <c r="AQ173" i="8"/>
  <c r="AP181" i="8"/>
  <c r="AQ181" i="8"/>
  <c r="AN199" i="8"/>
  <c r="AP117" i="8"/>
  <c r="AQ117" i="8"/>
  <c r="AO198" i="8"/>
  <c r="AQ198" i="8"/>
  <c r="AO82" i="8"/>
  <c r="AQ82" i="8"/>
  <c r="AN33" i="8"/>
  <c r="AQ33" i="8" s="1"/>
  <c r="AP102" i="8"/>
  <c r="AQ102" i="8"/>
  <c r="AN178" i="8"/>
  <c r="AQ178" i="8" s="1"/>
  <c r="AN204" i="8"/>
  <c r="AN29" i="8"/>
  <c r="AN167" i="8"/>
  <c r="AO149" i="8"/>
  <c r="AO102" i="8"/>
  <c r="AO121" i="8"/>
  <c r="AO66" i="8"/>
  <c r="AO181" i="8"/>
  <c r="AP101" i="8"/>
  <c r="AO101" i="8"/>
  <c r="AN83" i="8"/>
  <c r="AQ83" i="8" s="1"/>
  <c r="AN24" i="8"/>
  <c r="AN150" i="8"/>
  <c r="AP90" i="8"/>
  <c r="AO90" i="8"/>
  <c r="AN118" i="8"/>
  <c r="AG91" i="8"/>
  <c r="AN91" i="8"/>
  <c r="AR91" i="8" s="1"/>
  <c r="AP93" i="8"/>
  <c r="AO98" i="8"/>
  <c r="AN133" i="8"/>
  <c r="AN147" i="8"/>
  <c r="AP198" i="8"/>
  <c r="AN142" i="8"/>
  <c r="AP137" i="8"/>
  <c r="AN153" i="8"/>
  <c r="AN122" i="8"/>
  <c r="AN55" i="8"/>
  <c r="AP146" i="8"/>
  <c r="AN187" i="8"/>
  <c r="AN194" i="8"/>
  <c r="AN48" i="8"/>
  <c r="AN174" i="8"/>
  <c r="AP82" i="8"/>
  <c r="AN94" i="8"/>
  <c r="AN42" i="8"/>
  <c r="AN61" i="8"/>
  <c r="AQ61" i="8" s="1"/>
  <c r="AF180" i="8"/>
  <c r="AF179" i="8"/>
  <c r="AG179" i="8" s="1"/>
  <c r="AJ179" i="8"/>
  <c r="AM179" i="8" s="1"/>
  <c r="AF79" i="8"/>
  <c r="AG79" i="8" s="1"/>
  <c r="AC80" i="8"/>
  <c r="AJ79" i="8"/>
  <c r="AM79" i="8" s="1"/>
  <c r="AP77" i="8"/>
  <c r="AO77" i="8"/>
  <c r="AC135" i="8"/>
  <c r="AF134" i="8"/>
  <c r="AG134" i="8" s="1"/>
  <c r="AJ134" i="8"/>
  <c r="AM134" i="8" s="1"/>
  <c r="AF139" i="8"/>
  <c r="AG139" i="8" s="1"/>
  <c r="AJ139" i="8"/>
  <c r="AM139" i="8" s="1"/>
  <c r="AF140" i="8"/>
  <c r="AG205" i="8"/>
  <c r="AN205" i="8"/>
  <c r="AQ205" i="8" s="1"/>
  <c r="AF191" i="8"/>
  <c r="AG191" i="8" s="1"/>
  <c r="AF192" i="8"/>
  <c r="AJ191" i="8"/>
  <c r="AM191" i="8" s="1"/>
  <c r="AP190" i="8"/>
  <c r="AO190" i="8"/>
  <c r="AF158" i="8"/>
  <c r="AG158" i="8" s="1"/>
  <c r="AC159" i="8"/>
  <c r="AJ158" i="8"/>
  <c r="AM158" i="8" s="1"/>
  <c r="AN26" i="8"/>
  <c r="AQ26" i="8" s="1"/>
  <c r="AN129" i="8"/>
  <c r="AR129" i="8" s="1"/>
  <c r="AN107" i="8"/>
  <c r="AQ107" i="8" s="1"/>
  <c r="AG151" i="8"/>
  <c r="AN151" i="8"/>
  <c r="AR151" i="8" s="1"/>
  <c r="AF95" i="8"/>
  <c r="AG95" i="8" s="1"/>
  <c r="AJ95" i="8"/>
  <c r="AM95" i="8" s="1"/>
  <c r="AF96" i="8"/>
  <c r="AF43" i="8"/>
  <c r="AG43" i="8" s="1"/>
  <c r="AC44" i="8"/>
  <c r="AJ43" i="8"/>
  <c r="AM43" i="8" s="1"/>
  <c r="AP132" i="8"/>
  <c r="AO132" i="8"/>
  <c r="AF154" i="8"/>
  <c r="AG154" i="8" s="1"/>
  <c r="AF155" i="8"/>
  <c r="AJ154" i="8"/>
  <c r="AM154" i="8" s="1"/>
  <c r="AF123" i="8"/>
  <c r="AG123" i="8" s="1"/>
  <c r="AC124" i="8"/>
  <c r="AJ123" i="8"/>
  <c r="AM123" i="8" s="1"/>
  <c r="AF84" i="8"/>
  <c r="AG84" i="8" s="1"/>
  <c r="AC85" i="8"/>
  <c r="AJ84" i="8"/>
  <c r="AM84" i="8" s="1"/>
  <c r="AF62" i="8"/>
  <c r="AG62" i="8" s="1"/>
  <c r="AC63" i="8"/>
  <c r="AJ62" i="8"/>
  <c r="AM62" i="8" s="1"/>
  <c r="AC144" i="8"/>
  <c r="AF143" i="8"/>
  <c r="AG143" i="8" s="1"/>
  <c r="AJ143" i="8"/>
  <c r="AM143" i="8" s="1"/>
  <c r="AF104" i="8"/>
  <c r="AG104" i="8" s="1"/>
  <c r="AF105" i="8"/>
  <c r="AJ104" i="8"/>
  <c r="AM104" i="8" s="1"/>
  <c r="AO189" i="8"/>
  <c r="AP189" i="8"/>
  <c r="AG27" i="8"/>
  <c r="AN27" i="8"/>
  <c r="AQ27" i="8" s="1"/>
  <c r="AP177" i="8"/>
  <c r="AO177" i="8"/>
  <c r="AF108" i="8"/>
  <c r="AG108" i="8" s="1"/>
  <c r="AF109" i="8"/>
  <c r="AJ108" i="8"/>
  <c r="AM108" i="8" s="1"/>
  <c r="AP152" i="8"/>
  <c r="AO152" i="8"/>
  <c r="AG148" i="8"/>
  <c r="AN148" i="8"/>
  <c r="AQ148" i="8" s="1"/>
  <c r="AP110" i="8"/>
  <c r="AO110" i="8"/>
  <c r="AN171" i="8"/>
  <c r="AR171" i="8" s="1"/>
  <c r="AP60" i="8"/>
  <c r="AO60" i="8"/>
  <c r="AN74" i="8"/>
  <c r="AR74" i="8" s="1"/>
  <c r="AG130" i="8"/>
  <c r="AN130" i="8"/>
  <c r="AR130" i="8" s="1"/>
  <c r="AP141" i="8"/>
  <c r="AO141" i="8"/>
  <c r="AN25" i="8"/>
  <c r="AQ25" i="8" s="1"/>
  <c r="AJ30" i="8"/>
  <c r="AM30" i="8" s="1"/>
  <c r="AF30" i="8"/>
  <c r="AG30" i="8" s="1"/>
  <c r="AF31" i="8"/>
  <c r="AN111" i="8"/>
  <c r="AR111" i="8" s="1"/>
  <c r="AF168" i="8"/>
  <c r="AG168" i="8" s="1"/>
  <c r="AJ168" i="8"/>
  <c r="AM168" i="8" s="1"/>
  <c r="AF169" i="8"/>
  <c r="AN182" i="8"/>
  <c r="AQ182" i="8" s="1"/>
  <c r="AO67" i="8"/>
  <c r="AP67" i="8"/>
  <c r="AB55" i="8"/>
  <c r="AB58" i="8"/>
  <c r="AB56" i="8"/>
  <c r="AB57" i="8"/>
  <c r="AB54" i="8"/>
  <c r="AP193" i="8"/>
  <c r="AO193" i="8"/>
  <c r="W57" i="8"/>
  <c r="W58" i="8"/>
  <c r="W56" i="8"/>
  <c r="W55" i="8"/>
  <c r="W54" i="8"/>
  <c r="AG172" i="8"/>
  <c r="AN172" i="8"/>
  <c r="AQ172" i="8" s="1"/>
  <c r="AG188" i="8"/>
  <c r="AN188" i="8"/>
  <c r="AQ188" i="8" s="1"/>
  <c r="AP48" i="8"/>
  <c r="AG164" i="8"/>
  <c r="AN164" i="8"/>
  <c r="AQ164" i="8" s="1"/>
  <c r="AO174" i="8"/>
  <c r="AG100" i="8"/>
  <c r="AN100" i="8"/>
  <c r="AQ100" i="8" s="1"/>
  <c r="AF195" i="8"/>
  <c r="AG195" i="8" s="1"/>
  <c r="AC196" i="8"/>
  <c r="AJ195" i="8"/>
  <c r="AM195" i="8" s="1"/>
  <c r="AC184" i="8"/>
  <c r="AF183" i="8"/>
  <c r="AG183" i="8" s="1"/>
  <c r="AJ183" i="8"/>
  <c r="AM183" i="8" s="1"/>
  <c r="AP162" i="8"/>
  <c r="AO162" i="8"/>
  <c r="AP178" i="8"/>
  <c r="AP170" i="8"/>
  <c r="AO170" i="8"/>
  <c r="AP156" i="8"/>
  <c r="AO156" i="8"/>
  <c r="AO118" i="8"/>
  <c r="AF119" i="8"/>
  <c r="AG119" i="8" s="1"/>
  <c r="AF120" i="8"/>
  <c r="AJ119" i="8"/>
  <c r="AM119" i="8" s="1"/>
  <c r="AN163" i="8"/>
  <c r="AQ163" i="8" s="1"/>
  <c r="AN99" i="8"/>
  <c r="AR99" i="8" s="1"/>
  <c r="AF200" i="8"/>
  <c r="AG200" i="8" s="1"/>
  <c r="AC201" i="8"/>
  <c r="AJ200" i="8"/>
  <c r="AM200" i="8" s="1"/>
  <c r="AC113" i="8"/>
  <c r="AF112" i="8"/>
  <c r="AG112" i="8" s="1"/>
  <c r="AJ112" i="8"/>
  <c r="AM112" i="8" s="1"/>
  <c r="AN56" i="8"/>
  <c r="AR56" i="8" s="1"/>
  <c r="AP128" i="8"/>
  <c r="AO128" i="8"/>
  <c r="AP203" i="8"/>
  <c r="AO203" i="8"/>
  <c r="AN68" i="8"/>
  <c r="AQ68" i="8" s="1"/>
  <c r="AN103" i="8"/>
  <c r="AR103" i="8" s="1"/>
  <c r="AP47" i="8"/>
  <c r="AO47" i="8"/>
  <c r="AP61" i="8"/>
  <c r="AN157" i="8"/>
  <c r="AR157" i="8" s="1"/>
  <c r="AN78" i="8"/>
  <c r="AR78" i="8" s="1"/>
  <c r="AC50" i="8"/>
  <c r="AF49" i="8"/>
  <c r="AG49" i="8" s="1"/>
  <c r="AJ49" i="8"/>
  <c r="AM49" i="8" s="1"/>
  <c r="AF175" i="8"/>
  <c r="AG175" i="8" s="1"/>
  <c r="AF176" i="8"/>
  <c r="AJ175" i="8"/>
  <c r="AM175" i="8" s="1"/>
  <c r="AO166" i="8"/>
  <c r="AP166" i="8"/>
  <c r="AN138" i="8"/>
  <c r="AR138" i="8" s="1"/>
  <c r="AP23" i="8"/>
  <c r="AO23" i="8"/>
  <c r="AF58" i="8"/>
  <c r="AF57" i="8"/>
  <c r="AG57" i="8" s="1"/>
  <c r="AJ57" i="8"/>
  <c r="AM57" i="8" s="1"/>
  <c r="AP28" i="8"/>
  <c r="AO28" i="8"/>
  <c r="AC70" i="8"/>
  <c r="AF69" i="8"/>
  <c r="AG69" i="8" s="1"/>
  <c r="AJ69" i="8"/>
  <c r="AM69" i="8" s="1"/>
  <c r="AC153" i="6"/>
  <c r="AF152" i="6"/>
  <c r="AF186" i="6"/>
  <c r="AC187" i="6"/>
  <c r="AC150" i="6"/>
  <c r="AF149" i="6"/>
  <c r="AF106" i="6"/>
  <c r="AC107" i="6"/>
  <c r="AC102" i="6"/>
  <c r="AF101" i="6"/>
  <c r="AF146" i="6"/>
  <c r="AC147" i="6"/>
  <c r="AF141" i="6"/>
  <c r="AC142" i="6"/>
  <c r="AC178" i="6"/>
  <c r="AF177" i="6"/>
  <c r="AF156" i="6"/>
  <c r="AC157" i="6"/>
  <c r="AF121" i="6"/>
  <c r="AC122" i="6"/>
  <c r="AF82" i="6"/>
  <c r="AC83" i="6"/>
  <c r="AC60" i="6"/>
  <c r="AF59" i="6"/>
  <c r="AC199" i="6"/>
  <c r="AJ199" i="6" s="1"/>
  <c r="AM199" i="6" s="1"/>
  <c r="AF198" i="6"/>
  <c r="AF47" i="6"/>
  <c r="AC48" i="6"/>
  <c r="AF170" i="6"/>
  <c r="AC171" i="6"/>
  <c r="AJ171" i="6" s="1"/>
  <c r="AM171" i="6" s="1"/>
  <c r="AF162" i="6"/>
  <c r="AC163" i="6"/>
  <c r="AC194" i="6"/>
  <c r="AJ194" i="6" s="1"/>
  <c r="AM194" i="6" s="1"/>
  <c r="AF193" i="6"/>
  <c r="AC174" i="6"/>
  <c r="AF173" i="6"/>
  <c r="AC204" i="6"/>
  <c r="AF203" i="6"/>
  <c r="AC118" i="6"/>
  <c r="AJ118" i="6" s="1"/>
  <c r="AM118" i="6" s="1"/>
  <c r="AF117" i="6"/>
  <c r="AC128" i="6"/>
  <c r="AF127" i="6"/>
  <c r="AD28" i="6"/>
  <c r="AE28" i="6" s="1"/>
  <c r="AC28" i="6"/>
  <c r="AF32" i="6"/>
  <c r="AC33" i="6"/>
  <c r="AC98" i="6"/>
  <c r="AF97" i="6"/>
  <c r="AC55" i="6"/>
  <c r="AF54" i="6"/>
  <c r="AC111" i="6"/>
  <c r="AF110" i="6"/>
  <c r="AF41" i="6"/>
  <c r="AC42" i="6"/>
  <c r="AJ42" i="6" s="1"/>
  <c r="AM42" i="6" s="1"/>
  <c r="AF189" i="6"/>
  <c r="AC190" i="6"/>
  <c r="AF137" i="6"/>
  <c r="AC138" i="6"/>
  <c r="AF92" i="6"/>
  <c r="AC93" i="6"/>
  <c r="AG165" i="6"/>
  <c r="AC182" i="6"/>
  <c r="AJ182" i="6" s="1"/>
  <c r="AM182" i="6" s="1"/>
  <c r="AF181" i="6"/>
  <c r="AF77" i="6"/>
  <c r="AC78" i="6"/>
  <c r="AC90" i="6"/>
  <c r="AF89" i="6"/>
  <c r="AC132" i="6"/>
  <c r="AF131" i="6"/>
  <c r="AC167" i="6"/>
  <c r="AJ167" i="6" s="1"/>
  <c r="AM167" i="6" s="1"/>
  <c r="AF166" i="6"/>
  <c r="AJ202" i="6"/>
  <c r="AM202" i="6" s="1"/>
  <c r="AJ32" i="6"/>
  <c r="AM32" i="6" s="1"/>
  <c r="AJ40" i="6"/>
  <c r="AM40" i="6" s="1"/>
  <c r="AJ48" i="6"/>
  <c r="AM48" i="6" s="1"/>
  <c r="AJ88" i="6"/>
  <c r="AM88" i="6" s="1"/>
  <c r="AJ96" i="6"/>
  <c r="AM96" i="6" s="1"/>
  <c r="AJ120" i="6"/>
  <c r="AM120" i="6" s="1"/>
  <c r="AJ128" i="6"/>
  <c r="AM128" i="6" s="1"/>
  <c r="AJ136" i="6"/>
  <c r="AM136" i="6" s="1"/>
  <c r="AJ152" i="6"/>
  <c r="AM152" i="6" s="1"/>
  <c r="AJ176" i="6"/>
  <c r="AM176" i="6" s="1"/>
  <c r="AJ101" i="6"/>
  <c r="AM101" i="6" s="1"/>
  <c r="AJ157" i="6"/>
  <c r="AM157" i="6" s="1"/>
  <c r="AJ203" i="6"/>
  <c r="AM203" i="6" s="1"/>
  <c r="AJ33" i="6"/>
  <c r="AM33" i="6" s="1"/>
  <c r="AJ41" i="6"/>
  <c r="AM41" i="6" s="1"/>
  <c r="AJ65" i="6"/>
  <c r="AM65" i="6" s="1"/>
  <c r="AJ81" i="6"/>
  <c r="AM81" i="6" s="1"/>
  <c r="AJ89" i="6"/>
  <c r="AM89" i="6" s="1"/>
  <c r="AJ97" i="6"/>
  <c r="AM97" i="6" s="1"/>
  <c r="AJ105" i="6"/>
  <c r="AM105" i="6" s="1"/>
  <c r="AJ121" i="6"/>
  <c r="AM121" i="6" s="1"/>
  <c r="AJ137" i="6"/>
  <c r="AM137" i="6" s="1"/>
  <c r="AJ145" i="6"/>
  <c r="AM145" i="6" s="1"/>
  <c r="AJ153" i="6"/>
  <c r="AM153" i="6" s="1"/>
  <c r="AJ161" i="6"/>
  <c r="AM161" i="6" s="1"/>
  <c r="AJ169" i="6"/>
  <c r="AM169" i="6" s="1"/>
  <c r="AJ177" i="6"/>
  <c r="AM177" i="6" s="1"/>
  <c r="AJ185" i="6"/>
  <c r="AM185" i="6" s="1"/>
  <c r="AJ173" i="6"/>
  <c r="AM173" i="6" s="1"/>
  <c r="AJ204" i="6"/>
  <c r="AM204" i="6" s="1"/>
  <c r="AJ58" i="6"/>
  <c r="AM58" i="6" s="1"/>
  <c r="AJ82" i="6"/>
  <c r="AM82" i="6" s="1"/>
  <c r="AJ90" i="6"/>
  <c r="AM90" i="6" s="1"/>
  <c r="AJ106" i="6"/>
  <c r="AM106" i="6" s="1"/>
  <c r="AJ122" i="6"/>
  <c r="AM122" i="6" s="1"/>
  <c r="AJ130" i="6"/>
  <c r="AM130" i="6" s="1"/>
  <c r="AJ138" i="6"/>
  <c r="AM138" i="6" s="1"/>
  <c r="AJ146" i="6"/>
  <c r="AM146" i="6" s="1"/>
  <c r="AJ162" i="6"/>
  <c r="AM162" i="6" s="1"/>
  <c r="AJ170" i="6"/>
  <c r="AM170" i="6" s="1"/>
  <c r="AJ186" i="6"/>
  <c r="AM186" i="6" s="1"/>
  <c r="AJ53" i="6"/>
  <c r="AM53" i="6" s="1"/>
  <c r="AJ93" i="6"/>
  <c r="AM93" i="6" s="1"/>
  <c r="AJ149" i="6"/>
  <c r="AM149" i="6" s="1"/>
  <c r="AJ189" i="6"/>
  <c r="AM189" i="6" s="1"/>
  <c r="AJ197" i="6"/>
  <c r="AM197" i="6" s="1"/>
  <c r="AJ205" i="6"/>
  <c r="AM205" i="6" s="1"/>
  <c r="AJ59" i="6"/>
  <c r="AM59" i="6" s="1"/>
  <c r="AJ83" i="6"/>
  <c r="AM83" i="6" s="1"/>
  <c r="AJ91" i="6"/>
  <c r="AM91" i="6" s="1"/>
  <c r="AJ107" i="6"/>
  <c r="AM107" i="6" s="1"/>
  <c r="AJ131" i="6"/>
  <c r="AM131" i="6" s="1"/>
  <c r="AJ147" i="6"/>
  <c r="AM147" i="6" s="1"/>
  <c r="AJ155" i="6"/>
  <c r="AM155" i="6" s="1"/>
  <c r="AJ163" i="6"/>
  <c r="AM163" i="6" s="1"/>
  <c r="AJ187" i="6"/>
  <c r="AM187" i="6" s="1"/>
  <c r="AJ27" i="6"/>
  <c r="AM27" i="6" s="1"/>
  <c r="AJ76" i="6"/>
  <c r="AM76" i="6" s="1"/>
  <c r="AJ100" i="6"/>
  <c r="AM100" i="6" s="1"/>
  <c r="AJ148" i="6"/>
  <c r="AM148" i="6" s="1"/>
  <c r="AJ156" i="6"/>
  <c r="AM156" i="6" s="1"/>
  <c r="AJ172" i="6"/>
  <c r="AM172" i="6" s="1"/>
  <c r="AJ180" i="6"/>
  <c r="AM180" i="6" s="1"/>
  <c r="AJ77" i="6"/>
  <c r="AM77" i="6" s="1"/>
  <c r="AJ165" i="6"/>
  <c r="AM165" i="6" s="1"/>
  <c r="AJ198" i="6"/>
  <c r="AM198" i="6" s="1"/>
  <c r="AJ92" i="6"/>
  <c r="AM92" i="6" s="1"/>
  <c r="AJ116" i="6"/>
  <c r="AM116" i="6" s="1"/>
  <c r="AJ140" i="6"/>
  <c r="AM140" i="6" s="1"/>
  <c r="AJ164" i="6"/>
  <c r="AM164" i="6" s="1"/>
  <c r="AJ188" i="6"/>
  <c r="AM188" i="6" s="1"/>
  <c r="AJ109" i="6"/>
  <c r="AM109" i="6" s="1"/>
  <c r="AJ193" i="6"/>
  <c r="AM193" i="6" s="1"/>
  <c r="AJ31" i="6"/>
  <c r="AM31" i="6" s="1"/>
  <c r="AJ47" i="6"/>
  <c r="AM47" i="6" s="1"/>
  <c r="AJ55" i="6"/>
  <c r="AM55" i="6" s="1"/>
  <c r="AJ71" i="6"/>
  <c r="AM71" i="6" s="1"/>
  <c r="AJ111" i="6"/>
  <c r="AM111" i="6" s="1"/>
  <c r="AJ127" i="6"/>
  <c r="AM127" i="6" s="1"/>
  <c r="AJ151" i="6"/>
  <c r="AM151" i="6" s="1"/>
  <c r="AJ117" i="6"/>
  <c r="AM117" i="6" s="1"/>
  <c r="AJ141" i="6"/>
  <c r="AM141" i="6" s="1"/>
  <c r="AJ181" i="6"/>
  <c r="AM181" i="6" s="1"/>
  <c r="AJ174" i="6"/>
  <c r="AM174" i="6" s="1"/>
  <c r="AJ54" i="6"/>
  <c r="AM54" i="6" s="1"/>
  <c r="AJ150" i="6"/>
  <c r="AM150" i="6" s="1"/>
  <c r="AJ126" i="6"/>
  <c r="AM126" i="6" s="1"/>
  <c r="AJ190" i="6"/>
  <c r="AM190" i="6" s="1"/>
  <c r="AJ192" i="6"/>
  <c r="AM192" i="6" s="1"/>
  <c r="AJ78" i="6"/>
  <c r="AM78" i="6" s="1"/>
  <c r="AJ142" i="6"/>
  <c r="AM142" i="6" s="1"/>
  <c r="AJ102" i="6"/>
  <c r="AM102" i="6" s="1"/>
  <c r="AJ166" i="6"/>
  <c r="AM166" i="6" s="1"/>
  <c r="AJ46" i="6"/>
  <c r="AM46" i="6" s="1"/>
  <c r="AJ110" i="6"/>
  <c r="AM110" i="6" s="1"/>
  <c r="AB31" i="6"/>
  <c r="AB30" i="6"/>
  <c r="AB29" i="6"/>
  <c r="AB28" i="6"/>
  <c r="AC23" i="6"/>
  <c r="AF23" i="6" s="1"/>
  <c r="W31" i="6"/>
  <c r="W28" i="6"/>
  <c r="W30" i="6"/>
  <c r="W29" i="6"/>
  <c r="X120" i="6"/>
  <c r="X126" i="6" s="1"/>
  <c r="X130" i="6" s="1"/>
  <c r="X136" i="6" s="1"/>
  <c r="X140" i="6" s="1"/>
  <c r="X145" i="6" s="1"/>
  <c r="X148" i="6" s="1"/>
  <c r="X151" i="6" s="1"/>
  <c r="X155" i="6" s="1"/>
  <c r="X161" i="6" s="1"/>
  <c r="X164" i="6" s="1"/>
  <c r="X165" i="6" s="1"/>
  <c r="X169" i="6" s="1"/>
  <c r="X172" i="6" s="1"/>
  <c r="X176" i="6" s="1"/>
  <c r="X180" i="6" s="1"/>
  <c r="X185" i="6" s="1"/>
  <c r="X188" i="6" s="1"/>
  <c r="X192" i="6" s="1"/>
  <c r="X197" i="6" s="1"/>
  <c r="X202" i="6" s="1"/>
  <c r="X205" i="6" s="1"/>
  <c r="X24" i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AG24" i="1"/>
  <c r="AJ24" i="1" s="1"/>
  <c r="AK24" i="1" s="1"/>
  <c r="AL24" i="1" s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25" i="1"/>
  <c r="C20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25" i="1"/>
  <c r="AE24" i="1"/>
  <c r="AC26" i="1"/>
  <c r="AC27" i="1"/>
  <c r="AC28" i="1"/>
  <c r="AC29" i="1"/>
  <c r="AC30" i="1"/>
  <c r="AD30" i="1" s="1"/>
  <c r="AE30" i="1" s="1"/>
  <c r="AC31" i="1"/>
  <c r="AC32" i="1"/>
  <c r="AC33" i="1"/>
  <c r="AH33" i="1" s="1"/>
  <c r="AC34" i="1"/>
  <c r="AC35" i="1"/>
  <c r="AC36" i="1"/>
  <c r="AD36" i="1" s="1"/>
  <c r="AE36" i="1" s="1"/>
  <c r="AC37" i="1"/>
  <c r="AC38" i="1"/>
  <c r="AD38" i="1" s="1"/>
  <c r="AE38" i="1" s="1"/>
  <c r="AC39" i="1"/>
  <c r="AC40" i="1"/>
  <c r="AC41" i="1"/>
  <c r="AH41" i="1" s="1"/>
  <c r="AJ41" i="1" s="1"/>
  <c r="AK41" i="1" s="1"/>
  <c r="AL41" i="1" s="1"/>
  <c r="AC42" i="1"/>
  <c r="AC43" i="1"/>
  <c r="AC44" i="1"/>
  <c r="AD44" i="1" s="1"/>
  <c r="AE44" i="1" s="1"/>
  <c r="AC45" i="1"/>
  <c r="AC46" i="1"/>
  <c r="AD46" i="1" s="1"/>
  <c r="AE46" i="1" s="1"/>
  <c r="AC47" i="1"/>
  <c r="AC48" i="1"/>
  <c r="AC49" i="1"/>
  <c r="AH49" i="1" s="1"/>
  <c r="AJ49" i="1" s="1"/>
  <c r="AK49" i="1" s="1"/>
  <c r="AL49" i="1" s="1"/>
  <c r="AC50" i="1"/>
  <c r="AC51" i="1"/>
  <c r="AC52" i="1"/>
  <c r="AD52" i="1" s="1"/>
  <c r="AE52" i="1" s="1"/>
  <c r="AC53" i="1"/>
  <c r="AC54" i="1"/>
  <c r="AD54" i="1" s="1"/>
  <c r="AE54" i="1" s="1"/>
  <c r="AC55" i="1"/>
  <c r="AC56" i="1"/>
  <c r="AC57" i="1"/>
  <c r="AH57" i="1" s="1"/>
  <c r="AJ57" i="1" s="1"/>
  <c r="AK57" i="1" s="1"/>
  <c r="AL57" i="1" s="1"/>
  <c r="AC58" i="1"/>
  <c r="AC59" i="1"/>
  <c r="AC60" i="1"/>
  <c r="AD60" i="1" s="1"/>
  <c r="AE60" i="1" s="1"/>
  <c r="AC61" i="1"/>
  <c r="AC62" i="1"/>
  <c r="AD62" i="1" s="1"/>
  <c r="AE62" i="1" s="1"/>
  <c r="AC63" i="1"/>
  <c r="AC25" i="1"/>
  <c r="AD25" i="1" s="1"/>
  <c r="AE25" i="1" s="1"/>
  <c r="AB25" i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F16" i="1"/>
  <c r="F13" i="1"/>
  <c r="W25" i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AH25" i="1" l="1"/>
  <c r="AP133" i="8"/>
  <c r="AR133" i="8"/>
  <c r="AO150" i="8"/>
  <c r="AR150" i="8"/>
  <c r="AJ35" i="8"/>
  <c r="AM35" i="8" s="1"/>
  <c r="AN35" i="8" s="1"/>
  <c r="AP42" i="8"/>
  <c r="AR42" i="8"/>
  <c r="AO55" i="8"/>
  <c r="AR55" i="8"/>
  <c r="AO187" i="8"/>
  <c r="AR187" i="8"/>
  <c r="AP147" i="8"/>
  <c r="AR147" i="8"/>
  <c r="AF35" i="8"/>
  <c r="AG35" i="8" s="1"/>
  <c r="AP94" i="8"/>
  <c r="AR94" i="8"/>
  <c r="AP167" i="8"/>
  <c r="AR167" i="8"/>
  <c r="AP199" i="8"/>
  <c r="AR199" i="8"/>
  <c r="AP174" i="8"/>
  <c r="AR174" i="8"/>
  <c r="AO48" i="8"/>
  <c r="AR48" i="8"/>
  <c r="AO142" i="8"/>
  <c r="AR142" i="8"/>
  <c r="AP118" i="8"/>
  <c r="AR118" i="8"/>
  <c r="AO194" i="8"/>
  <c r="AR194" i="8"/>
  <c r="AO167" i="8"/>
  <c r="AJ75" i="8"/>
  <c r="AM75" i="8" s="1"/>
  <c r="AN75" i="8" s="1"/>
  <c r="AF75" i="8"/>
  <c r="AG75" i="8" s="1"/>
  <c r="AP83" i="8"/>
  <c r="AO83" i="8"/>
  <c r="AP150" i="8"/>
  <c r="AO199" i="8"/>
  <c r="AO33" i="8"/>
  <c r="AP33" i="8"/>
  <c r="AO73" i="8"/>
  <c r="AO147" i="8"/>
  <c r="AP73" i="8"/>
  <c r="AN168" i="8"/>
  <c r="AQ168" i="8" s="1"/>
  <c r="AO24" i="8"/>
  <c r="AQ24" i="8"/>
  <c r="AP187" i="8"/>
  <c r="AP122" i="8"/>
  <c r="AQ122" i="8"/>
  <c r="AP34" i="8"/>
  <c r="AQ34" i="8"/>
  <c r="AP153" i="8"/>
  <c r="AQ153" i="8"/>
  <c r="AP29" i="8"/>
  <c r="AQ29" i="8"/>
  <c r="AO61" i="8"/>
  <c r="AP204" i="8"/>
  <c r="AQ204" i="8"/>
  <c r="AO178" i="8"/>
  <c r="AP24" i="8"/>
  <c r="AO29" i="8"/>
  <c r="AN200" i="8"/>
  <c r="AO204" i="8"/>
  <c r="AO122" i="8"/>
  <c r="AP194" i="8"/>
  <c r="AP142" i="8"/>
  <c r="AO133" i="8"/>
  <c r="AN123" i="8"/>
  <c r="AQ123" i="8" s="1"/>
  <c r="AN43" i="8"/>
  <c r="AQ43" i="8" s="1"/>
  <c r="AO42" i="8"/>
  <c r="AO91" i="8"/>
  <c r="AP91" i="8"/>
  <c r="AO153" i="8"/>
  <c r="AO34" i="8"/>
  <c r="AN191" i="8"/>
  <c r="AN119" i="8"/>
  <c r="AN195" i="8"/>
  <c r="AN108" i="8"/>
  <c r="AP55" i="8"/>
  <c r="AN57" i="8"/>
  <c r="AN179" i="8"/>
  <c r="AN104" i="8"/>
  <c r="AN62" i="8"/>
  <c r="AQ62" i="8" s="1"/>
  <c r="AO94" i="8"/>
  <c r="AN69" i="8"/>
  <c r="AN183" i="8"/>
  <c r="AN84" i="8"/>
  <c r="AN158" i="8"/>
  <c r="AN79" i="8"/>
  <c r="AN49" i="8"/>
  <c r="AN112" i="8"/>
  <c r="AN134" i="8"/>
  <c r="AP56" i="8"/>
  <c r="AO56" i="8"/>
  <c r="AP25" i="8"/>
  <c r="AO25" i="8"/>
  <c r="AP27" i="8"/>
  <c r="AO27" i="8"/>
  <c r="AC86" i="8"/>
  <c r="AF85" i="8"/>
  <c r="AG85" i="8" s="1"/>
  <c r="AJ85" i="8"/>
  <c r="AM85" i="8" s="1"/>
  <c r="AP151" i="8"/>
  <c r="AO151" i="8"/>
  <c r="AF159" i="8"/>
  <c r="AG159" i="8" s="1"/>
  <c r="AC160" i="8"/>
  <c r="AJ159" i="8"/>
  <c r="AM159" i="8" s="1"/>
  <c r="AF80" i="8"/>
  <c r="AG80" i="8" s="1"/>
  <c r="AF81" i="8"/>
  <c r="AJ80" i="8"/>
  <c r="AM80" i="8" s="1"/>
  <c r="AP138" i="8"/>
  <c r="AO138" i="8"/>
  <c r="AO188" i="8"/>
  <c r="AP188" i="8"/>
  <c r="AP103" i="8"/>
  <c r="AO103" i="8"/>
  <c r="AG120" i="8"/>
  <c r="AN120" i="8"/>
  <c r="AQ120" i="8" s="1"/>
  <c r="AF196" i="8"/>
  <c r="AG196" i="8" s="1"/>
  <c r="AF197" i="8"/>
  <c r="AJ196" i="8"/>
  <c r="AM196" i="8" s="1"/>
  <c r="AN143" i="8"/>
  <c r="AQ143" i="8" s="1"/>
  <c r="AG192" i="8"/>
  <c r="AN192" i="8"/>
  <c r="AQ192" i="8" s="1"/>
  <c r="AP205" i="8"/>
  <c r="AO205" i="8"/>
  <c r="AF36" i="8"/>
  <c r="AG36" i="8" s="1"/>
  <c r="AC37" i="8"/>
  <c r="AJ36" i="8"/>
  <c r="AM36" i="8" s="1"/>
  <c r="AF50" i="8"/>
  <c r="AG50" i="8" s="1"/>
  <c r="AJ50" i="8"/>
  <c r="AM50" i="8" s="1"/>
  <c r="AC51" i="8"/>
  <c r="AP68" i="8"/>
  <c r="AO68" i="8"/>
  <c r="AC114" i="8"/>
  <c r="AF113" i="8"/>
  <c r="AG113" i="8" s="1"/>
  <c r="AJ113" i="8"/>
  <c r="AM113" i="8" s="1"/>
  <c r="AB61" i="8"/>
  <c r="AB64" i="8"/>
  <c r="AB62" i="8"/>
  <c r="AB60" i="8"/>
  <c r="AB63" i="8"/>
  <c r="AB65" i="8"/>
  <c r="AB59" i="8"/>
  <c r="AO111" i="8"/>
  <c r="AP111" i="8"/>
  <c r="AP43" i="8"/>
  <c r="AP107" i="8"/>
  <c r="AO107" i="8"/>
  <c r="AF135" i="8"/>
  <c r="AG135" i="8" s="1"/>
  <c r="AF136" i="8"/>
  <c r="AJ135" i="8"/>
  <c r="AM135" i="8" s="1"/>
  <c r="AP78" i="8"/>
  <c r="AO78" i="8"/>
  <c r="AP164" i="8"/>
  <c r="AO164" i="8"/>
  <c r="W60" i="8"/>
  <c r="W63" i="8"/>
  <c r="W64" i="8"/>
  <c r="W61" i="8"/>
  <c r="W59" i="8"/>
  <c r="W62" i="8"/>
  <c r="W65" i="8"/>
  <c r="AG31" i="8"/>
  <c r="AN31" i="8"/>
  <c r="AR31" i="8" s="1"/>
  <c r="AP130" i="8"/>
  <c r="AO130" i="8"/>
  <c r="AP74" i="8"/>
  <c r="AO74" i="8"/>
  <c r="AP148" i="8"/>
  <c r="AO148" i="8"/>
  <c r="AF144" i="8"/>
  <c r="AG144" i="8" s="1"/>
  <c r="AF145" i="8"/>
  <c r="AJ144" i="8"/>
  <c r="AM144" i="8" s="1"/>
  <c r="AF124" i="8"/>
  <c r="AG124" i="8" s="1"/>
  <c r="AC125" i="8"/>
  <c r="AJ124" i="8"/>
  <c r="AM124" i="8" s="1"/>
  <c r="AF44" i="8"/>
  <c r="AG44" i="8" s="1"/>
  <c r="AC45" i="8"/>
  <c r="AJ44" i="8"/>
  <c r="AM44" i="8" s="1"/>
  <c r="AG58" i="8"/>
  <c r="AN58" i="8"/>
  <c r="AQ58" i="8" s="1"/>
  <c r="AO157" i="8"/>
  <c r="AP157" i="8"/>
  <c r="AF202" i="8"/>
  <c r="AF201" i="8"/>
  <c r="AG201" i="8" s="1"/>
  <c r="AJ201" i="8"/>
  <c r="AM201" i="8" s="1"/>
  <c r="AG109" i="8"/>
  <c r="AN109" i="8"/>
  <c r="AR109" i="8" s="1"/>
  <c r="AG180" i="8"/>
  <c r="AN180" i="8"/>
  <c r="AQ180" i="8" s="1"/>
  <c r="AF70" i="8"/>
  <c r="AG70" i="8" s="1"/>
  <c r="AF71" i="8"/>
  <c r="AJ70" i="8"/>
  <c r="AM70" i="8" s="1"/>
  <c r="AF184" i="8"/>
  <c r="AG184" i="8" s="1"/>
  <c r="AJ184" i="8"/>
  <c r="AM184" i="8" s="1"/>
  <c r="AF185" i="8"/>
  <c r="AN175" i="8"/>
  <c r="AR175" i="8" s="1"/>
  <c r="AP100" i="8"/>
  <c r="AO100" i="8"/>
  <c r="AG76" i="8"/>
  <c r="AN76" i="8"/>
  <c r="AR76" i="8" s="1"/>
  <c r="AN30" i="8"/>
  <c r="AQ30" i="8" s="1"/>
  <c r="AG105" i="8"/>
  <c r="AN105" i="8"/>
  <c r="AQ105" i="8" s="1"/>
  <c r="AC64" i="8"/>
  <c r="AF63" i="8"/>
  <c r="AG63" i="8" s="1"/>
  <c r="AJ63" i="8"/>
  <c r="AM63" i="8" s="1"/>
  <c r="AN154" i="8"/>
  <c r="AR154" i="8" s="1"/>
  <c r="AG96" i="8"/>
  <c r="AN96" i="8"/>
  <c r="AQ96" i="8" s="1"/>
  <c r="AP129" i="8"/>
  <c r="AO129" i="8"/>
  <c r="AG140" i="8"/>
  <c r="AN140" i="8"/>
  <c r="AQ140" i="8" s="1"/>
  <c r="AP163" i="8"/>
  <c r="AO163" i="8"/>
  <c r="AG169" i="8"/>
  <c r="AN169" i="8"/>
  <c r="AQ169" i="8" s="1"/>
  <c r="AG176" i="8"/>
  <c r="AN176" i="8"/>
  <c r="AQ176" i="8" s="1"/>
  <c r="AP99" i="8"/>
  <c r="AO99" i="8"/>
  <c r="AP172" i="8"/>
  <c r="AO172" i="8"/>
  <c r="AP182" i="8"/>
  <c r="AO182" i="8"/>
  <c r="AP171" i="8"/>
  <c r="AO171" i="8"/>
  <c r="AG155" i="8"/>
  <c r="AN155" i="8"/>
  <c r="AR155" i="8" s="1"/>
  <c r="AN95" i="8"/>
  <c r="AR95" i="8" s="1"/>
  <c r="AP26" i="8"/>
  <c r="AO26" i="8"/>
  <c r="AN139" i="8"/>
  <c r="AQ139" i="8" s="1"/>
  <c r="AN131" i="6"/>
  <c r="AG131" i="6"/>
  <c r="AG189" i="6"/>
  <c r="AC99" i="6"/>
  <c r="AF98" i="6"/>
  <c r="AN117" i="6"/>
  <c r="AG117" i="6"/>
  <c r="AF163" i="6"/>
  <c r="AF164" i="6"/>
  <c r="AN59" i="6"/>
  <c r="AG59" i="6"/>
  <c r="AG177" i="6"/>
  <c r="AC108" i="6"/>
  <c r="AF107" i="6"/>
  <c r="AC61" i="6"/>
  <c r="AF60" i="6"/>
  <c r="AG23" i="6"/>
  <c r="AJ60" i="6"/>
  <c r="AM60" i="6" s="1"/>
  <c r="AN89" i="6"/>
  <c r="AP89" i="6" s="1"/>
  <c r="AG89" i="6"/>
  <c r="AC94" i="6"/>
  <c r="AF93" i="6"/>
  <c r="AN41" i="6"/>
  <c r="AG41" i="6"/>
  <c r="AG32" i="6"/>
  <c r="AN203" i="6"/>
  <c r="AG203" i="6"/>
  <c r="AF171" i="6"/>
  <c r="AF172" i="6"/>
  <c r="AC84" i="6"/>
  <c r="AF83" i="6"/>
  <c r="AC143" i="6"/>
  <c r="AF142" i="6"/>
  <c r="AG149" i="6"/>
  <c r="AN92" i="6"/>
  <c r="AP92" i="6" s="1"/>
  <c r="AG162" i="6"/>
  <c r="AN32" i="6"/>
  <c r="AP32" i="6" s="1"/>
  <c r="AF90" i="6"/>
  <c r="AF91" i="6"/>
  <c r="AG92" i="6"/>
  <c r="AN110" i="6"/>
  <c r="AG110" i="6"/>
  <c r="AC29" i="6"/>
  <c r="AF28" i="6"/>
  <c r="AF204" i="6"/>
  <c r="AF205" i="6"/>
  <c r="AG170" i="6"/>
  <c r="AN82" i="6"/>
  <c r="AG82" i="6"/>
  <c r="AN141" i="6"/>
  <c r="AG141" i="6"/>
  <c r="AF150" i="6"/>
  <c r="AF151" i="6"/>
  <c r="AC133" i="6"/>
  <c r="AF132" i="6"/>
  <c r="AF33" i="6"/>
  <c r="AC34" i="6"/>
  <c r="AC179" i="6"/>
  <c r="AF178" i="6"/>
  <c r="AN193" i="6"/>
  <c r="AP193" i="6" s="1"/>
  <c r="AN54" i="6"/>
  <c r="AP54" i="6" s="1"/>
  <c r="AJ28" i="6"/>
  <c r="AM28" i="6" s="1"/>
  <c r="AJ178" i="6"/>
  <c r="AM178" i="6" s="1"/>
  <c r="AC79" i="6"/>
  <c r="AF78" i="6"/>
  <c r="AJ23" i="6"/>
  <c r="AM23" i="6" s="1"/>
  <c r="AF111" i="6"/>
  <c r="AC112" i="6"/>
  <c r="AN173" i="6"/>
  <c r="AG173" i="6"/>
  <c r="AC49" i="6"/>
  <c r="AF48" i="6"/>
  <c r="AC123" i="6"/>
  <c r="AF122" i="6"/>
  <c r="AF147" i="6"/>
  <c r="AF148" i="6"/>
  <c r="AF187" i="6"/>
  <c r="AF188" i="6"/>
  <c r="AC119" i="6"/>
  <c r="AF118" i="6"/>
  <c r="AN170" i="6"/>
  <c r="AP170" i="6" s="1"/>
  <c r="AN77" i="6"/>
  <c r="AG77" i="6"/>
  <c r="AC139" i="6"/>
  <c r="AF138" i="6"/>
  <c r="AG54" i="6"/>
  <c r="AC175" i="6"/>
  <c r="AF174" i="6"/>
  <c r="AN47" i="6"/>
  <c r="AG47" i="6"/>
  <c r="AN121" i="6"/>
  <c r="AG121" i="6"/>
  <c r="AN146" i="6"/>
  <c r="AG146" i="6"/>
  <c r="AN186" i="6"/>
  <c r="AG186" i="6"/>
  <c r="AC43" i="6"/>
  <c r="AF42" i="6"/>
  <c r="AN106" i="6"/>
  <c r="AG106" i="6"/>
  <c r="AN165" i="6"/>
  <c r="AP165" i="6" s="1"/>
  <c r="AJ132" i="6"/>
  <c r="AM132" i="6" s="1"/>
  <c r="AN189" i="6"/>
  <c r="AP189" i="6" s="1"/>
  <c r="AN162" i="6"/>
  <c r="AP162" i="6" s="1"/>
  <c r="AJ98" i="6"/>
  <c r="AM98" i="6" s="1"/>
  <c r="AN166" i="6"/>
  <c r="AG166" i="6"/>
  <c r="AN181" i="6"/>
  <c r="AG181" i="6"/>
  <c r="AN137" i="6"/>
  <c r="AG137" i="6"/>
  <c r="AC56" i="6"/>
  <c r="AF55" i="6"/>
  <c r="AN127" i="6"/>
  <c r="AG127" i="6"/>
  <c r="AG193" i="6"/>
  <c r="AN198" i="6"/>
  <c r="AG198" i="6"/>
  <c r="AC158" i="6"/>
  <c r="AF157" i="6"/>
  <c r="AN101" i="6"/>
  <c r="AG101" i="6"/>
  <c r="AN152" i="6"/>
  <c r="AG152" i="6"/>
  <c r="AN149" i="6"/>
  <c r="AP149" i="6" s="1"/>
  <c r="AN177" i="6"/>
  <c r="AP177" i="6" s="1"/>
  <c r="AC168" i="6"/>
  <c r="AF167" i="6"/>
  <c r="AC183" i="6"/>
  <c r="AF182" i="6"/>
  <c r="AC191" i="6"/>
  <c r="AF190" i="6"/>
  <c r="AN97" i="6"/>
  <c r="AG97" i="6"/>
  <c r="AC129" i="6"/>
  <c r="AF128" i="6"/>
  <c r="AC195" i="6"/>
  <c r="AF194" i="6"/>
  <c r="AC200" i="6"/>
  <c r="AF199" i="6"/>
  <c r="AN156" i="6"/>
  <c r="AG156" i="6"/>
  <c r="AC103" i="6"/>
  <c r="AF102" i="6"/>
  <c r="AC154" i="6"/>
  <c r="AF153" i="6"/>
  <c r="AC26" i="6"/>
  <c r="AC25" i="6"/>
  <c r="AC24" i="6"/>
  <c r="AB40" i="6"/>
  <c r="AB33" i="6"/>
  <c r="AB32" i="6"/>
  <c r="AB34" i="6"/>
  <c r="AB35" i="6"/>
  <c r="AB39" i="6"/>
  <c r="AB36" i="6"/>
  <c r="AB37" i="6"/>
  <c r="AB38" i="6"/>
  <c r="W40" i="6"/>
  <c r="W36" i="6"/>
  <c r="W37" i="6"/>
  <c r="W39" i="6"/>
  <c r="W35" i="6"/>
  <c r="W32" i="6"/>
  <c r="W33" i="6"/>
  <c r="W38" i="6"/>
  <c r="W34" i="6"/>
  <c r="AH58" i="1"/>
  <c r="AJ58" i="1" s="1"/>
  <c r="AK58" i="1" s="1"/>
  <c r="AL58" i="1" s="1"/>
  <c r="AH50" i="1"/>
  <c r="AJ50" i="1" s="1"/>
  <c r="AK50" i="1" s="1"/>
  <c r="AH42" i="1"/>
  <c r="AJ42" i="1" s="1"/>
  <c r="AK42" i="1" s="1"/>
  <c r="AH34" i="1"/>
  <c r="AJ34" i="1" s="1"/>
  <c r="AK34" i="1" s="1"/>
  <c r="AH26" i="1"/>
  <c r="AJ26" i="1" s="1"/>
  <c r="AK26" i="1" s="1"/>
  <c r="AJ33" i="1"/>
  <c r="AK33" i="1" s="1"/>
  <c r="AL33" i="1" s="1"/>
  <c r="AD28" i="1"/>
  <c r="AE28" i="1" s="1"/>
  <c r="AH31" i="1"/>
  <c r="AJ31" i="1" s="1"/>
  <c r="AK31" i="1" s="1"/>
  <c r="AH48" i="1"/>
  <c r="AJ48" i="1" s="1"/>
  <c r="AK48" i="1" s="1"/>
  <c r="AD48" i="1"/>
  <c r="AE48" i="1" s="1"/>
  <c r="AD32" i="1"/>
  <c r="AE32" i="1" s="1"/>
  <c r="AH32" i="1"/>
  <c r="AJ32" i="1" s="1"/>
  <c r="AK32" i="1" s="1"/>
  <c r="AD61" i="1"/>
  <c r="AE61" i="1" s="1"/>
  <c r="AD53" i="1"/>
  <c r="AE53" i="1" s="1"/>
  <c r="AD45" i="1"/>
  <c r="AE45" i="1" s="1"/>
  <c r="AD37" i="1"/>
  <c r="AE37" i="1" s="1"/>
  <c r="AD29" i="1"/>
  <c r="AE29" i="1" s="1"/>
  <c r="AD57" i="1"/>
  <c r="AE57" i="1" s="1"/>
  <c r="AD41" i="1"/>
  <c r="AE41" i="1" s="1"/>
  <c r="AD63" i="1"/>
  <c r="AE63" i="1" s="1"/>
  <c r="AD56" i="1"/>
  <c r="AE56" i="1" s="1"/>
  <c r="AD47" i="1"/>
  <c r="AE47" i="1" s="1"/>
  <c r="AD39" i="1"/>
  <c r="AE39" i="1" s="1"/>
  <c r="AD31" i="1"/>
  <c r="AE31" i="1" s="1"/>
  <c r="AH37" i="1"/>
  <c r="AJ37" i="1" s="1"/>
  <c r="AK37" i="1" s="1"/>
  <c r="AL37" i="1" s="1"/>
  <c r="AD40" i="1"/>
  <c r="AE40" i="1" s="1"/>
  <c r="AH62" i="1"/>
  <c r="AJ62" i="1" s="1"/>
  <c r="AK62" i="1" s="1"/>
  <c r="AH30" i="1"/>
  <c r="AJ30" i="1" s="1"/>
  <c r="AK30" i="1" s="1"/>
  <c r="AD55" i="1"/>
  <c r="AE55" i="1" s="1"/>
  <c r="AH61" i="1"/>
  <c r="AJ61" i="1" s="1"/>
  <c r="AK61" i="1" s="1"/>
  <c r="AH45" i="1"/>
  <c r="AJ45" i="1" s="1"/>
  <c r="AK45" i="1" s="1"/>
  <c r="AH29" i="1"/>
  <c r="AJ29" i="1" s="1"/>
  <c r="AK29" i="1" s="1"/>
  <c r="AM57" i="1"/>
  <c r="AM49" i="1"/>
  <c r="AM41" i="1"/>
  <c r="AH63" i="1"/>
  <c r="AJ63" i="1" s="1"/>
  <c r="AK63" i="1" s="1"/>
  <c r="AH47" i="1"/>
  <c r="AJ47" i="1" s="1"/>
  <c r="AK47" i="1" s="1"/>
  <c r="AH46" i="1"/>
  <c r="AJ46" i="1" s="1"/>
  <c r="AK46" i="1" s="1"/>
  <c r="AD59" i="1"/>
  <c r="AE59" i="1" s="1"/>
  <c r="AD51" i="1"/>
  <c r="AE51" i="1" s="1"/>
  <c r="AD43" i="1"/>
  <c r="AE43" i="1" s="1"/>
  <c r="AD35" i="1"/>
  <c r="AE35" i="1" s="1"/>
  <c r="AD27" i="1"/>
  <c r="AE27" i="1" s="1"/>
  <c r="AH56" i="1"/>
  <c r="AJ56" i="1" s="1"/>
  <c r="AK56" i="1" s="1"/>
  <c r="AH40" i="1"/>
  <c r="AJ40" i="1" s="1"/>
  <c r="AK40" i="1" s="1"/>
  <c r="AD49" i="1"/>
  <c r="AE49" i="1" s="1"/>
  <c r="AD33" i="1"/>
  <c r="AE33" i="1" s="1"/>
  <c r="AH55" i="1"/>
  <c r="AJ55" i="1" s="1"/>
  <c r="AK55" i="1" s="1"/>
  <c r="AH39" i="1"/>
  <c r="AJ39" i="1" s="1"/>
  <c r="AK39" i="1" s="1"/>
  <c r="AH54" i="1"/>
  <c r="AJ54" i="1" s="1"/>
  <c r="AK54" i="1" s="1"/>
  <c r="AH38" i="1"/>
  <c r="AJ38" i="1" s="1"/>
  <c r="AK38" i="1" s="1"/>
  <c r="AH53" i="1"/>
  <c r="AJ53" i="1" s="1"/>
  <c r="AK53" i="1" s="1"/>
  <c r="AJ25" i="1"/>
  <c r="AK25" i="1" s="1"/>
  <c r="AD58" i="1"/>
  <c r="AE58" i="1" s="1"/>
  <c r="AD50" i="1"/>
  <c r="AE50" i="1" s="1"/>
  <c r="AD42" i="1"/>
  <c r="AE42" i="1" s="1"/>
  <c r="AD34" i="1"/>
  <c r="AE34" i="1" s="1"/>
  <c r="AD26" i="1"/>
  <c r="AE26" i="1" s="1"/>
  <c r="AH60" i="1"/>
  <c r="AJ60" i="1" s="1"/>
  <c r="AK60" i="1" s="1"/>
  <c r="AH52" i="1"/>
  <c r="AJ52" i="1" s="1"/>
  <c r="AK52" i="1" s="1"/>
  <c r="AH44" i="1"/>
  <c r="AJ44" i="1" s="1"/>
  <c r="AK44" i="1" s="1"/>
  <c r="AH36" i="1"/>
  <c r="AJ36" i="1" s="1"/>
  <c r="AK36" i="1" s="1"/>
  <c r="AH28" i="1"/>
  <c r="AJ28" i="1" s="1"/>
  <c r="AK28" i="1" s="1"/>
  <c r="AH59" i="1"/>
  <c r="AJ59" i="1" s="1"/>
  <c r="AK59" i="1" s="1"/>
  <c r="AH51" i="1"/>
  <c r="AJ51" i="1" s="1"/>
  <c r="AK51" i="1" s="1"/>
  <c r="AH43" i="1"/>
  <c r="AJ43" i="1" s="1"/>
  <c r="AK43" i="1" s="1"/>
  <c r="AH35" i="1"/>
  <c r="AJ35" i="1" s="1"/>
  <c r="AK35" i="1" s="1"/>
  <c r="AH27" i="1"/>
  <c r="AJ27" i="1" s="1"/>
  <c r="AK27" i="1" s="1"/>
  <c r="AP84" i="8" l="1"/>
  <c r="AR84" i="8"/>
  <c r="AO200" i="8"/>
  <c r="AR200" i="8"/>
  <c r="AP134" i="8"/>
  <c r="AR134" i="8"/>
  <c r="AO112" i="8"/>
  <c r="AR112" i="8"/>
  <c r="AO119" i="8"/>
  <c r="AR119" i="8"/>
  <c r="AP123" i="8"/>
  <c r="AO49" i="8"/>
  <c r="AR49" i="8"/>
  <c r="AO104" i="8"/>
  <c r="AR104" i="8"/>
  <c r="AO79" i="8"/>
  <c r="AR79" i="8"/>
  <c r="AP179" i="8"/>
  <c r="AR179" i="8"/>
  <c r="AP75" i="8"/>
  <c r="AR75" i="8"/>
  <c r="AO75" i="8"/>
  <c r="AO62" i="8"/>
  <c r="AP62" i="8"/>
  <c r="AO43" i="8"/>
  <c r="AP168" i="8"/>
  <c r="AP119" i="8"/>
  <c r="AP200" i="8"/>
  <c r="AO35" i="8"/>
  <c r="AQ35" i="8"/>
  <c r="AP191" i="8"/>
  <c r="AQ191" i="8"/>
  <c r="AO158" i="8"/>
  <c r="AQ158" i="8"/>
  <c r="AP57" i="8"/>
  <c r="AQ57" i="8"/>
  <c r="AO123" i="8"/>
  <c r="AO191" i="8"/>
  <c r="AP183" i="8"/>
  <c r="AQ183" i="8"/>
  <c r="AO69" i="8"/>
  <c r="AQ69" i="8"/>
  <c r="AO108" i="8"/>
  <c r="AQ108" i="8"/>
  <c r="AP195" i="8"/>
  <c r="AQ195" i="8"/>
  <c r="AP108" i="8"/>
  <c r="AO179" i="8"/>
  <c r="AP79" i="8"/>
  <c r="AN85" i="8"/>
  <c r="AP104" i="8"/>
  <c r="AO168" i="8"/>
  <c r="AP158" i="8"/>
  <c r="AO57" i="8"/>
  <c r="AP49" i="8"/>
  <c r="AN159" i="8"/>
  <c r="AO159" i="8" s="1"/>
  <c r="AN63" i="8"/>
  <c r="AP69" i="8"/>
  <c r="AN44" i="8"/>
  <c r="AN196" i="8"/>
  <c r="AO195" i="8"/>
  <c r="AN201" i="8"/>
  <c r="AN184" i="8"/>
  <c r="AN135" i="8"/>
  <c r="AN50" i="8"/>
  <c r="AP112" i="8"/>
  <c r="AO134" i="8"/>
  <c r="AP35" i="8"/>
  <c r="AN124" i="8"/>
  <c r="AO84" i="8"/>
  <c r="AO183" i="8"/>
  <c r="AN80" i="8"/>
  <c r="AN113" i="8"/>
  <c r="AP176" i="8"/>
  <c r="AO176" i="8"/>
  <c r="AP140" i="8"/>
  <c r="AO140" i="8"/>
  <c r="AP180" i="8"/>
  <c r="AO180" i="8"/>
  <c r="AF46" i="8"/>
  <c r="AF45" i="8"/>
  <c r="AG45" i="8" s="1"/>
  <c r="AJ45" i="8"/>
  <c r="AM45" i="8" s="1"/>
  <c r="AO31" i="8"/>
  <c r="AP31" i="8"/>
  <c r="AG197" i="8"/>
  <c r="AN197" i="8"/>
  <c r="AR197" i="8" s="1"/>
  <c r="AF64" i="8"/>
  <c r="AG64" i="8" s="1"/>
  <c r="AF65" i="8"/>
  <c r="AJ64" i="8"/>
  <c r="AM64" i="8" s="1"/>
  <c r="AO139" i="8"/>
  <c r="AP139" i="8"/>
  <c r="AP105" i="8"/>
  <c r="AO105" i="8"/>
  <c r="AG185" i="8"/>
  <c r="AN185" i="8"/>
  <c r="AR185" i="8" s="1"/>
  <c r="AG202" i="8"/>
  <c r="AN202" i="8"/>
  <c r="AQ202" i="8" s="1"/>
  <c r="W71" i="8"/>
  <c r="W69" i="8"/>
  <c r="W66" i="8"/>
  <c r="W67" i="8"/>
  <c r="W70" i="8"/>
  <c r="W68" i="8"/>
  <c r="AC52" i="8"/>
  <c r="AF51" i="8"/>
  <c r="AG51" i="8" s="1"/>
  <c r="AJ51" i="8"/>
  <c r="AM51" i="8" s="1"/>
  <c r="AP120" i="8"/>
  <c r="AO120" i="8"/>
  <c r="AC87" i="8"/>
  <c r="AF86" i="8"/>
  <c r="AG86" i="8" s="1"/>
  <c r="AJ86" i="8"/>
  <c r="AM86" i="8" s="1"/>
  <c r="AO175" i="8"/>
  <c r="AP175" i="8"/>
  <c r="AP184" i="8"/>
  <c r="AF125" i="8"/>
  <c r="AG125" i="8" s="1"/>
  <c r="AF126" i="8"/>
  <c r="AJ125" i="8"/>
  <c r="AM125" i="8" s="1"/>
  <c r="AB66" i="8"/>
  <c r="AB67" i="8"/>
  <c r="AB70" i="8"/>
  <c r="AB68" i="8"/>
  <c r="AB71" i="8"/>
  <c r="AB69" i="8"/>
  <c r="AP169" i="8"/>
  <c r="AO169" i="8"/>
  <c r="AP96" i="8"/>
  <c r="AO96" i="8"/>
  <c r="AP30" i="8"/>
  <c r="AO30" i="8"/>
  <c r="AG136" i="8"/>
  <c r="AN136" i="8"/>
  <c r="AQ136" i="8" s="1"/>
  <c r="AP192" i="8"/>
  <c r="AO192" i="8"/>
  <c r="AF160" i="8"/>
  <c r="AG160" i="8" s="1"/>
  <c r="AF161" i="8"/>
  <c r="AJ160" i="8"/>
  <c r="AM160" i="8" s="1"/>
  <c r="AO95" i="8"/>
  <c r="AP95" i="8"/>
  <c r="AP76" i="8"/>
  <c r="AO76" i="8"/>
  <c r="AN70" i="8"/>
  <c r="AQ70" i="8" s="1"/>
  <c r="AP58" i="8"/>
  <c r="AO58" i="8"/>
  <c r="AN144" i="8"/>
  <c r="AQ144" i="8" s="1"/>
  <c r="AN36" i="8"/>
  <c r="AQ36" i="8" s="1"/>
  <c r="AG81" i="8"/>
  <c r="AN81" i="8"/>
  <c r="AQ81" i="8" s="1"/>
  <c r="AF114" i="8"/>
  <c r="AG114" i="8" s="1"/>
  <c r="AC115" i="8"/>
  <c r="AJ114" i="8"/>
  <c r="AM114" i="8" s="1"/>
  <c r="AP155" i="8"/>
  <c r="AO155" i="8"/>
  <c r="AP154" i="8"/>
  <c r="AO154" i="8"/>
  <c r="AG71" i="8"/>
  <c r="AN71" i="8"/>
  <c r="AR71" i="8" s="1"/>
  <c r="AP109" i="8"/>
  <c r="AO109" i="8"/>
  <c r="AG145" i="8"/>
  <c r="AN145" i="8"/>
  <c r="AQ145" i="8" s="1"/>
  <c r="AJ37" i="8"/>
  <c r="AM37" i="8" s="1"/>
  <c r="AC38" i="8"/>
  <c r="AF37" i="8"/>
  <c r="AG37" i="8" s="1"/>
  <c r="AP143" i="8"/>
  <c r="AO143" i="8"/>
  <c r="AO165" i="6"/>
  <c r="AO170" i="6"/>
  <c r="AP82" i="6"/>
  <c r="AO82" i="6"/>
  <c r="AP203" i="6"/>
  <c r="AO203" i="6"/>
  <c r="AP117" i="6"/>
  <c r="AO117" i="6"/>
  <c r="AP110" i="6"/>
  <c r="AO110" i="6"/>
  <c r="AP106" i="6"/>
  <c r="AO106" i="6"/>
  <c r="AP173" i="6"/>
  <c r="AO173" i="6"/>
  <c r="AP152" i="6"/>
  <c r="AO152" i="6"/>
  <c r="AP127" i="6"/>
  <c r="AO127" i="6"/>
  <c r="AP121" i="6"/>
  <c r="AO121" i="6"/>
  <c r="AP47" i="6"/>
  <c r="AO47" i="6"/>
  <c r="AP77" i="6"/>
  <c r="AO77" i="6"/>
  <c r="AP181" i="6"/>
  <c r="AO181" i="6"/>
  <c r="AP141" i="6"/>
  <c r="AO141" i="6"/>
  <c r="AP41" i="6"/>
  <c r="AO41" i="6"/>
  <c r="AP59" i="6"/>
  <c r="AO59" i="6"/>
  <c r="AP146" i="6"/>
  <c r="AO146" i="6"/>
  <c r="AP101" i="6"/>
  <c r="AO101" i="6"/>
  <c r="AP166" i="6"/>
  <c r="AO166" i="6"/>
  <c r="AP156" i="6"/>
  <c r="AO156" i="6"/>
  <c r="AP97" i="6"/>
  <c r="AO97" i="6"/>
  <c r="AP198" i="6"/>
  <c r="AO198" i="6"/>
  <c r="AP137" i="6"/>
  <c r="AO137" i="6"/>
  <c r="AP186" i="6"/>
  <c r="AO186" i="6"/>
  <c r="AP131" i="6"/>
  <c r="AO131" i="6"/>
  <c r="AF119" i="6"/>
  <c r="AF120" i="6"/>
  <c r="AJ119" i="6"/>
  <c r="AM119" i="6" s="1"/>
  <c r="AN78" i="6"/>
  <c r="AG78" i="6"/>
  <c r="AG28" i="6"/>
  <c r="AF26" i="6"/>
  <c r="AF27" i="6"/>
  <c r="AJ26" i="6"/>
  <c r="AM26" i="6" s="1"/>
  <c r="AC201" i="6"/>
  <c r="AF200" i="6"/>
  <c r="AJ200" i="6"/>
  <c r="AM200" i="6" s="1"/>
  <c r="AF191" i="6"/>
  <c r="AF192" i="6"/>
  <c r="AJ191" i="6"/>
  <c r="AM191" i="6" s="1"/>
  <c r="AO177" i="6"/>
  <c r="AO189" i="6"/>
  <c r="AN138" i="6"/>
  <c r="AG138" i="6"/>
  <c r="AN48" i="6"/>
  <c r="AG48" i="6"/>
  <c r="AC80" i="6"/>
  <c r="AF79" i="6"/>
  <c r="AJ79" i="6"/>
  <c r="AM79" i="6" s="1"/>
  <c r="AC134" i="6"/>
  <c r="AF133" i="6"/>
  <c r="AJ133" i="6"/>
  <c r="AM133" i="6" s="1"/>
  <c r="AC30" i="6"/>
  <c r="AF29" i="6"/>
  <c r="AJ29" i="6"/>
  <c r="AM29" i="6" s="1"/>
  <c r="AO32" i="6"/>
  <c r="AO92" i="6"/>
  <c r="AN171" i="6"/>
  <c r="AG171" i="6"/>
  <c r="AC95" i="6"/>
  <c r="AF94" i="6"/>
  <c r="AJ94" i="6"/>
  <c r="AM94" i="6" s="1"/>
  <c r="AO89" i="6"/>
  <c r="AN164" i="6"/>
  <c r="AG164" i="6"/>
  <c r="AN194" i="6"/>
  <c r="AG194" i="6"/>
  <c r="AF139" i="6"/>
  <c r="AF140" i="6"/>
  <c r="AJ139" i="6"/>
  <c r="AM139" i="6" s="1"/>
  <c r="AF154" i="6"/>
  <c r="AF155" i="6"/>
  <c r="AJ154" i="6"/>
  <c r="AM154" i="6" s="1"/>
  <c r="AC196" i="6"/>
  <c r="AF195" i="6"/>
  <c r="AJ195" i="6"/>
  <c r="AM195" i="6" s="1"/>
  <c r="AC184" i="6"/>
  <c r="AF183" i="6"/>
  <c r="AJ183" i="6"/>
  <c r="AM183" i="6" s="1"/>
  <c r="AN42" i="6"/>
  <c r="AG42" i="6"/>
  <c r="AN188" i="6"/>
  <c r="AG188" i="6"/>
  <c r="AO54" i="6"/>
  <c r="AO193" i="6"/>
  <c r="AN107" i="6"/>
  <c r="AG107" i="6"/>
  <c r="AN178" i="6"/>
  <c r="AP178" i="6" s="1"/>
  <c r="AN142" i="6"/>
  <c r="AG142" i="6"/>
  <c r="AN60" i="6"/>
  <c r="AP60" i="6" s="1"/>
  <c r="AF108" i="6"/>
  <c r="AF109" i="6"/>
  <c r="AJ108" i="6"/>
  <c r="AM108" i="6" s="1"/>
  <c r="AC50" i="6"/>
  <c r="AF49" i="6"/>
  <c r="AJ49" i="6"/>
  <c r="AM49" i="6" s="1"/>
  <c r="AN102" i="6"/>
  <c r="AG102" i="6"/>
  <c r="AN187" i="6"/>
  <c r="AG187" i="6"/>
  <c r="AG178" i="6"/>
  <c r="AC104" i="6"/>
  <c r="AF103" i="6"/>
  <c r="AJ103" i="6"/>
  <c r="AM103" i="6" s="1"/>
  <c r="AF129" i="6"/>
  <c r="AF130" i="6"/>
  <c r="AJ129" i="6"/>
  <c r="AM129" i="6" s="1"/>
  <c r="AF168" i="6"/>
  <c r="AF169" i="6"/>
  <c r="AJ168" i="6"/>
  <c r="AM168" i="6" s="1"/>
  <c r="AN174" i="6"/>
  <c r="AG174" i="6"/>
  <c r="AN148" i="6"/>
  <c r="AG148" i="6"/>
  <c r="AC113" i="6"/>
  <c r="AF112" i="6"/>
  <c r="AJ112" i="6"/>
  <c r="AM112" i="6" s="1"/>
  <c r="AN28" i="6"/>
  <c r="AP28" i="6" s="1"/>
  <c r="AF179" i="6"/>
  <c r="AF180" i="6"/>
  <c r="AJ179" i="6"/>
  <c r="AM179" i="6" s="1"/>
  <c r="AC144" i="6"/>
  <c r="AF143" i="6"/>
  <c r="AJ143" i="6"/>
  <c r="AM143" i="6" s="1"/>
  <c r="AG60" i="6"/>
  <c r="AN98" i="6"/>
  <c r="AG98" i="6"/>
  <c r="AN182" i="6"/>
  <c r="AG182" i="6"/>
  <c r="AN128" i="6"/>
  <c r="AG128" i="6"/>
  <c r="AF175" i="6"/>
  <c r="AF176" i="6"/>
  <c r="AJ175" i="6"/>
  <c r="AM175" i="6" s="1"/>
  <c r="AN147" i="6"/>
  <c r="AG147" i="6"/>
  <c r="AN111" i="6"/>
  <c r="AG111" i="6"/>
  <c r="AC35" i="6"/>
  <c r="AF34" i="6"/>
  <c r="AJ34" i="6"/>
  <c r="AM34" i="6" s="1"/>
  <c r="AN151" i="6"/>
  <c r="AG151" i="6"/>
  <c r="AN205" i="6"/>
  <c r="AG205" i="6"/>
  <c r="AN91" i="6"/>
  <c r="AG91" i="6"/>
  <c r="AN83" i="6"/>
  <c r="AG83" i="6"/>
  <c r="AC62" i="6"/>
  <c r="AF61" i="6"/>
  <c r="AJ61" i="6"/>
  <c r="AM61" i="6" s="1"/>
  <c r="AF99" i="6"/>
  <c r="AF100" i="6"/>
  <c r="AJ99" i="6"/>
  <c r="AM99" i="6" s="1"/>
  <c r="AN153" i="6"/>
  <c r="AG153" i="6"/>
  <c r="AN163" i="6"/>
  <c r="AG163" i="6"/>
  <c r="AN167" i="6"/>
  <c r="AG167" i="6"/>
  <c r="AC44" i="6"/>
  <c r="AF43" i="6"/>
  <c r="AJ43" i="6"/>
  <c r="AM43" i="6" s="1"/>
  <c r="AF24" i="6"/>
  <c r="AJ24" i="6"/>
  <c r="AM24" i="6" s="1"/>
  <c r="AO149" i="6"/>
  <c r="AN157" i="6"/>
  <c r="AG157" i="6"/>
  <c r="AN55" i="6"/>
  <c r="AG55" i="6"/>
  <c r="AO162" i="6"/>
  <c r="AN118" i="6"/>
  <c r="AG118" i="6"/>
  <c r="AN122" i="6"/>
  <c r="AG122" i="6"/>
  <c r="AN23" i="6"/>
  <c r="AN33" i="6"/>
  <c r="AG33" i="6"/>
  <c r="AN150" i="6"/>
  <c r="AG150" i="6"/>
  <c r="AN204" i="6"/>
  <c r="AG204" i="6"/>
  <c r="AN90" i="6"/>
  <c r="AG90" i="6"/>
  <c r="AC85" i="6"/>
  <c r="AF84" i="6"/>
  <c r="AJ84" i="6"/>
  <c r="AM84" i="6" s="1"/>
  <c r="AF25" i="6"/>
  <c r="AJ25" i="6"/>
  <c r="AM25" i="6" s="1"/>
  <c r="AN199" i="6"/>
  <c r="AG199" i="6"/>
  <c r="AN190" i="6"/>
  <c r="AG190" i="6"/>
  <c r="AC159" i="6"/>
  <c r="AF158" i="6"/>
  <c r="AJ158" i="6"/>
  <c r="AM158" i="6" s="1"/>
  <c r="AC57" i="6"/>
  <c r="AF56" i="6"/>
  <c r="AJ56" i="6"/>
  <c r="AM56" i="6" s="1"/>
  <c r="AC124" i="6"/>
  <c r="AF123" i="6"/>
  <c r="AJ123" i="6"/>
  <c r="AM123" i="6" s="1"/>
  <c r="AN132" i="6"/>
  <c r="AG132" i="6"/>
  <c r="AN172" i="6"/>
  <c r="AG172" i="6"/>
  <c r="AN93" i="6"/>
  <c r="AG93" i="6"/>
  <c r="AB41" i="6"/>
  <c r="AB46" i="6"/>
  <c r="AB42" i="6"/>
  <c r="AB43" i="6"/>
  <c r="AB44" i="6"/>
  <c r="AB45" i="6"/>
  <c r="W46" i="6"/>
  <c r="W42" i="6"/>
  <c r="W43" i="6"/>
  <c r="W44" i="6"/>
  <c r="W45" i="6"/>
  <c r="W41" i="6"/>
  <c r="AM33" i="1"/>
  <c r="AM58" i="1"/>
  <c r="AM37" i="1"/>
  <c r="AL61" i="1"/>
  <c r="AM61" i="1"/>
  <c r="AL62" i="1"/>
  <c r="AM62" i="1"/>
  <c r="AL30" i="1"/>
  <c r="AM30" i="1"/>
  <c r="AL54" i="1"/>
  <c r="AM54" i="1"/>
  <c r="AL29" i="1"/>
  <c r="AM29" i="1"/>
  <c r="AL46" i="1"/>
  <c r="AM46" i="1"/>
  <c r="AL59" i="1"/>
  <c r="AM59" i="1"/>
  <c r="AL50" i="1"/>
  <c r="AM50" i="1"/>
  <c r="AL40" i="1"/>
  <c r="AM40" i="1"/>
  <c r="AL56" i="1"/>
  <c r="AM56" i="1"/>
  <c r="AL63" i="1"/>
  <c r="AM63" i="1"/>
  <c r="AL48" i="1"/>
  <c r="AM48" i="1"/>
  <c r="AL45" i="1"/>
  <c r="AM45" i="1"/>
  <c r="AL55" i="1"/>
  <c r="AM55" i="1"/>
  <c r="AL32" i="1"/>
  <c r="AM32" i="1"/>
  <c r="AL52" i="1"/>
  <c r="AM52" i="1"/>
  <c r="AL35" i="1"/>
  <c r="AM35" i="1"/>
  <c r="AL60" i="1"/>
  <c r="AM60" i="1"/>
  <c r="AL25" i="1"/>
  <c r="AM25" i="1"/>
  <c r="AL26" i="1"/>
  <c r="AM26" i="1"/>
  <c r="AL28" i="1"/>
  <c r="AM28" i="1"/>
  <c r="AL36" i="1"/>
  <c r="AM36" i="1"/>
  <c r="AL44" i="1"/>
  <c r="AM44" i="1"/>
  <c r="AL43" i="1"/>
  <c r="AM43" i="1"/>
  <c r="AL53" i="1"/>
  <c r="AM53" i="1"/>
  <c r="AL34" i="1"/>
  <c r="AM34" i="1"/>
  <c r="AL39" i="1"/>
  <c r="AM39" i="1"/>
  <c r="AL47" i="1"/>
  <c r="AM47" i="1"/>
  <c r="AL27" i="1"/>
  <c r="AM27" i="1"/>
  <c r="AL51" i="1"/>
  <c r="AM51" i="1"/>
  <c r="AL38" i="1"/>
  <c r="AM38" i="1"/>
  <c r="AL42" i="1"/>
  <c r="AM42" i="1"/>
  <c r="AL31" i="1"/>
  <c r="AM31" i="1"/>
  <c r="AP196" i="8" l="1"/>
  <c r="AR196" i="8"/>
  <c r="AO85" i="8"/>
  <c r="AR85" i="8"/>
  <c r="AO113" i="8"/>
  <c r="AR113" i="8"/>
  <c r="AP50" i="8"/>
  <c r="AR50" i="8"/>
  <c r="AP63" i="8"/>
  <c r="AR63" i="8"/>
  <c r="AP135" i="8"/>
  <c r="AR135" i="8"/>
  <c r="AP124" i="8"/>
  <c r="AR124" i="8"/>
  <c r="AO124" i="8"/>
  <c r="AP44" i="8"/>
  <c r="AQ44" i="8"/>
  <c r="AP80" i="8"/>
  <c r="AQ80" i="8"/>
  <c r="AP159" i="8"/>
  <c r="AQ159" i="8"/>
  <c r="AP85" i="8"/>
  <c r="AO184" i="8"/>
  <c r="AQ184" i="8"/>
  <c r="AO201" i="8"/>
  <c r="AQ201" i="8"/>
  <c r="AN64" i="8"/>
  <c r="AR64" i="8" s="1"/>
  <c r="AO80" i="8"/>
  <c r="AO50" i="8"/>
  <c r="AN86" i="8"/>
  <c r="AN45" i="8"/>
  <c r="AP113" i="8"/>
  <c r="AN125" i="8"/>
  <c r="AO63" i="8"/>
  <c r="AP201" i="8"/>
  <c r="AO196" i="8"/>
  <c r="AO135" i="8"/>
  <c r="AO44" i="8"/>
  <c r="AN114" i="8"/>
  <c r="AN160" i="8"/>
  <c r="AQ160" i="8" s="1"/>
  <c r="AN51" i="8"/>
  <c r="AP202" i="8"/>
  <c r="AO202" i="8"/>
  <c r="AP64" i="8"/>
  <c r="AO64" i="8"/>
  <c r="AP144" i="8"/>
  <c r="AO144" i="8"/>
  <c r="AG65" i="8"/>
  <c r="AN65" i="8"/>
  <c r="AQ65" i="8" s="1"/>
  <c r="AP145" i="8"/>
  <c r="AO145" i="8"/>
  <c r="AF115" i="8"/>
  <c r="AG115" i="8" s="1"/>
  <c r="AF116" i="8"/>
  <c r="AJ115" i="8"/>
  <c r="AM115" i="8" s="1"/>
  <c r="AP136" i="8"/>
  <c r="AO136" i="8"/>
  <c r="AG126" i="8"/>
  <c r="AN126" i="8"/>
  <c r="AQ126" i="8" s="1"/>
  <c r="AF87" i="8"/>
  <c r="AG87" i="8" s="1"/>
  <c r="AF88" i="8"/>
  <c r="AJ87" i="8"/>
  <c r="AM87" i="8" s="1"/>
  <c r="AP185" i="8"/>
  <c r="AO185" i="8"/>
  <c r="AP71" i="8"/>
  <c r="AO71" i="8"/>
  <c r="AP160" i="8"/>
  <c r="AG46" i="8"/>
  <c r="AN46" i="8"/>
  <c r="AR46" i="8" s="1"/>
  <c r="AP81" i="8"/>
  <c r="AO81" i="8"/>
  <c r="AP70" i="8"/>
  <c r="AO70" i="8"/>
  <c r="AG161" i="8"/>
  <c r="AN161" i="8"/>
  <c r="AQ161" i="8" s="1"/>
  <c r="AB75" i="8"/>
  <c r="AB72" i="8"/>
  <c r="AB73" i="8"/>
  <c r="AB76" i="8"/>
  <c r="AB74" i="8"/>
  <c r="AF52" i="8"/>
  <c r="AG52" i="8" s="1"/>
  <c r="AJ52" i="8"/>
  <c r="AM52" i="8" s="1"/>
  <c r="AF53" i="8"/>
  <c r="AC39" i="8"/>
  <c r="AF38" i="8"/>
  <c r="AG38" i="8" s="1"/>
  <c r="AJ38" i="8"/>
  <c r="AM38" i="8" s="1"/>
  <c r="W75" i="8"/>
  <c r="W72" i="8"/>
  <c r="W73" i="8"/>
  <c r="W76" i="8"/>
  <c r="W74" i="8"/>
  <c r="AO197" i="8"/>
  <c r="AP197" i="8"/>
  <c r="AN37" i="8"/>
  <c r="AR37" i="8" s="1"/>
  <c r="AP36" i="8"/>
  <c r="AO36" i="8"/>
  <c r="AP132" i="6"/>
  <c r="AO132" i="6"/>
  <c r="AP98" i="6"/>
  <c r="AO98" i="6"/>
  <c r="AP122" i="6"/>
  <c r="AO122" i="6"/>
  <c r="AP199" i="6"/>
  <c r="AO199" i="6"/>
  <c r="AP172" i="6"/>
  <c r="AO172" i="6"/>
  <c r="AF57" i="6"/>
  <c r="AF58" i="6"/>
  <c r="AJ57" i="6"/>
  <c r="AM57" i="6" s="1"/>
  <c r="AN25" i="6"/>
  <c r="AP25" i="6" s="1"/>
  <c r="AP90" i="6"/>
  <c r="AO90" i="6"/>
  <c r="AP157" i="6"/>
  <c r="AO157" i="6"/>
  <c r="AP167" i="6"/>
  <c r="AO167" i="6"/>
  <c r="AN61" i="6"/>
  <c r="AP61" i="6" s="1"/>
  <c r="AP205" i="6"/>
  <c r="AO205" i="6"/>
  <c r="AP182" i="6"/>
  <c r="AO182" i="6"/>
  <c r="AG168" i="6"/>
  <c r="AO178" i="6"/>
  <c r="AP42" i="6"/>
  <c r="AO42" i="6"/>
  <c r="AN155" i="6"/>
  <c r="AG155" i="6"/>
  <c r="AP164" i="6"/>
  <c r="AO164" i="6"/>
  <c r="AG79" i="6"/>
  <c r="AG26" i="6"/>
  <c r="AP147" i="6"/>
  <c r="AO147" i="6"/>
  <c r="AN109" i="6"/>
  <c r="AG109" i="6"/>
  <c r="AF80" i="6"/>
  <c r="AF81" i="6"/>
  <c r="AJ80" i="6"/>
  <c r="AM80" i="6" s="1"/>
  <c r="AG158" i="6"/>
  <c r="AP204" i="6"/>
  <c r="AO204" i="6"/>
  <c r="AP163" i="6"/>
  <c r="AO163" i="6"/>
  <c r="AC63" i="6"/>
  <c r="AF62" i="6"/>
  <c r="AJ62" i="6"/>
  <c r="AM62" i="6" s="1"/>
  <c r="AP151" i="6"/>
  <c r="AO151" i="6"/>
  <c r="AN179" i="6"/>
  <c r="AG179" i="6"/>
  <c r="AN130" i="6"/>
  <c r="AG130" i="6"/>
  <c r="AP187" i="6"/>
  <c r="AO187" i="6"/>
  <c r="AN108" i="6"/>
  <c r="AG108" i="6"/>
  <c r="AP107" i="6"/>
  <c r="AO107" i="6"/>
  <c r="AN183" i="6"/>
  <c r="AG183" i="6"/>
  <c r="AG29" i="6"/>
  <c r="AN191" i="6"/>
  <c r="AG191" i="6"/>
  <c r="AP148" i="6"/>
  <c r="AO148" i="6"/>
  <c r="AP118" i="6"/>
  <c r="AO118" i="6"/>
  <c r="AF184" i="6"/>
  <c r="AF185" i="6"/>
  <c r="AJ184" i="6"/>
  <c r="AM184" i="6" s="1"/>
  <c r="AN94" i="6"/>
  <c r="AG94" i="6"/>
  <c r="AF30" i="6"/>
  <c r="AF31" i="6"/>
  <c r="AJ30" i="6"/>
  <c r="AM30" i="6" s="1"/>
  <c r="AP48" i="6"/>
  <c r="AO48" i="6"/>
  <c r="AG25" i="6"/>
  <c r="AG61" i="6"/>
  <c r="AN180" i="6"/>
  <c r="AG180" i="6"/>
  <c r="AN154" i="6"/>
  <c r="AG154" i="6"/>
  <c r="AN24" i="6"/>
  <c r="AG24" i="6"/>
  <c r="AN140" i="6"/>
  <c r="AG140" i="6"/>
  <c r="AN123" i="6"/>
  <c r="AG123" i="6"/>
  <c r="AP150" i="6"/>
  <c r="AO150" i="6"/>
  <c r="AN43" i="6"/>
  <c r="AP43" i="6" s="1"/>
  <c r="AP153" i="6"/>
  <c r="AO153" i="6"/>
  <c r="AP83" i="6"/>
  <c r="AO83" i="6"/>
  <c r="AG34" i="6"/>
  <c r="AN175" i="6"/>
  <c r="AG175" i="6"/>
  <c r="AO28" i="6"/>
  <c r="AP102" i="6"/>
  <c r="AO102" i="6"/>
  <c r="AO60" i="6"/>
  <c r="AN195" i="6"/>
  <c r="AP195" i="6" s="1"/>
  <c r="AN139" i="6"/>
  <c r="AG139" i="6"/>
  <c r="AF95" i="6"/>
  <c r="AF96" i="6"/>
  <c r="AJ95" i="6"/>
  <c r="AM95" i="6" s="1"/>
  <c r="AN200" i="6"/>
  <c r="AG200" i="6"/>
  <c r="AP78" i="6"/>
  <c r="AO78" i="6"/>
  <c r="AN192" i="6"/>
  <c r="AG192" i="6"/>
  <c r="AC160" i="6"/>
  <c r="AF159" i="6"/>
  <c r="AJ159" i="6"/>
  <c r="AM159" i="6" s="1"/>
  <c r="AN176" i="6"/>
  <c r="AG176" i="6"/>
  <c r="AG129" i="6"/>
  <c r="AC125" i="6"/>
  <c r="AF124" i="6"/>
  <c r="AJ124" i="6"/>
  <c r="AM124" i="6" s="1"/>
  <c r="AP190" i="6"/>
  <c r="AO190" i="6"/>
  <c r="AN84" i="6"/>
  <c r="AG84" i="6"/>
  <c r="AG43" i="6"/>
  <c r="AN99" i="6"/>
  <c r="AP99" i="6" s="1"/>
  <c r="AC36" i="6"/>
  <c r="AF35" i="6"/>
  <c r="AJ35" i="6"/>
  <c r="AM35" i="6" s="1"/>
  <c r="AN143" i="6"/>
  <c r="AP143" i="6" s="1"/>
  <c r="AN112" i="6"/>
  <c r="AP112" i="6" s="1"/>
  <c r="AN103" i="6"/>
  <c r="AG103" i="6"/>
  <c r="AG195" i="6"/>
  <c r="AN133" i="6"/>
  <c r="AG133" i="6"/>
  <c r="AP138" i="6"/>
  <c r="AO138" i="6"/>
  <c r="AF201" i="6"/>
  <c r="AF202" i="6"/>
  <c r="AJ201" i="6"/>
  <c r="AM201" i="6" s="1"/>
  <c r="AN119" i="6"/>
  <c r="AP119" i="6" s="1"/>
  <c r="AN129" i="6"/>
  <c r="AP129" i="6" s="1"/>
  <c r="AN29" i="6"/>
  <c r="AP29" i="6" s="1"/>
  <c r="AN34" i="6"/>
  <c r="AP34" i="6" s="1"/>
  <c r="AP174" i="6"/>
  <c r="AO174" i="6"/>
  <c r="AP93" i="6"/>
  <c r="AO93" i="6"/>
  <c r="AC86" i="6"/>
  <c r="AF85" i="6"/>
  <c r="AJ85" i="6"/>
  <c r="AM85" i="6" s="1"/>
  <c r="AP33" i="6"/>
  <c r="AO33" i="6"/>
  <c r="AP55" i="6"/>
  <c r="AO55" i="6"/>
  <c r="AC45" i="6"/>
  <c r="AF44" i="6"/>
  <c r="AJ44" i="6"/>
  <c r="AM44" i="6" s="1"/>
  <c r="AN100" i="6"/>
  <c r="AG100" i="6"/>
  <c r="AP91" i="6"/>
  <c r="AO91" i="6"/>
  <c r="AP128" i="6"/>
  <c r="AO128" i="6"/>
  <c r="AG143" i="6"/>
  <c r="AG112" i="6"/>
  <c r="AN168" i="6"/>
  <c r="AP168" i="6" s="1"/>
  <c r="AF104" i="6"/>
  <c r="AF105" i="6"/>
  <c r="AJ104" i="6"/>
  <c r="AM104" i="6" s="1"/>
  <c r="AN49" i="6"/>
  <c r="AG49" i="6"/>
  <c r="AP142" i="6"/>
  <c r="AO142" i="6"/>
  <c r="AP188" i="6"/>
  <c r="AO188" i="6"/>
  <c r="AF196" i="6"/>
  <c r="AF197" i="6"/>
  <c r="AJ196" i="6"/>
  <c r="AM196" i="6" s="1"/>
  <c r="AP194" i="6"/>
  <c r="AO194" i="6"/>
  <c r="AP171" i="6"/>
  <c r="AO171" i="6"/>
  <c r="AC135" i="6"/>
  <c r="AF134" i="6"/>
  <c r="AJ134" i="6"/>
  <c r="AM134" i="6" s="1"/>
  <c r="AN26" i="6"/>
  <c r="AP26" i="6" s="1"/>
  <c r="AN120" i="6"/>
  <c r="AG120" i="6"/>
  <c r="AN158" i="6"/>
  <c r="AP158" i="6" s="1"/>
  <c r="AN56" i="6"/>
  <c r="AG56" i="6"/>
  <c r="AP23" i="6"/>
  <c r="AO23" i="6"/>
  <c r="AG99" i="6"/>
  <c r="AP111" i="6"/>
  <c r="AO111" i="6"/>
  <c r="AF144" i="6"/>
  <c r="AF145" i="6"/>
  <c r="AJ144" i="6"/>
  <c r="AM144" i="6" s="1"/>
  <c r="AC114" i="6"/>
  <c r="AF113" i="6"/>
  <c r="AJ113" i="6"/>
  <c r="AM113" i="6" s="1"/>
  <c r="AN169" i="6"/>
  <c r="AG169" i="6"/>
  <c r="AC51" i="6"/>
  <c r="AF50" i="6"/>
  <c r="AJ50" i="6"/>
  <c r="AM50" i="6" s="1"/>
  <c r="AN79" i="6"/>
  <c r="AP79" i="6" s="1"/>
  <c r="AN27" i="6"/>
  <c r="AG27" i="6"/>
  <c r="AG119" i="6"/>
  <c r="AB52" i="6"/>
  <c r="AB53" i="6"/>
  <c r="AB47" i="6"/>
  <c r="AB48" i="6"/>
  <c r="AB49" i="6"/>
  <c r="AB50" i="6"/>
  <c r="AB51" i="6"/>
  <c r="W53" i="6"/>
  <c r="W48" i="6"/>
  <c r="W49" i="6"/>
  <c r="W50" i="6"/>
  <c r="W51" i="6"/>
  <c r="W47" i="6"/>
  <c r="W52" i="6"/>
  <c r="AP86" i="8" l="1"/>
  <c r="AR86" i="8"/>
  <c r="AO125" i="8"/>
  <c r="AR125" i="8"/>
  <c r="AP45" i="8"/>
  <c r="AR45" i="8"/>
  <c r="AO45" i="8"/>
  <c r="AO160" i="8"/>
  <c r="AO86" i="8"/>
  <c r="AO51" i="8"/>
  <c r="AQ51" i="8"/>
  <c r="AN87" i="8"/>
  <c r="AR87" i="8" s="1"/>
  <c r="AP114" i="8"/>
  <c r="AQ114" i="8"/>
  <c r="AP125" i="8"/>
  <c r="AP51" i="8"/>
  <c r="AN115" i="8"/>
  <c r="AN38" i="8"/>
  <c r="AR38" i="8" s="1"/>
  <c r="C44" i="8"/>
  <c r="AO114" i="8"/>
  <c r="AP38" i="8"/>
  <c r="AO38" i="8"/>
  <c r="AP65" i="8"/>
  <c r="AO65" i="8"/>
  <c r="AP115" i="8"/>
  <c r="W77" i="8"/>
  <c r="W78" i="8"/>
  <c r="W81" i="8"/>
  <c r="W79" i="8"/>
  <c r="W80" i="8"/>
  <c r="AF39" i="8"/>
  <c r="AG39" i="8" s="1"/>
  <c r="AF40" i="8"/>
  <c r="AJ39" i="8"/>
  <c r="AM39" i="8" s="1"/>
  <c r="AP46" i="8"/>
  <c r="AO46" i="8"/>
  <c r="AP87" i="8"/>
  <c r="AO87" i="8"/>
  <c r="AG116" i="8"/>
  <c r="AN116" i="8"/>
  <c r="AQ116" i="8" s="1"/>
  <c r="AG53" i="8"/>
  <c r="AN53" i="8"/>
  <c r="AQ53" i="8" s="1"/>
  <c r="AG88" i="8"/>
  <c r="AN88" i="8"/>
  <c r="AQ88" i="8" s="1"/>
  <c r="AN52" i="8"/>
  <c r="AQ52" i="8" s="1"/>
  <c r="AP161" i="8"/>
  <c r="AO161" i="8"/>
  <c r="AP126" i="8"/>
  <c r="AO126" i="8"/>
  <c r="AB81" i="8"/>
  <c r="AB79" i="8"/>
  <c r="AB80" i="8"/>
  <c r="AB77" i="8"/>
  <c r="AB78" i="8"/>
  <c r="AP37" i="8"/>
  <c r="AO37" i="8"/>
  <c r="AO26" i="6"/>
  <c r="AO143" i="6"/>
  <c r="AO158" i="6"/>
  <c r="AO29" i="6"/>
  <c r="AP191" i="6"/>
  <c r="AO191" i="6"/>
  <c r="AP108" i="6"/>
  <c r="AO108" i="6"/>
  <c r="AP56" i="6"/>
  <c r="AO56" i="6"/>
  <c r="AP175" i="6"/>
  <c r="AO175" i="6"/>
  <c r="AP94" i="6"/>
  <c r="AO94" i="6"/>
  <c r="AP139" i="6"/>
  <c r="AO139" i="6"/>
  <c r="AP154" i="6"/>
  <c r="AO154" i="6"/>
  <c r="AP84" i="6"/>
  <c r="AO84" i="6"/>
  <c r="AP179" i="6"/>
  <c r="AO179" i="6"/>
  <c r="AP103" i="6"/>
  <c r="AO103" i="6"/>
  <c r="AP49" i="6"/>
  <c r="AO49" i="6"/>
  <c r="AP123" i="6"/>
  <c r="AO123" i="6"/>
  <c r="AP183" i="6"/>
  <c r="AO183" i="6"/>
  <c r="AP24" i="6"/>
  <c r="AO24" i="6"/>
  <c r="AP133" i="6"/>
  <c r="AO133" i="6"/>
  <c r="AP200" i="6"/>
  <c r="AO200" i="6"/>
  <c r="AP169" i="6"/>
  <c r="AO169" i="6"/>
  <c r="AP27" i="6"/>
  <c r="AO27" i="6"/>
  <c r="AF135" i="6"/>
  <c r="AF136" i="6"/>
  <c r="AJ135" i="6"/>
  <c r="AM135" i="6" s="1"/>
  <c r="AG104" i="6"/>
  <c r="AC37" i="6"/>
  <c r="AF36" i="6"/>
  <c r="AJ36" i="6"/>
  <c r="AM36" i="6" s="1"/>
  <c r="AN62" i="6"/>
  <c r="AP62" i="6" s="1"/>
  <c r="AO129" i="6"/>
  <c r="AO99" i="6"/>
  <c r="AG124" i="6"/>
  <c r="AF160" i="6"/>
  <c r="AF161" i="6"/>
  <c r="AJ160" i="6"/>
  <c r="AM160" i="6" s="1"/>
  <c r="AN185" i="6"/>
  <c r="AG185" i="6"/>
  <c r="AC64" i="6"/>
  <c r="AF63" i="6"/>
  <c r="AJ63" i="6"/>
  <c r="AM63" i="6" s="1"/>
  <c r="AO61" i="6"/>
  <c r="AO25" i="6"/>
  <c r="AN184" i="6"/>
  <c r="AP184" i="6" s="1"/>
  <c r="AG62" i="6"/>
  <c r="AO112" i="6"/>
  <c r="AF125" i="6"/>
  <c r="AF126" i="6"/>
  <c r="AJ125" i="6"/>
  <c r="AM125" i="6" s="1"/>
  <c r="AO195" i="6"/>
  <c r="AO43" i="6"/>
  <c r="AP140" i="6"/>
  <c r="AO140" i="6"/>
  <c r="AP180" i="6"/>
  <c r="AO180" i="6"/>
  <c r="AG184" i="6"/>
  <c r="AN80" i="6"/>
  <c r="AP80" i="6" s="1"/>
  <c r="AP155" i="6"/>
  <c r="AO155" i="6"/>
  <c r="AN159" i="6"/>
  <c r="AG159" i="6"/>
  <c r="AO79" i="6"/>
  <c r="AC115" i="6"/>
  <c r="AF114" i="6"/>
  <c r="AJ114" i="6"/>
  <c r="AM114" i="6" s="1"/>
  <c r="AP100" i="6"/>
  <c r="AO100" i="6"/>
  <c r="AN85" i="6"/>
  <c r="AP85" i="6" s="1"/>
  <c r="AO119" i="6"/>
  <c r="AP192" i="6"/>
  <c r="AO192" i="6"/>
  <c r="AN81" i="6"/>
  <c r="AG81" i="6"/>
  <c r="AN58" i="6"/>
  <c r="AG58" i="6"/>
  <c r="AO168" i="6"/>
  <c r="AG113" i="6"/>
  <c r="AN201" i="6"/>
  <c r="AP201" i="6" s="1"/>
  <c r="AN31" i="6"/>
  <c r="AG31" i="6"/>
  <c r="AG80" i="6"/>
  <c r="AN57" i="6"/>
  <c r="AG57" i="6"/>
  <c r="AN124" i="6"/>
  <c r="AP124" i="6" s="1"/>
  <c r="AP130" i="6"/>
  <c r="AO130" i="6"/>
  <c r="AN113" i="6"/>
  <c r="AP113" i="6" s="1"/>
  <c r="AN144" i="6"/>
  <c r="AP144" i="6" s="1"/>
  <c r="AG85" i="6"/>
  <c r="AG50" i="6"/>
  <c r="AN145" i="6"/>
  <c r="AG145" i="6"/>
  <c r="AN197" i="6"/>
  <c r="AG197" i="6"/>
  <c r="AN104" i="6"/>
  <c r="AP104" i="6" s="1"/>
  <c r="AN44" i="6"/>
  <c r="AG44" i="6"/>
  <c r="AC87" i="6"/>
  <c r="AF86" i="6"/>
  <c r="AJ86" i="6"/>
  <c r="AM86" i="6" s="1"/>
  <c r="AO34" i="6"/>
  <c r="AN202" i="6"/>
  <c r="AG202" i="6"/>
  <c r="AN35" i="6"/>
  <c r="AP35" i="6" s="1"/>
  <c r="AN96" i="6"/>
  <c r="AG96" i="6"/>
  <c r="AN30" i="6"/>
  <c r="AG30" i="6"/>
  <c r="AP120" i="6"/>
  <c r="AO120" i="6"/>
  <c r="AN50" i="6"/>
  <c r="AP50" i="6" s="1"/>
  <c r="AC52" i="6"/>
  <c r="AF51" i="6"/>
  <c r="AJ51" i="6"/>
  <c r="AM51" i="6" s="1"/>
  <c r="AG144" i="6"/>
  <c r="AN134" i="6"/>
  <c r="AG134" i="6"/>
  <c r="AN196" i="6"/>
  <c r="AG196" i="6"/>
  <c r="AN105" i="6"/>
  <c r="AG105" i="6"/>
  <c r="AF45" i="6"/>
  <c r="AF46" i="6"/>
  <c r="AJ45" i="6"/>
  <c r="AM45" i="6" s="1"/>
  <c r="AG201" i="6"/>
  <c r="AG35" i="6"/>
  <c r="AP176" i="6"/>
  <c r="AO176" i="6"/>
  <c r="AN95" i="6"/>
  <c r="AG95" i="6"/>
  <c r="AP109" i="6"/>
  <c r="AO109" i="6"/>
  <c r="AB56" i="6"/>
  <c r="AB57" i="6"/>
  <c r="AB58" i="6"/>
  <c r="AB54" i="6"/>
  <c r="AB55" i="6"/>
  <c r="W58" i="6"/>
  <c r="W57" i="6"/>
  <c r="W54" i="6"/>
  <c r="W55" i="6"/>
  <c r="W56" i="6"/>
  <c r="AO115" i="8" l="1"/>
  <c r="AQ115" i="8"/>
  <c r="AN39" i="8"/>
  <c r="AG40" i="8"/>
  <c r="AN40" i="8"/>
  <c r="AQ40" i="8" s="1"/>
  <c r="AB86" i="8"/>
  <c r="AB87" i="8"/>
  <c r="AB83" i="8"/>
  <c r="AB82" i="8"/>
  <c r="AB84" i="8"/>
  <c r="AB88" i="8"/>
  <c r="AB85" i="8"/>
  <c r="AO116" i="8"/>
  <c r="AP116" i="8"/>
  <c r="AP52" i="8"/>
  <c r="AO52" i="8"/>
  <c r="W88" i="8"/>
  <c r="W85" i="8"/>
  <c r="W86" i="8"/>
  <c r="W87" i="8"/>
  <c r="W83" i="8"/>
  <c r="W82" i="8"/>
  <c r="W84" i="8"/>
  <c r="AO53" i="8"/>
  <c r="AP53" i="8"/>
  <c r="AP88" i="8"/>
  <c r="AO88" i="8"/>
  <c r="AO85" i="6"/>
  <c r="AO62" i="6"/>
  <c r="AO144" i="6"/>
  <c r="AO184" i="6"/>
  <c r="AO80" i="6"/>
  <c r="AO201" i="6"/>
  <c r="AP159" i="6"/>
  <c r="AO159" i="6"/>
  <c r="AP95" i="6"/>
  <c r="AO95" i="6"/>
  <c r="AP44" i="6"/>
  <c r="AO44" i="6"/>
  <c r="AP134" i="6"/>
  <c r="AO134" i="6"/>
  <c r="AP30" i="6"/>
  <c r="AO30" i="6"/>
  <c r="AP196" i="6"/>
  <c r="AO196" i="6"/>
  <c r="AP57" i="6"/>
  <c r="AO57" i="6"/>
  <c r="AP58" i="6"/>
  <c r="AO58" i="6"/>
  <c r="AF115" i="6"/>
  <c r="AF116" i="6"/>
  <c r="AJ115" i="6"/>
  <c r="AM115" i="6" s="1"/>
  <c r="AP185" i="6"/>
  <c r="AO185" i="6"/>
  <c r="AN135" i="6"/>
  <c r="AP135" i="6" s="1"/>
  <c r="AG45" i="6"/>
  <c r="AP81" i="6"/>
  <c r="AO81" i="6"/>
  <c r="AN161" i="6"/>
  <c r="AG161" i="6"/>
  <c r="AN136" i="6"/>
  <c r="AG136" i="6"/>
  <c r="AP145" i="6"/>
  <c r="AO145" i="6"/>
  <c r="AN51" i="6"/>
  <c r="AP51" i="6" s="1"/>
  <c r="AP202" i="6"/>
  <c r="AO202" i="6"/>
  <c r="AO104" i="6"/>
  <c r="AO113" i="6"/>
  <c r="AN126" i="6"/>
  <c r="AG126" i="6"/>
  <c r="AN160" i="6"/>
  <c r="AG160" i="6"/>
  <c r="AG135" i="6"/>
  <c r="AN45" i="6"/>
  <c r="AP45" i="6" s="1"/>
  <c r="AN46" i="6"/>
  <c r="AG46" i="6"/>
  <c r="AO50" i="6"/>
  <c r="AN125" i="6"/>
  <c r="AG125" i="6"/>
  <c r="AN86" i="6"/>
  <c r="AP86" i="6" s="1"/>
  <c r="AP31" i="6"/>
  <c r="AO31" i="6"/>
  <c r="AG63" i="6"/>
  <c r="AN36" i="6"/>
  <c r="AG36" i="6"/>
  <c r="AO35" i="6"/>
  <c r="AG51" i="6"/>
  <c r="AP197" i="6"/>
  <c r="AO197" i="6"/>
  <c r="AG86" i="6"/>
  <c r="AF64" i="6"/>
  <c r="AF65" i="6"/>
  <c r="AJ64" i="6"/>
  <c r="AM64" i="6" s="1"/>
  <c r="AC38" i="6"/>
  <c r="AF37" i="6"/>
  <c r="AJ37" i="6"/>
  <c r="AM37" i="6" s="1"/>
  <c r="AP105" i="6"/>
  <c r="AO105" i="6"/>
  <c r="AN63" i="6"/>
  <c r="AP63" i="6" s="1"/>
  <c r="AF52" i="6"/>
  <c r="AF53" i="6"/>
  <c r="AJ52" i="6"/>
  <c r="AM52" i="6" s="1"/>
  <c r="AP96" i="6"/>
  <c r="AO96" i="6"/>
  <c r="AF87" i="6"/>
  <c r="AF88" i="6"/>
  <c r="AJ87" i="6"/>
  <c r="AM87" i="6" s="1"/>
  <c r="AO124" i="6"/>
  <c r="AN114" i="6"/>
  <c r="AG114" i="6"/>
  <c r="AB60" i="6"/>
  <c r="AB61" i="6"/>
  <c r="AB62" i="6"/>
  <c r="AB63" i="6"/>
  <c r="AB64" i="6"/>
  <c r="AB65" i="6"/>
  <c r="AB59" i="6"/>
  <c r="W65" i="6"/>
  <c r="W60" i="6"/>
  <c r="W61" i="6"/>
  <c r="W62" i="6"/>
  <c r="W63" i="6"/>
  <c r="W64" i="6"/>
  <c r="W59" i="6"/>
  <c r="AP39" i="8" l="1"/>
  <c r="AR39" i="8"/>
  <c r="AQ208" i="8"/>
  <c r="AO39" i="8"/>
  <c r="AP40" i="8"/>
  <c r="AO40" i="8"/>
  <c r="W90" i="8"/>
  <c r="W89" i="8"/>
  <c r="W91" i="8"/>
  <c r="AB90" i="8"/>
  <c r="AB89" i="8"/>
  <c r="AB91" i="8"/>
  <c r="AO45" i="6"/>
  <c r="AP36" i="6"/>
  <c r="AO36" i="6"/>
  <c r="AP160" i="6"/>
  <c r="AO160" i="6"/>
  <c r="AP114" i="6"/>
  <c r="AO114" i="6"/>
  <c r="AP125" i="6"/>
  <c r="AO125" i="6"/>
  <c r="AO51" i="6"/>
  <c r="AP161" i="6"/>
  <c r="AO161" i="6"/>
  <c r="AO135" i="6"/>
  <c r="AN65" i="6"/>
  <c r="AG65" i="6"/>
  <c r="AN53" i="6"/>
  <c r="AG53" i="6"/>
  <c r="AP126" i="6"/>
  <c r="AO126" i="6"/>
  <c r="AN88" i="6"/>
  <c r="AG88" i="6"/>
  <c r="AN87" i="6"/>
  <c r="AG87" i="6"/>
  <c r="AN115" i="6"/>
  <c r="AP115" i="6" s="1"/>
  <c r="AG52" i="6"/>
  <c r="AN64" i="6"/>
  <c r="AG64" i="6"/>
  <c r="AN116" i="6"/>
  <c r="AG116" i="6"/>
  <c r="AO63" i="6"/>
  <c r="AN37" i="6"/>
  <c r="AP37" i="6" s="1"/>
  <c r="AO86" i="6"/>
  <c r="AG115" i="6"/>
  <c r="AC39" i="6"/>
  <c r="AF38" i="6"/>
  <c r="AJ38" i="6"/>
  <c r="AM38" i="6" s="1"/>
  <c r="AP46" i="6"/>
  <c r="AO46" i="6"/>
  <c r="AN52" i="6"/>
  <c r="AP52" i="6" s="1"/>
  <c r="AG37" i="6"/>
  <c r="AP136" i="6"/>
  <c r="AO136" i="6"/>
  <c r="AB67" i="6"/>
  <c r="AB66" i="6"/>
  <c r="AB68" i="6"/>
  <c r="AB69" i="6"/>
  <c r="AB70" i="6"/>
  <c r="AB71" i="6"/>
  <c r="W71" i="6"/>
  <c r="W67" i="6"/>
  <c r="W68" i="6"/>
  <c r="W69" i="6"/>
  <c r="W66" i="6"/>
  <c r="W70" i="6"/>
  <c r="AR208" i="8" l="1"/>
  <c r="W94" i="8"/>
  <c r="W95" i="8"/>
  <c r="W96" i="8"/>
  <c r="W93" i="8"/>
  <c r="W92" i="8"/>
  <c r="AO212" i="8"/>
  <c r="AO211" i="8"/>
  <c r="C35" i="8" s="1"/>
  <c r="AB95" i="8"/>
  <c r="AB96" i="8"/>
  <c r="AB93" i="8"/>
  <c r="AB92" i="8"/>
  <c r="AB94" i="8"/>
  <c r="AO207" i="8"/>
  <c r="AO210" i="8" s="1"/>
  <c r="AO208" i="8"/>
  <c r="AO209" i="8" s="1"/>
  <c r="AP87" i="6"/>
  <c r="AO87" i="6"/>
  <c r="AP64" i="6"/>
  <c r="AO64" i="6"/>
  <c r="AP88" i="6"/>
  <c r="AO88" i="6"/>
  <c r="AN38" i="6"/>
  <c r="AG38" i="6"/>
  <c r="AF39" i="6"/>
  <c r="AF40" i="6"/>
  <c r="AJ39" i="6"/>
  <c r="AM39" i="6" s="1"/>
  <c r="AO37" i="6"/>
  <c r="AO52" i="6"/>
  <c r="AP116" i="6"/>
  <c r="AO116" i="6"/>
  <c r="AO115" i="6"/>
  <c r="AP53" i="6"/>
  <c r="AO53" i="6"/>
  <c r="AP65" i="6"/>
  <c r="AO65" i="6"/>
  <c r="AB76" i="6"/>
  <c r="AB72" i="6"/>
  <c r="AB73" i="6"/>
  <c r="AB75" i="6"/>
  <c r="AB74" i="6"/>
  <c r="W76" i="6"/>
  <c r="W74" i="6"/>
  <c r="W75" i="6"/>
  <c r="W72" i="6"/>
  <c r="W73" i="6"/>
  <c r="G39" i="8" l="1"/>
  <c r="G43" i="8" s="1"/>
  <c r="H43" i="8" s="1"/>
  <c r="G40" i="8"/>
  <c r="AB99" i="8"/>
  <c r="AB100" i="8"/>
  <c r="AB98" i="8"/>
  <c r="AB97" i="8"/>
  <c r="W98" i="8"/>
  <c r="W97" i="8"/>
  <c r="W99" i="8"/>
  <c r="W100" i="8"/>
  <c r="AP38" i="6"/>
  <c r="AO38" i="6"/>
  <c r="AN40" i="6"/>
  <c r="AG40" i="6"/>
  <c r="AN39" i="6"/>
  <c r="AG39" i="6"/>
  <c r="AB78" i="6"/>
  <c r="AB79" i="6"/>
  <c r="AB80" i="6"/>
  <c r="AB81" i="6"/>
  <c r="AB77" i="6"/>
  <c r="W81" i="6"/>
  <c r="W78" i="6"/>
  <c r="W79" i="6"/>
  <c r="W80" i="6"/>
  <c r="W77" i="6"/>
  <c r="AB105" i="8" l="1"/>
  <c r="AB104" i="8"/>
  <c r="AB102" i="8"/>
  <c r="AB101" i="8"/>
  <c r="AB103" i="8"/>
  <c r="W103" i="8"/>
  <c r="W105" i="8"/>
  <c r="W104" i="8"/>
  <c r="W101" i="8"/>
  <c r="W102" i="8"/>
  <c r="AP39" i="6"/>
  <c r="AO39" i="6"/>
  <c r="AP40" i="6"/>
  <c r="AO40" i="6"/>
  <c r="AB83" i="6"/>
  <c r="AB84" i="6"/>
  <c r="AB85" i="6"/>
  <c r="AB86" i="6"/>
  <c r="AB87" i="6"/>
  <c r="AB88" i="6"/>
  <c r="AB82" i="6"/>
  <c r="W88" i="6"/>
  <c r="W86" i="6"/>
  <c r="W87" i="6"/>
  <c r="W82" i="6"/>
  <c r="W83" i="6"/>
  <c r="W84" i="6"/>
  <c r="W85" i="6"/>
  <c r="W108" i="8" l="1"/>
  <c r="W109" i="8"/>
  <c r="W106" i="8"/>
  <c r="W107" i="8"/>
  <c r="AB107" i="8"/>
  <c r="AB108" i="8"/>
  <c r="AB106" i="8"/>
  <c r="AB109" i="8"/>
  <c r="AB89" i="6"/>
  <c r="AB90" i="6"/>
  <c r="AB91" i="6"/>
  <c r="W91" i="6"/>
  <c r="W90" i="6"/>
  <c r="W89" i="6"/>
  <c r="AB116" i="8" l="1"/>
  <c r="AB113" i="8"/>
  <c r="AB114" i="8"/>
  <c r="AB115" i="8"/>
  <c r="AB111" i="8"/>
  <c r="AB110" i="8"/>
  <c r="AB112" i="8"/>
  <c r="W115" i="8"/>
  <c r="W112" i="8"/>
  <c r="W116" i="8"/>
  <c r="W113" i="8"/>
  <c r="W114" i="8"/>
  <c r="W110" i="8"/>
  <c r="W111" i="8"/>
  <c r="AB93" i="6"/>
  <c r="AB94" i="6"/>
  <c r="AB95" i="6"/>
  <c r="AB96" i="6"/>
  <c r="AB92" i="6"/>
  <c r="W96" i="6"/>
  <c r="W94" i="6"/>
  <c r="W95" i="6"/>
  <c r="W92" i="6"/>
  <c r="W93" i="6"/>
  <c r="AB120" i="8" l="1"/>
  <c r="AB118" i="8"/>
  <c r="AB117" i="8"/>
  <c r="AB119" i="8"/>
  <c r="W120" i="8"/>
  <c r="W118" i="8"/>
  <c r="W117" i="8"/>
  <c r="W119" i="8"/>
  <c r="AB100" i="6"/>
  <c r="AB99" i="6"/>
  <c r="AB97" i="6"/>
  <c r="AB98" i="6"/>
  <c r="W100" i="6"/>
  <c r="W98" i="6"/>
  <c r="W99" i="6"/>
  <c r="W97" i="6"/>
  <c r="W124" i="8" l="1"/>
  <c r="W125" i="8"/>
  <c r="W122" i="8"/>
  <c r="W121" i="8"/>
  <c r="W126" i="8"/>
  <c r="W123" i="8"/>
  <c r="AB125" i="8"/>
  <c r="AB122" i="8"/>
  <c r="AB121" i="8"/>
  <c r="AB126" i="8"/>
  <c r="AB123" i="8"/>
  <c r="AB124" i="8"/>
  <c r="AB102" i="6"/>
  <c r="AB103" i="6"/>
  <c r="AB104" i="6"/>
  <c r="AB105" i="6"/>
  <c r="AB101" i="6"/>
  <c r="W105" i="6"/>
  <c r="W102" i="6"/>
  <c r="W103" i="6"/>
  <c r="W104" i="6"/>
  <c r="W101" i="6"/>
  <c r="W129" i="8" l="1"/>
  <c r="W130" i="8"/>
  <c r="W127" i="8"/>
  <c r="W128" i="8"/>
  <c r="AB130" i="8"/>
  <c r="AB128" i="8"/>
  <c r="AB127" i="8"/>
  <c r="AB129" i="8"/>
  <c r="AB106" i="6"/>
  <c r="AB107" i="6"/>
  <c r="AB108" i="6"/>
  <c r="AB109" i="6"/>
  <c r="W109" i="6"/>
  <c r="W107" i="6"/>
  <c r="W106" i="6"/>
  <c r="W108" i="6"/>
  <c r="AB134" i="8" l="1"/>
  <c r="AB135" i="8"/>
  <c r="AB132" i="8"/>
  <c r="AB131" i="8"/>
  <c r="AB136" i="8"/>
  <c r="AB133" i="8"/>
  <c r="W133" i="8"/>
  <c r="W134" i="8"/>
  <c r="W135" i="8"/>
  <c r="W132" i="8"/>
  <c r="W131" i="8"/>
  <c r="W136" i="8"/>
  <c r="AB113" i="6"/>
  <c r="AB114" i="6"/>
  <c r="AB115" i="6"/>
  <c r="AB116" i="6"/>
  <c r="AB110" i="6"/>
  <c r="AB112" i="6"/>
  <c r="AB111" i="6"/>
  <c r="W116" i="6"/>
  <c r="W112" i="6"/>
  <c r="W113" i="6"/>
  <c r="W114" i="6"/>
  <c r="W115" i="6"/>
  <c r="W110" i="6"/>
  <c r="W111" i="6"/>
  <c r="AB139" i="8" l="1"/>
  <c r="AB140" i="8"/>
  <c r="AB138" i="8"/>
  <c r="AB137" i="8"/>
  <c r="W138" i="8"/>
  <c r="W137" i="8"/>
  <c r="W139" i="8"/>
  <c r="W140" i="8"/>
  <c r="AB118" i="6"/>
  <c r="AB119" i="6"/>
  <c r="AB120" i="6"/>
  <c r="AB117" i="6"/>
  <c r="W120" i="6"/>
  <c r="W118" i="6"/>
  <c r="W119" i="6"/>
  <c r="W117" i="6"/>
  <c r="W142" i="8" l="1"/>
  <c r="W141" i="8"/>
  <c r="W143" i="8"/>
  <c r="W144" i="8"/>
  <c r="W145" i="8"/>
  <c r="AB143" i="8"/>
  <c r="AB144" i="8"/>
  <c r="AB145" i="8"/>
  <c r="AB142" i="8"/>
  <c r="AB141" i="8"/>
  <c r="AB126" i="6"/>
  <c r="AB121" i="6"/>
  <c r="AB122" i="6"/>
  <c r="AB125" i="6"/>
  <c r="AB123" i="6"/>
  <c r="AB124" i="6"/>
  <c r="W126" i="6"/>
  <c r="W123" i="6"/>
  <c r="W124" i="6"/>
  <c r="W125" i="6"/>
  <c r="W121" i="6"/>
  <c r="W122" i="6"/>
  <c r="AB148" i="8" l="1"/>
  <c r="AB147" i="8"/>
  <c r="AB146" i="8"/>
  <c r="W147" i="8"/>
  <c r="W146" i="8"/>
  <c r="W148" i="8"/>
  <c r="AB128" i="6"/>
  <c r="AB129" i="6"/>
  <c r="AB130" i="6"/>
  <c r="AB127" i="6"/>
  <c r="W130" i="6"/>
  <c r="W128" i="6"/>
  <c r="W129" i="6"/>
  <c r="W127" i="6"/>
  <c r="W151" i="8" l="1"/>
  <c r="W150" i="8"/>
  <c r="W149" i="8"/>
  <c r="AB151" i="8"/>
  <c r="AB150" i="8"/>
  <c r="AB149" i="8"/>
  <c r="AB132" i="6"/>
  <c r="AB133" i="6"/>
  <c r="AB134" i="6"/>
  <c r="AB135" i="6"/>
  <c r="AB136" i="6"/>
  <c r="AB131" i="6"/>
  <c r="W136" i="6"/>
  <c r="W133" i="6"/>
  <c r="W134" i="6"/>
  <c r="W135" i="6"/>
  <c r="W131" i="6"/>
  <c r="W132" i="6"/>
  <c r="AB153" i="8" l="1"/>
  <c r="AB152" i="8"/>
  <c r="AB154" i="8"/>
  <c r="AB155" i="8"/>
  <c r="W155" i="8"/>
  <c r="W153" i="8"/>
  <c r="W152" i="8"/>
  <c r="W154" i="8"/>
  <c r="AB140" i="6"/>
  <c r="AB137" i="6"/>
  <c r="AB138" i="6"/>
  <c r="AB139" i="6"/>
  <c r="W140" i="6"/>
  <c r="W138" i="6"/>
  <c r="W139" i="6"/>
  <c r="W137" i="6"/>
  <c r="W160" i="8" l="1"/>
  <c r="W157" i="8"/>
  <c r="W156" i="8"/>
  <c r="W161" i="8"/>
  <c r="W158" i="8"/>
  <c r="W159" i="8"/>
  <c r="AB157" i="8"/>
  <c r="AB156" i="8"/>
  <c r="AB161" i="8"/>
  <c r="AB158" i="8"/>
  <c r="AB159" i="8"/>
  <c r="AB160" i="8"/>
  <c r="AB142" i="6"/>
  <c r="AB143" i="6"/>
  <c r="AB144" i="6"/>
  <c r="AB145" i="6"/>
  <c r="AB141" i="6"/>
  <c r="W145" i="6"/>
  <c r="W142" i="6"/>
  <c r="W143" i="6"/>
  <c r="W144" i="6"/>
  <c r="W141" i="6"/>
  <c r="AB163" i="8" l="1"/>
  <c r="AB162" i="8"/>
  <c r="AB164" i="8"/>
  <c r="AB165" i="8" s="1"/>
  <c r="W164" i="8"/>
  <c r="W165" i="8" s="1"/>
  <c r="W163" i="8"/>
  <c r="W162" i="8"/>
  <c r="AB146" i="6"/>
  <c r="AB147" i="6"/>
  <c r="AB148" i="6"/>
  <c r="W148" i="6"/>
  <c r="W147" i="6"/>
  <c r="W146" i="6"/>
  <c r="W169" i="8" l="1"/>
  <c r="W167" i="8"/>
  <c r="W166" i="8"/>
  <c r="W168" i="8"/>
  <c r="AB169" i="8"/>
  <c r="AB167" i="8"/>
  <c r="AB166" i="8"/>
  <c r="AB168" i="8"/>
  <c r="AB150" i="6"/>
  <c r="AB151" i="6"/>
  <c r="AB149" i="6"/>
  <c r="W151" i="6"/>
  <c r="W150" i="6"/>
  <c r="W149" i="6"/>
  <c r="W171" i="8" l="1"/>
  <c r="W170" i="8"/>
  <c r="W172" i="8"/>
  <c r="AB171" i="8"/>
  <c r="AB170" i="8"/>
  <c r="AB172" i="8"/>
  <c r="AB154" i="6"/>
  <c r="AB155" i="6"/>
  <c r="AB153" i="6"/>
  <c r="AB152" i="6"/>
  <c r="W155" i="6"/>
  <c r="W153" i="6"/>
  <c r="W154" i="6"/>
  <c r="W152" i="6"/>
  <c r="AB175" i="8" l="1"/>
  <c r="AB176" i="8"/>
  <c r="AB173" i="8"/>
  <c r="AB174" i="8"/>
  <c r="W174" i="8"/>
  <c r="W173" i="8"/>
  <c r="W175" i="8"/>
  <c r="W176" i="8"/>
  <c r="AB157" i="6"/>
  <c r="AB158" i="6"/>
  <c r="AB159" i="6"/>
  <c r="AB160" i="6"/>
  <c r="AB161" i="6"/>
  <c r="AB156" i="6"/>
  <c r="W161" i="6"/>
  <c r="W156" i="6"/>
  <c r="W157" i="6"/>
  <c r="W158" i="6"/>
  <c r="W160" i="6"/>
  <c r="W159" i="6"/>
  <c r="AB179" i="8" l="1"/>
  <c r="AB180" i="8"/>
  <c r="AB178" i="8"/>
  <c r="AB177" i="8"/>
  <c r="W178" i="8"/>
  <c r="W177" i="8"/>
  <c r="W179" i="8"/>
  <c r="W180" i="8"/>
  <c r="AB162" i="6"/>
  <c r="AB164" i="6"/>
  <c r="AB165" i="6" s="1"/>
  <c r="AB163" i="6"/>
  <c r="W164" i="6"/>
  <c r="W165" i="6" s="1"/>
  <c r="W163" i="6"/>
  <c r="W162" i="6"/>
  <c r="AB184" i="8" l="1"/>
  <c r="AB185" i="8"/>
  <c r="AB182" i="8"/>
  <c r="AB181" i="8"/>
  <c r="AB183" i="8"/>
  <c r="W183" i="8"/>
  <c r="W184" i="8"/>
  <c r="W185" i="8"/>
  <c r="W182" i="8"/>
  <c r="W181" i="8"/>
  <c r="AB167" i="6"/>
  <c r="AB169" i="6"/>
  <c r="AB168" i="6"/>
  <c r="AB166" i="6"/>
  <c r="W169" i="6"/>
  <c r="W168" i="6"/>
  <c r="W166" i="6"/>
  <c r="W167" i="6"/>
  <c r="W187" i="8" l="1"/>
  <c r="W186" i="8"/>
  <c r="W188" i="8"/>
  <c r="AB188" i="8"/>
  <c r="AB187" i="8"/>
  <c r="AB186" i="8"/>
  <c r="AB170" i="6"/>
  <c r="AB171" i="6"/>
  <c r="AB172" i="6"/>
  <c r="W172" i="6"/>
  <c r="W171" i="6"/>
  <c r="W170" i="6"/>
  <c r="AB192" i="8" l="1"/>
  <c r="AB190" i="8"/>
  <c r="AB189" i="8"/>
  <c r="AB191" i="8"/>
  <c r="W192" i="8"/>
  <c r="W190" i="8"/>
  <c r="W189" i="8"/>
  <c r="W191" i="8"/>
  <c r="AB176" i="6"/>
  <c r="AB174" i="6"/>
  <c r="AB175" i="6"/>
  <c r="AB173" i="6"/>
  <c r="W176" i="6"/>
  <c r="W174" i="6"/>
  <c r="W175" i="6"/>
  <c r="W173" i="6"/>
  <c r="W196" i="8" l="1"/>
  <c r="W197" i="8"/>
  <c r="W194" i="8"/>
  <c r="W193" i="8"/>
  <c r="W195" i="8"/>
  <c r="AB197" i="8"/>
  <c r="AB194" i="8"/>
  <c r="AB193" i="8"/>
  <c r="AB195" i="8"/>
  <c r="AB196" i="8"/>
  <c r="AB177" i="6"/>
  <c r="AB180" i="6"/>
  <c r="AB178" i="6"/>
  <c r="AB179" i="6"/>
  <c r="W180" i="6"/>
  <c r="W179" i="6"/>
  <c r="W177" i="6"/>
  <c r="W178" i="6"/>
  <c r="AB202" i="8" l="1"/>
  <c r="AB199" i="8"/>
  <c r="AB198" i="8"/>
  <c r="AB200" i="8"/>
  <c r="AB201" i="8"/>
  <c r="W201" i="8"/>
  <c r="W202" i="8"/>
  <c r="W199" i="8"/>
  <c r="W198" i="8"/>
  <c r="W200" i="8"/>
  <c r="AB185" i="6"/>
  <c r="AB181" i="6"/>
  <c r="AB184" i="6"/>
  <c r="AB182" i="6"/>
  <c r="AB183" i="6"/>
  <c r="W185" i="6"/>
  <c r="W182" i="6"/>
  <c r="W183" i="6"/>
  <c r="W184" i="6"/>
  <c r="W181" i="6"/>
  <c r="W205" i="8" l="1"/>
  <c r="W204" i="8"/>
  <c r="W203" i="8"/>
  <c r="AB204" i="8"/>
  <c r="AB203" i="8"/>
  <c r="AB205" i="8"/>
  <c r="AB187" i="6"/>
  <c r="AB188" i="6"/>
  <c r="AB186" i="6"/>
  <c r="W188" i="6"/>
  <c r="W187" i="6"/>
  <c r="W186" i="6"/>
  <c r="AB190" i="6" l="1"/>
  <c r="AB191" i="6"/>
  <c r="AB189" i="6"/>
  <c r="AB192" i="6"/>
  <c r="W192" i="6"/>
  <c r="W189" i="6"/>
  <c r="W190" i="6"/>
  <c r="W191" i="6"/>
  <c r="AB197" i="6" l="1"/>
  <c r="AB193" i="6"/>
  <c r="AB194" i="6"/>
  <c r="AB195" i="6"/>
  <c r="AB196" i="6"/>
  <c r="W194" i="6"/>
  <c r="W195" i="6"/>
  <c r="W196" i="6"/>
  <c r="W197" i="6"/>
  <c r="W193" i="6"/>
  <c r="AB202" i="6" l="1"/>
  <c r="AB198" i="6"/>
  <c r="AB199" i="6"/>
  <c r="AB201" i="6"/>
  <c r="AB200" i="6"/>
  <c r="W198" i="6"/>
  <c r="W201" i="6"/>
  <c r="W199" i="6"/>
  <c r="W200" i="6"/>
  <c r="W202" i="6"/>
  <c r="AB203" i="6" l="1"/>
  <c r="AB204" i="6"/>
  <c r="AB205" i="6"/>
  <c r="W205" i="6"/>
  <c r="W204" i="6"/>
  <c r="W203" i="6"/>
  <c r="AD72" i="6" l="1"/>
  <c r="AE72" i="6" s="1"/>
  <c r="AC72" i="6" s="1"/>
  <c r="AD66" i="6"/>
  <c r="AE66" i="6" s="1"/>
  <c r="AC66" i="6" s="1"/>
  <c r="AF72" i="6" l="1"/>
  <c r="AC73" i="6"/>
  <c r="AJ72" i="6"/>
  <c r="AM72" i="6" s="1"/>
  <c r="AF66" i="6"/>
  <c r="AC67" i="6"/>
  <c r="AJ66" i="6"/>
  <c r="AM66" i="6" s="1"/>
  <c r="AN72" i="6" l="1"/>
  <c r="AG72" i="6"/>
  <c r="AG66" i="6"/>
  <c r="AN66" i="6"/>
  <c r="AP66" i="6" s="1"/>
  <c r="AC68" i="6"/>
  <c r="AF67" i="6"/>
  <c r="AJ67" i="6"/>
  <c r="AM67" i="6" s="1"/>
  <c r="AC74" i="6"/>
  <c r="AF73" i="6"/>
  <c r="AJ73" i="6"/>
  <c r="AM73" i="6" s="1"/>
  <c r="AP72" i="6" l="1"/>
  <c r="AO72" i="6"/>
  <c r="AG67" i="6"/>
  <c r="AC69" i="6"/>
  <c r="AF68" i="6"/>
  <c r="AJ68" i="6"/>
  <c r="AM68" i="6" s="1"/>
  <c r="AO66" i="6"/>
  <c r="AN73" i="6"/>
  <c r="AG73" i="6"/>
  <c r="AC75" i="6"/>
  <c r="AF74" i="6"/>
  <c r="AJ74" i="6"/>
  <c r="AM74" i="6" s="1"/>
  <c r="AN67" i="6"/>
  <c r="AP67" i="6" s="1"/>
  <c r="AP73" i="6" l="1"/>
  <c r="AO73" i="6"/>
  <c r="AG74" i="6"/>
  <c r="AN74" i="6"/>
  <c r="AP74" i="6" s="1"/>
  <c r="AN68" i="6"/>
  <c r="AG68" i="6"/>
  <c r="AO67" i="6"/>
  <c r="AF75" i="6"/>
  <c r="AF76" i="6"/>
  <c r="AJ75" i="6"/>
  <c r="AM75" i="6" s="1"/>
  <c r="AC70" i="6"/>
  <c r="AF69" i="6"/>
  <c r="AJ69" i="6"/>
  <c r="AM69" i="6" s="1"/>
  <c r="AP68" i="6" l="1"/>
  <c r="AO68" i="6"/>
  <c r="AF70" i="6"/>
  <c r="AF71" i="6"/>
  <c r="AJ70" i="6"/>
  <c r="AM70" i="6" s="1"/>
  <c r="C44" i="6" s="1"/>
  <c r="AN76" i="6"/>
  <c r="AG76" i="6"/>
  <c r="AN69" i="6"/>
  <c r="AG69" i="6"/>
  <c r="AO74" i="6"/>
  <c r="AN75" i="6"/>
  <c r="AG75" i="6"/>
  <c r="AP69" i="6" l="1"/>
  <c r="AO69" i="6"/>
  <c r="AP75" i="6"/>
  <c r="AO75" i="6"/>
  <c r="AP76" i="6"/>
  <c r="AO76" i="6"/>
  <c r="AN70" i="6"/>
  <c r="AP70" i="6" s="1"/>
  <c r="AN71" i="6"/>
  <c r="AG71" i="6"/>
  <c r="AG70" i="6"/>
  <c r="AO70" i="6" l="1"/>
  <c r="AP207" i="6"/>
  <c r="C35" i="6" s="1"/>
  <c r="AP71" i="6"/>
  <c r="AP208" i="6" s="1"/>
  <c r="AO71" i="6"/>
  <c r="AN207" i="6" s="1"/>
  <c r="AN208" i="6" l="1"/>
  <c r="AN209" i="6" s="1"/>
</calcChain>
</file>

<file path=xl/sharedStrings.xml><?xml version="1.0" encoding="utf-8"?>
<sst xmlns="http://schemas.openxmlformats.org/spreadsheetml/2006/main" count="527" uniqueCount="222">
  <si>
    <t>Total Incline (m)</t>
  </si>
  <si>
    <t>Engine Capacity (cc)</t>
  </si>
  <si>
    <t>Engine Power (Bhp)</t>
  </si>
  <si>
    <t>Engine Torque (Nm)</t>
  </si>
  <si>
    <t>Road</t>
  </si>
  <si>
    <t>Offroad</t>
  </si>
  <si>
    <t>Drive</t>
  </si>
  <si>
    <t>2WD/4WD</t>
  </si>
  <si>
    <t>Vehicle Weight (kgs)</t>
  </si>
  <si>
    <t>Vehicle Speed (Mph)</t>
  </si>
  <si>
    <t>27, 9, 14"</t>
  </si>
  <si>
    <t>Wheel Size Front</t>
  </si>
  <si>
    <t>Wheel Size Rear</t>
  </si>
  <si>
    <t>27, 11, 14"</t>
  </si>
  <si>
    <t>35 (limited)</t>
  </si>
  <si>
    <t>Ground Clearance (mm)</t>
  </si>
  <si>
    <t>Hard Soil</t>
  </si>
  <si>
    <t>Rolling Resistance (Kr)</t>
  </si>
  <si>
    <t>Limited (Mph)</t>
  </si>
  <si>
    <t>Inline Heights (m)</t>
  </si>
  <si>
    <t>Decline Heights (m)</t>
  </si>
  <si>
    <t>Total Decline (m)</t>
  </si>
  <si>
    <t>0-60 (mph)</t>
  </si>
  <si>
    <t>track timing</t>
  </si>
  <si>
    <t>sector</t>
  </si>
  <si>
    <t>sector distance</t>
  </si>
  <si>
    <t>accumulative distance</t>
  </si>
  <si>
    <t>sector time</t>
  </si>
  <si>
    <t>velocity</t>
  </si>
  <si>
    <t>gradient</t>
  </si>
  <si>
    <t>acceleration</t>
  </si>
  <si>
    <t>aero resistance</t>
  </si>
  <si>
    <t>unused power</t>
  </si>
  <si>
    <t>total resistance</t>
  </si>
  <si>
    <t>start</t>
  </si>
  <si>
    <t>1 to 2</t>
  </si>
  <si>
    <t>2 to 3</t>
  </si>
  <si>
    <t>3 to 4</t>
  </si>
  <si>
    <t>4 to 5</t>
  </si>
  <si>
    <t>5 to 6</t>
  </si>
  <si>
    <t>6 to 7</t>
  </si>
  <si>
    <t>7 to 8</t>
  </si>
  <si>
    <t>8 to 9</t>
  </si>
  <si>
    <t>9 to 10</t>
  </si>
  <si>
    <t>10 to 11</t>
  </si>
  <si>
    <t>% of 1G</t>
  </si>
  <si>
    <t xml:space="preserve">change in height </t>
  </si>
  <si>
    <t>11 to 12</t>
  </si>
  <si>
    <t>12 to 13</t>
  </si>
  <si>
    <t>13 to 14</t>
  </si>
  <si>
    <t>14 to 15</t>
  </si>
  <si>
    <t>15 to 16</t>
  </si>
  <si>
    <t>16 to 17</t>
  </si>
  <si>
    <t>17 to 18</t>
  </si>
  <si>
    <t>18 to 19</t>
  </si>
  <si>
    <t>19 to 20</t>
  </si>
  <si>
    <t>20 to 21</t>
  </si>
  <si>
    <t>21 to 22</t>
  </si>
  <si>
    <t>22 to 23</t>
  </si>
  <si>
    <t>23 to 24</t>
  </si>
  <si>
    <t>24 to 25</t>
  </si>
  <si>
    <t>25 to 26</t>
  </si>
  <si>
    <t>26 to 27</t>
  </si>
  <si>
    <t>27 to 28</t>
  </si>
  <si>
    <t>28 to 29</t>
  </si>
  <si>
    <t>29 to 30</t>
  </si>
  <si>
    <t>30 to 31</t>
  </si>
  <si>
    <t>31 to 32</t>
  </si>
  <si>
    <t>32 to 33</t>
  </si>
  <si>
    <t>33 to 34</t>
  </si>
  <si>
    <t>34 to 35</t>
  </si>
  <si>
    <t>35 to 36</t>
  </si>
  <si>
    <t>36 to 37</t>
  </si>
  <si>
    <t>37 to 38</t>
  </si>
  <si>
    <t>38 to start</t>
  </si>
  <si>
    <t>start to 1</t>
  </si>
  <si>
    <t>accumulative change in height</t>
  </si>
  <si>
    <t xml:space="preserve">Rolling resistance </t>
  </si>
  <si>
    <t>Height (m)</t>
  </si>
  <si>
    <t>Width (m)</t>
  </si>
  <si>
    <t>Length (m)</t>
  </si>
  <si>
    <t>Cross Sectional Area (m2)</t>
  </si>
  <si>
    <t>Coefficient of Drag</t>
  </si>
  <si>
    <t xml:space="preserve">Air Density </t>
  </si>
  <si>
    <t>Gradient Resistance</t>
  </si>
  <si>
    <t>Total Resistive Power</t>
  </si>
  <si>
    <t>Accumulative Sector Time</t>
  </si>
  <si>
    <t>Average Power per Second in a Sector</t>
  </si>
  <si>
    <t>Tractive resistance</t>
  </si>
  <si>
    <t>V Change</t>
  </si>
  <si>
    <t>Velocity</t>
  </si>
  <si>
    <t>Max Unused Power</t>
  </si>
  <si>
    <t>V Change/ Sec</t>
  </si>
  <si>
    <t>Min Unused Power</t>
  </si>
  <si>
    <t>Max Used Power</t>
  </si>
  <si>
    <t>Vehicle Power (w)</t>
  </si>
  <si>
    <t>Max Power Per Second</t>
  </si>
  <si>
    <t>Min Power Per Second</t>
  </si>
  <si>
    <t>No of Gears</t>
  </si>
  <si>
    <t>Ratio</t>
  </si>
  <si>
    <t>Transmission</t>
  </si>
  <si>
    <t>CVTech Automatic Drive</t>
  </si>
  <si>
    <t>Transmission Type</t>
  </si>
  <si>
    <t xml:space="preserve">CVT </t>
  </si>
  <si>
    <t>5th</t>
  </si>
  <si>
    <t>1st</t>
  </si>
  <si>
    <t>2nd</t>
  </si>
  <si>
    <t>3rd</t>
  </si>
  <si>
    <t>4th</t>
  </si>
  <si>
    <t>3.333 : 1</t>
  </si>
  <si>
    <t>1.782 : 1</t>
  </si>
  <si>
    <t>1.207 : 1</t>
  </si>
  <si>
    <t>0.902 : 1</t>
  </si>
  <si>
    <t>0.756 : 1</t>
  </si>
  <si>
    <t>Wheel Diameter F (mm)</t>
  </si>
  <si>
    <t>Tyre Diameter F (mm)</t>
  </si>
  <si>
    <t>Tyre Width F (mm)</t>
  </si>
  <si>
    <t>Tyre Diameter R (mm)</t>
  </si>
  <si>
    <t>Wheel Diameter R (mm)</t>
  </si>
  <si>
    <t>Tyre Width R (mm)</t>
  </si>
  <si>
    <t>Front Wheels</t>
  </si>
  <si>
    <t>Rear Wheels</t>
  </si>
  <si>
    <t>Wheel Radius Front</t>
  </si>
  <si>
    <t>Wheel Radius Rear</t>
  </si>
  <si>
    <t>Power Required at Wheels (w)</t>
  </si>
  <si>
    <t>Circumference of Wheel (cm)</t>
  </si>
  <si>
    <t>Circumference  of Wheel (mm)</t>
  </si>
  <si>
    <t>Circumference of Wheel (m)</t>
  </si>
  <si>
    <t>Theoretical m/s</t>
  </si>
  <si>
    <t>Accel Resistance</t>
  </si>
  <si>
    <t>Max Storable Power (w)</t>
  </si>
  <si>
    <t>Max Resistance (N)</t>
  </si>
  <si>
    <t xml:space="preserve">Power at Wheels </t>
  </si>
  <si>
    <t>Power at Differential</t>
  </si>
  <si>
    <t>Power at Gearbox</t>
  </si>
  <si>
    <t>Power at Engine</t>
  </si>
  <si>
    <t>% Loss</t>
  </si>
  <si>
    <t>% +</t>
  </si>
  <si>
    <t>Power at Chain Drive</t>
  </si>
  <si>
    <t>FWD Only</t>
  </si>
  <si>
    <t xml:space="preserve">4WD </t>
  </si>
  <si>
    <t>Total Power Lost (w)</t>
  </si>
  <si>
    <t>80mph to m/s</t>
  </si>
  <si>
    <t>m to m/minute</t>
  </si>
  <si>
    <t>Max RPM at wheels</t>
  </si>
  <si>
    <t>Power at Propshaft</t>
  </si>
  <si>
    <t>Losses from FWD</t>
  </si>
  <si>
    <t>Total Horsepower lost (bhp)</t>
  </si>
  <si>
    <t>Toal Engine Power (bhp)</t>
  </si>
  <si>
    <t>Power Required  for 2WD</t>
  </si>
  <si>
    <t>Power Required  for 4WD</t>
  </si>
  <si>
    <t>Motor Selected</t>
  </si>
  <si>
    <t>Motors Required</t>
  </si>
  <si>
    <t>Motor Power Required (w)</t>
  </si>
  <si>
    <t>Motor Wattage (w)</t>
  </si>
  <si>
    <t>Motor Voltage (v)</t>
  </si>
  <si>
    <t>Motor Calculations</t>
  </si>
  <si>
    <t>In Kw</t>
  </si>
  <si>
    <t>Motor Wattage (Kw)</t>
  </si>
  <si>
    <t>Motor Voltage Max (v)</t>
  </si>
  <si>
    <t>Motor Wattage Max (w)</t>
  </si>
  <si>
    <t>Motor Wattage Max (Kw)</t>
  </si>
  <si>
    <t>DLC-20 Brushless 12 kW - 30 kW Liquid-Cooled PMAC Motor 24-72V</t>
  </si>
  <si>
    <t>Motor Efficiency</t>
  </si>
  <si>
    <t>Motor Weight (lbs)</t>
  </si>
  <si>
    <t>Motor Weight (kg)</t>
  </si>
  <si>
    <t>Motor Rpm Max</t>
  </si>
  <si>
    <t>Motor Torque (Nm/amp)</t>
  </si>
  <si>
    <t>Motor Torque Total (Nm)</t>
  </si>
  <si>
    <t>Min Current (Continuous)</t>
  </si>
  <si>
    <t>Peak Current (amp AC)</t>
  </si>
  <si>
    <t>Peak Current (amp DC)</t>
  </si>
  <si>
    <t>Two Motors Needed</t>
  </si>
  <si>
    <t>Motor Voltage Total (v)</t>
  </si>
  <si>
    <t>Motor Voltage Max Total (v)</t>
  </si>
  <si>
    <t>Drive Shaft Weight</t>
  </si>
  <si>
    <t>Motor Efficiency Loss</t>
  </si>
  <si>
    <t>Vehicle Weight</t>
  </si>
  <si>
    <t>Vehicle Weight After Conversion</t>
  </si>
  <si>
    <t>Change in Vehicle Weight</t>
  </si>
  <si>
    <t>Drive Shaft Weight (Kg)</t>
  </si>
  <si>
    <t>Total</t>
  </si>
  <si>
    <t>Weight (Kg)</t>
  </si>
  <si>
    <t>Prop-Shaft Weight (Kg)</t>
  </si>
  <si>
    <t>Motor Weight (Kg)</t>
  </si>
  <si>
    <t>Amount</t>
  </si>
  <si>
    <t>Motor Total Weight (kg)</t>
  </si>
  <si>
    <t>Motor Total Weight (lbs)</t>
  </si>
  <si>
    <t>Battery Weight (Kg)</t>
  </si>
  <si>
    <t>Power Used</t>
  </si>
  <si>
    <t>Power Stored</t>
  </si>
  <si>
    <t>Battery Selection</t>
  </si>
  <si>
    <t>Motor Total Efficiency Loss %</t>
  </si>
  <si>
    <t>Voltage (v)</t>
  </si>
  <si>
    <t>x3</t>
  </si>
  <si>
    <t>Capacity (Ah)</t>
  </si>
  <si>
    <t>Peak Discharge Current (A)</t>
  </si>
  <si>
    <t>Max Voltage (v)</t>
  </si>
  <si>
    <t>Cycle Life (per battery)</t>
  </si>
  <si>
    <t>OEM Low Speed Electric Vehicle Car 60V 150ah Lithium ion battery pack</t>
  </si>
  <si>
    <t>Total Maximum Power Available (w)</t>
  </si>
  <si>
    <t>Total Minimum Power Available (w)</t>
  </si>
  <si>
    <t>Total Maximum Power Lost (w)</t>
  </si>
  <si>
    <t>Total Minimum Power Lost (w)</t>
  </si>
  <si>
    <t>Efficiency Lost (%)</t>
  </si>
  <si>
    <t>Spare</t>
  </si>
  <si>
    <t>*This is enough power for the lap*</t>
  </si>
  <si>
    <t>Spare/Needed</t>
  </si>
  <si>
    <t>Power at Maximum Voltage</t>
  </si>
  <si>
    <t>Power at 12Kw</t>
  </si>
  <si>
    <t>Available at 12Kw (w)</t>
  </si>
  <si>
    <t>Available at 30Kw</t>
  </si>
  <si>
    <t>Average Used</t>
  </si>
  <si>
    <t>Average Stored</t>
  </si>
  <si>
    <t>Power Lost from 16%</t>
  </si>
  <si>
    <t>Power at Wheels</t>
  </si>
  <si>
    <t>Power From Prop-shaft</t>
  </si>
  <si>
    <t>Power After Prop-shaft</t>
  </si>
  <si>
    <t>Power From Diff</t>
  </si>
  <si>
    <t>Power After Diff</t>
  </si>
  <si>
    <t>Power From Drive Shafts</t>
  </si>
  <si>
    <t>Power to Wheels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</si>
</sst>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141414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6A6A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0" xfId="0" applyFill="1" applyBorder="1"/>
    <xf numFmtId="2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6" fontId="0" fillId="4" borderId="5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7" borderId="3" xfId="0" applyFill="1" applyBorder="1" applyAlignment="1">
      <alignment horizontal="center"/>
    </xf>
    <xf numFmtId="0" fontId="0" fillId="0" borderId="7" xfId="0" applyFill="1" applyBorder="1" applyAlignment="1"/>
    <xf numFmtId="0" fontId="0" fillId="8" borderId="1" xfId="0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10" fontId="0" fillId="8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2" fontId="0" fillId="9" borderId="1" xfId="0" applyNumberFormat="1" applyFill="1" applyBorder="1"/>
    <xf numFmtId="0" fontId="0" fillId="0" borderId="0" xfId="0" applyFill="1" applyBorder="1" applyAlignment="1">
      <alignment horizontal="right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0" fontId="0" fillId="4" borderId="0" xfId="0" applyFill="1" applyBorder="1"/>
    <xf numFmtId="0" fontId="0" fillId="7" borderId="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" fontId="0" fillId="8" borderId="2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9" borderId="2" xfId="0" applyNumberFormat="1" applyFill="1" applyBorder="1" applyAlignment="1">
      <alignment horizontal="center" vertical="center"/>
    </xf>
    <xf numFmtId="2" fontId="0" fillId="8" borderId="11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2" fontId="0" fillId="8" borderId="14" xfId="0" applyNumberFormat="1" applyFill="1" applyBorder="1" applyAlignment="1">
      <alignment horizontal="center" vertical="center"/>
    </xf>
    <xf numFmtId="10" fontId="0" fillId="8" borderId="14" xfId="0" applyNumberFormat="1" applyFill="1" applyBorder="1" applyAlignment="1">
      <alignment horizontal="center" vertical="center"/>
    </xf>
    <xf numFmtId="2" fontId="0" fillId="6" borderId="14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2" fontId="0" fillId="8" borderId="19" xfId="0" applyNumberForma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5" borderId="19" xfId="0" applyNumberFormat="1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5" borderId="14" xfId="0" applyNumberFormat="1" applyFill="1" applyBorder="1" applyAlignment="1">
      <alignment horizontal="center" vertical="center"/>
    </xf>
    <xf numFmtId="2" fontId="0" fillId="5" borderId="4" xfId="0" applyNumberFormat="1" applyFill="1" applyBorder="1" applyAlignment="1">
      <alignment horizontal="center" vertical="center"/>
    </xf>
    <xf numFmtId="2" fontId="0" fillId="5" borderId="17" xfId="0" applyNumberFormat="1" applyFill="1" applyBorder="1" applyAlignment="1">
      <alignment horizontal="center" vertical="center"/>
    </xf>
    <xf numFmtId="2" fontId="0" fillId="5" borderId="29" xfId="0" applyNumberFormat="1" applyFill="1" applyBorder="1" applyAlignment="1">
      <alignment horizontal="center" vertical="center"/>
    </xf>
    <xf numFmtId="2" fontId="0" fillId="2" borderId="24" xfId="0" applyNumberFormat="1" applyFill="1" applyBorder="1" applyAlignment="1">
      <alignment horizontal="center" vertical="center"/>
    </xf>
    <xf numFmtId="2" fontId="0" fillId="2" borderId="25" xfId="0" applyNumberFormat="1" applyFill="1" applyBorder="1" applyAlignment="1">
      <alignment horizontal="center" vertical="center"/>
    </xf>
    <xf numFmtId="2" fontId="0" fillId="2" borderId="22" xfId="0" applyNumberFormat="1" applyFill="1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2" fontId="0" fillId="2" borderId="21" xfId="0" applyNumberFormat="1" applyFill="1" applyBorder="1" applyAlignment="1">
      <alignment horizontal="center" vertical="center"/>
    </xf>
    <xf numFmtId="2" fontId="0" fillId="2" borderId="10" xfId="0" applyNumberFormat="1" applyFill="1" applyBorder="1" applyAlignment="1">
      <alignment horizontal="center" vertical="center"/>
    </xf>
    <xf numFmtId="2" fontId="0" fillId="2" borderId="2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2" borderId="19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2" borderId="14" xfId="0" applyNumberForma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2" fontId="0" fillId="2" borderId="4" xfId="0" applyNumberFormat="1" applyFill="1" applyBorder="1" applyAlignment="1">
      <alignment horizontal="center" vertical="center"/>
    </xf>
    <xf numFmtId="2" fontId="0" fillId="2" borderId="30" xfId="0" applyNumberFormat="1" applyFill="1" applyBorder="1" applyAlignment="1">
      <alignment horizontal="center" vertical="center"/>
    </xf>
    <xf numFmtId="2" fontId="0" fillId="2" borderId="31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2" fontId="0" fillId="2" borderId="32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 vertical="center"/>
    </xf>
    <xf numFmtId="2" fontId="0" fillId="2" borderId="33" xfId="0" applyNumberFormat="1" applyFill="1" applyBorder="1" applyAlignment="1">
      <alignment horizontal="center" vertical="center"/>
    </xf>
    <xf numFmtId="2" fontId="0" fillId="8" borderId="34" xfId="0" applyNumberFormat="1" applyFill="1" applyBorder="1" applyAlignment="1">
      <alignment horizontal="center" vertical="center"/>
    </xf>
    <xf numFmtId="2" fontId="0" fillId="8" borderId="35" xfId="0" applyNumberFormat="1" applyFill="1" applyBorder="1" applyAlignment="1">
      <alignment horizontal="center" vertical="center"/>
    </xf>
    <xf numFmtId="2" fontId="0" fillId="8" borderId="3" xfId="0" applyNumberFormat="1" applyFill="1" applyBorder="1" applyAlignment="1">
      <alignment horizontal="center" vertical="center"/>
    </xf>
    <xf numFmtId="2" fontId="0" fillId="8" borderId="9" xfId="0" applyNumberFormat="1" applyFill="1" applyBorder="1" applyAlignment="1">
      <alignment horizontal="center" vertical="center"/>
    </xf>
    <xf numFmtId="2" fontId="0" fillId="8" borderId="36" xfId="0" applyNumberFormat="1" applyFill="1" applyBorder="1" applyAlignment="1">
      <alignment horizontal="center" vertical="center"/>
    </xf>
    <xf numFmtId="2" fontId="0" fillId="2" borderId="17" xfId="0" applyNumberFormat="1" applyFill="1" applyBorder="1" applyAlignment="1">
      <alignment horizontal="center" vertical="center"/>
    </xf>
    <xf numFmtId="0" fontId="0" fillId="0" borderId="37" xfId="0" applyBorder="1"/>
    <xf numFmtId="2" fontId="0" fillId="8" borderId="17" xfId="0" applyNumberFormat="1" applyFill="1" applyBorder="1" applyAlignment="1">
      <alignment horizontal="center" vertical="center"/>
    </xf>
    <xf numFmtId="2" fontId="0" fillId="0" borderId="0" xfId="0" applyNumberFormat="1"/>
    <xf numFmtId="2" fontId="0" fillId="8" borderId="39" xfId="0" applyNumberFormat="1" applyFill="1" applyBorder="1" applyAlignment="1">
      <alignment horizontal="center" vertical="center"/>
    </xf>
    <xf numFmtId="2" fontId="0" fillId="8" borderId="17" xfId="0" applyNumberFormat="1" applyFill="1" applyBorder="1" applyAlignment="1">
      <alignment horizontal="center" vertical="center"/>
    </xf>
    <xf numFmtId="0" fontId="0" fillId="9" borderId="1" xfId="0" applyFill="1" applyBorder="1"/>
    <xf numFmtId="10" fontId="0" fillId="8" borderId="4" xfId="0" applyNumberFormat="1" applyFill="1" applyBorder="1" applyAlignment="1">
      <alignment horizontal="center" vertical="center"/>
    </xf>
    <xf numFmtId="10" fontId="0" fillId="8" borderId="38" xfId="0" applyNumberFormat="1" applyFill="1" applyBorder="1" applyAlignment="1">
      <alignment horizontal="center" vertical="center"/>
    </xf>
    <xf numFmtId="10" fontId="0" fillId="8" borderId="1" xfId="0" applyNumberFormat="1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2" fontId="0" fillId="6" borderId="38" xfId="0" applyNumberFormat="1" applyFill="1" applyBorder="1" applyAlignment="1">
      <alignment horizontal="center" vertical="center"/>
    </xf>
    <xf numFmtId="2" fontId="0" fillId="9" borderId="38" xfId="0" applyNumberFormat="1" applyFill="1" applyBorder="1" applyAlignment="1">
      <alignment horizontal="center" vertical="center"/>
    </xf>
    <xf numFmtId="2" fontId="0" fillId="6" borderId="4" xfId="0" applyNumberFormat="1" applyFill="1" applyBorder="1" applyAlignment="1">
      <alignment horizontal="center" vertical="center"/>
    </xf>
    <xf numFmtId="2" fontId="0" fillId="8" borderId="33" xfId="0" applyNumberFormat="1" applyFill="1" applyBorder="1" applyAlignment="1">
      <alignment horizontal="center" vertical="center"/>
    </xf>
    <xf numFmtId="10" fontId="0" fillId="8" borderId="2" xfId="0" applyNumberFormat="1" applyFill="1" applyBorder="1" applyAlignment="1">
      <alignment horizontal="center" vertical="center"/>
    </xf>
    <xf numFmtId="10" fontId="0" fillId="8" borderId="24" xfId="0" applyNumberFormat="1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2" fontId="0" fillId="6" borderId="18" xfId="0" applyNumberFormat="1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2" fontId="0" fillId="9" borderId="18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43" xfId="0" applyBorder="1"/>
    <xf numFmtId="0" fontId="0" fillId="4" borderId="0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/>
    <xf numFmtId="0" fontId="0" fillId="0" borderId="17" xfId="0" applyFill="1" applyBorder="1" applyAlignment="1">
      <alignment horizontal="center"/>
    </xf>
    <xf numFmtId="164" fontId="0" fillId="0" borderId="8" xfId="0" applyNumberFormat="1" applyBorder="1" applyAlignment="1">
      <alignment horizontal="center" vertical="center"/>
    </xf>
    <xf numFmtId="2" fontId="0" fillId="6" borderId="11" xfId="0" applyNumberFormat="1" applyFill="1" applyBorder="1" applyAlignment="1">
      <alignment horizontal="center" vertical="center"/>
    </xf>
    <xf numFmtId="2" fontId="0" fillId="6" borderId="17" xfId="0" applyNumberFormat="1" applyFill="1" applyBorder="1" applyAlignment="1">
      <alignment horizontal="center" vertical="center"/>
    </xf>
    <xf numFmtId="2" fontId="0" fillId="6" borderId="19" xfId="0" applyNumberFormat="1" applyFill="1" applyBorder="1" applyAlignment="1">
      <alignment horizontal="center" vertical="center"/>
    </xf>
    <xf numFmtId="2" fontId="0" fillId="6" borderId="44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0" fontId="0" fillId="5" borderId="1" xfId="0" applyFill="1" applyBorder="1"/>
    <xf numFmtId="0" fontId="2" fillId="5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0" fillId="10" borderId="1" xfId="0" applyFill="1" applyBorder="1"/>
    <xf numFmtId="2" fontId="0" fillId="3" borderId="1" xfId="0" applyNumberFormat="1" applyFill="1" applyBorder="1"/>
    <xf numFmtId="2" fontId="0" fillId="6" borderId="40" xfId="0" applyNumberFormat="1" applyFill="1" applyBorder="1" applyAlignment="1">
      <alignment horizontal="center" vertical="center"/>
    </xf>
    <xf numFmtId="2" fontId="0" fillId="9" borderId="5" xfId="0" applyNumberFormat="1" applyFill="1" applyBorder="1" applyAlignment="1">
      <alignment horizontal="center" vertical="center"/>
    </xf>
    <xf numFmtId="2" fontId="0" fillId="9" borderId="46" xfId="0" applyNumberFormat="1" applyFill="1" applyBorder="1" applyAlignment="1">
      <alignment horizontal="center" vertical="center"/>
    </xf>
    <xf numFmtId="2" fontId="0" fillId="9" borderId="14" xfId="0" applyNumberFormat="1" applyFill="1" applyBorder="1" applyAlignment="1">
      <alignment horizontal="center" vertical="center"/>
    </xf>
    <xf numFmtId="2" fontId="0" fillId="6" borderId="31" xfId="0" applyNumberFormat="1" applyFill="1" applyBorder="1" applyAlignment="1">
      <alignment horizontal="center" vertical="center"/>
    </xf>
    <xf numFmtId="2" fontId="0" fillId="9" borderId="37" xfId="0" applyNumberFormat="1" applyFill="1" applyBorder="1" applyAlignment="1">
      <alignment horizontal="center" vertical="center"/>
    </xf>
    <xf numFmtId="2" fontId="0" fillId="9" borderId="11" xfId="0" applyNumberFormat="1" applyFill="1" applyBorder="1" applyAlignment="1">
      <alignment horizontal="center" vertical="center"/>
    </xf>
    <xf numFmtId="2" fontId="0" fillId="6" borderId="32" xfId="0" applyNumberFormat="1" applyFill="1" applyBorder="1" applyAlignment="1">
      <alignment horizontal="center" vertical="center"/>
    </xf>
    <xf numFmtId="2" fontId="0" fillId="6" borderId="29" xfId="0" applyNumberFormat="1" applyFill="1" applyBorder="1" applyAlignment="1">
      <alignment horizontal="center" vertical="center"/>
    </xf>
    <xf numFmtId="2" fontId="0" fillId="6" borderId="30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0" fillId="6" borderId="7" xfId="0" applyNumberFormat="1" applyFill="1" applyBorder="1" applyAlignment="1">
      <alignment horizontal="center" vertical="center"/>
    </xf>
    <xf numFmtId="2" fontId="0" fillId="6" borderId="46" xfId="0" applyNumberFormat="1" applyFill="1" applyBorder="1" applyAlignment="1">
      <alignment horizontal="center" vertical="center"/>
    </xf>
    <xf numFmtId="2" fontId="0" fillId="6" borderId="37" xfId="0" applyNumberFormat="1" applyFill="1" applyBorder="1" applyAlignment="1">
      <alignment horizontal="center" vertical="center"/>
    </xf>
    <xf numFmtId="2" fontId="0" fillId="6" borderId="42" xfId="0" applyNumberFormat="1" applyFill="1" applyBorder="1" applyAlignment="1">
      <alignment horizontal="center" vertical="center"/>
    </xf>
    <xf numFmtId="2" fontId="0" fillId="9" borderId="8" xfId="0" applyNumberFormat="1" applyFill="1" applyBorder="1" applyAlignment="1">
      <alignment horizontal="center" vertical="center"/>
    </xf>
    <xf numFmtId="2" fontId="0" fillId="9" borderId="30" xfId="0" applyNumberFormat="1" applyFill="1" applyBorder="1" applyAlignment="1">
      <alignment horizontal="center" vertical="center"/>
    </xf>
    <xf numFmtId="2" fontId="0" fillId="9" borderId="45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4" fontId="0" fillId="0" borderId="7" xfId="0" applyNumberFormat="1" applyFill="1" applyBorder="1"/>
    <xf numFmtId="0" fontId="0" fillId="0" borderId="7" xfId="0" applyFill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/>
    <xf numFmtId="2" fontId="0" fillId="0" borderId="1" xfId="0" applyNumberFormat="1" applyFill="1" applyBorder="1" applyAlignment="1">
      <alignment horizontal="center"/>
    </xf>
    <xf numFmtId="2" fontId="0" fillId="0" borderId="8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10" borderId="1" xfId="0" applyFont="1" applyFill="1" applyBorder="1"/>
    <xf numFmtId="10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0" fillId="0" borderId="1" xfId="0" applyFill="1" applyBorder="1"/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2" xfId="0" applyBorder="1"/>
    <xf numFmtId="0" fontId="0" fillId="0" borderId="47" xfId="0" applyBorder="1"/>
    <xf numFmtId="0" fontId="0" fillId="0" borderId="44" xfId="0" applyBorder="1"/>
    <xf numFmtId="0" fontId="0" fillId="9" borderId="39" xfId="0" applyFill="1" applyBorder="1" applyAlignment="1">
      <alignment horizontal="center" vertical="center"/>
    </xf>
    <xf numFmtId="2" fontId="0" fillId="9" borderId="24" xfId="0" applyNumberFormat="1" applyFill="1" applyBorder="1" applyAlignment="1">
      <alignment horizontal="center" vertical="center"/>
    </xf>
    <xf numFmtId="0" fontId="0" fillId="0" borderId="7" xfId="0" applyBorder="1"/>
    <xf numFmtId="0" fontId="0" fillId="0" borderId="7" xfId="0" applyFill="1" applyBorder="1" applyAlignment="1">
      <alignment horizontal="center"/>
    </xf>
    <xf numFmtId="0" fontId="0" fillId="10" borderId="48" xfId="0" applyFill="1" applyBorder="1"/>
    <xf numFmtId="2" fontId="0" fillId="0" borderId="49" xfId="0" applyNumberFormat="1" applyBorder="1"/>
    <xf numFmtId="0" fontId="0" fillId="0" borderId="50" xfId="0" applyBorder="1"/>
    <xf numFmtId="0" fontId="0" fillId="0" borderId="51" xfId="0" applyBorder="1"/>
    <xf numFmtId="0" fontId="0" fillId="10" borderId="52" xfId="0" applyFill="1" applyBorder="1"/>
    <xf numFmtId="0" fontId="0" fillId="0" borderId="53" xfId="0" applyBorder="1"/>
    <xf numFmtId="0" fontId="0" fillId="0" borderId="54" xfId="0" applyBorder="1"/>
    <xf numFmtId="0" fontId="0" fillId="0" borderId="54" xfId="0" applyFill="1" applyBorder="1" applyAlignment="1">
      <alignment horizontal="center"/>
    </xf>
    <xf numFmtId="0" fontId="0" fillId="0" borderId="54" xfId="0" applyFill="1" applyBorder="1"/>
    <xf numFmtId="0" fontId="0" fillId="0" borderId="55" xfId="0" applyFill="1" applyBorder="1"/>
    <xf numFmtId="0" fontId="0" fillId="0" borderId="56" xfId="0" applyFill="1" applyBorder="1"/>
    <xf numFmtId="0" fontId="0" fillId="0" borderId="56" xfId="0" applyBorder="1"/>
    <xf numFmtId="0" fontId="0" fillId="0" borderId="57" xfId="0" applyBorder="1"/>
    <xf numFmtId="0" fontId="0" fillId="4" borderId="48" xfId="0" applyFill="1" applyBorder="1"/>
    <xf numFmtId="0" fontId="0" fillId="0" borderId="49" xfId="0" applyBorder="1" applyAlignment="1">
      <alignment horizontal="center"/>
    </xf>
    <xf numFmtId="0" fontId="0" fillId="0" borderId="50" xfId="0" applyFill="1" applyBorder="1"/>
    <xf numFmtId="0" fontId="0" fillId="0" borderId="51" xfId="0" applyFill="1" applyBorder="1"/>
    <xf numFmtId="0" fontId="0" fillId="4" borderId="52" xfId="0" applyFill="1" applyBorder="1"/>
    <xf numFmtId="0" fontId="0" fillId="0" borderId="53" xfId="0" applyFill="1" applyBorder="1" applyAlignment="1">
      <alignment horizontal="center"/>
    </xf>
    <xf numFmtId="0" fontId="0" fillId="0" borderId="53" xfId="0" applyFill="1" applyBorder="1"/>
    <xf numFmtId="0" fontId="0" fillId="0" borderId="61" xfId="0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5" xfId="0" applyBorder="1"/>
    <xf numFmtId="0" fontId="0" fillId="4" borderId="62" xfId="0" applyFill="1" applyBorder="1"/>
    <xf numFmtId="0" fontId="0" fillId="4" borderId="62" xfId="0" applyFill="1" applyBorder="1" applyAlignment="1">
      <alignment horizontal="center"/>
    </xf>
    <xf numFmtId="0" fontId="0" fillId="0" borderId="64" xfId="0" applyBorder="1"/>
    <xf numFmtId="164" fontId="0" fillId="0" borderId="1" xfId="0" applyNumberFormat="1" applyFill="1" applyBorder="1" applyAlignment="1">
      <alignment horizontal="center"/>
    </xf>
    <xf numFmtId="0" fontId="0" fillId="0" borderId="65" xfId="0" applyBorder="1"/>
    <xf numFmtId="0" fontId="0" fillId="10" borderId="52" xfId="0" applyFill="1" applyBorder="1" applyAlignment="1">
      <alignment horizontal="center"/>
    </xf>
    <xf numFmtId="0" fontId="0" fillId="10" borderId="63" xfId="0" applyFill="1" applyBorder="1" applyAlignment="1">
      <alignment horizontal="center"/>
    </xf>
    <xf numFmtId="0" fontId="0" fillId="10" borderId="5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/>
    <xf numFmtId="2" fontId="0" fillId="0" borderId="23" xfId="0" applyNumberFormat="1" applyBorder="1"/>
    <xf numFmtId="2" fontId="0" fillId="0" borderId="0" xfId="0" applyNumberFormat="1" applyBorder="1"/>
    <xf numFmtId="0" fontId="3" fillId="0" borderId="1" xfId="0" applyFont="1" applyBorder="1"/>
    <xf numFmtId="0" fontId="0" fillId="0" borderId="4" xfId="0" applyBorder="1"/>
    <xf numFmtId="2" fontId="0" fillId="0" borderId="4" xfId="0" applyNumberFormat="1" applyBorder="1"/>
    <xf numFmtId="0" fontId="0" fillId="0" borderId="2" xfId="0" applyFill="1" applyBorder="1" applyAlignment="1">
      <alignment horizontal="left" vertical="center"/>
    </xf>
    <xf numFmtId="2" fontId="0" fillId="0" borderId="2" xfId="0" applyNumberFormat="1" applyFill="1" applyBorder="1" applyAlignment="1">
      <alignment horizontal="center" vertical="center"/>
    </xf>
    <xf numFmtId="0" fontId="0" fillId="0" borderId="5" xfId="0" applyBorder="1"/>
    <xf numFmtId="2" fontId="0" fillId="2" borderId="1" xfId="0" applyNumberFormat="1" applyFill="1" applyBorder="1"/>
    <xf numFmtId="2" fontId="0" fillId="0" borderId="1" xfId="0" applyNumberFormat="1" applyBorder="1" applyAlignment="1"/>
    <xf numFmtId="0" fontId="0" fillId="3" borderId="1" xfId="0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2" fontId="0" fillId="0" borderId="1" xfId="0" applyNumberFormat="1" applyFill="1" applyBorder="1"/>
    <xf numFmtId="0" fontId="0" fillId="10" borderId="1" xfId="0" applyFill="1" applyBorder="1" applyAlignment="1">
      <alignment horizontal="center" vertical="center"/>
    </xf>
    <xf numFmtId="0" fontId="0" fillId="1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/>
    </xf>
    <xf numFmtId="0" fontId="0" fillId="11" borderId="11" xfId="0" applyFill="1" applyBorder="1" applyAlignment="1">
      <alignment horizontal="left" vertical="center"/>
    </xf>
    <xf numFmtId="2" fontId="0" fillId="0" borderId="11" xfId="0" applyNumberFormat="1" applyFill="1" applyBorder="1" applyAlignment="1">
      <alignment horizontal="center"/>
    </xf>
    <xf numFmtId="0" fontId="0" fillId="12" borderId="11" xfId="0" applyFill="1" applyBorder="1" applyAlignment="1">
      <alignment horizontal="left" vertical="center"/>
    </xf>
    <xf numFmtId="2" fontId="0" fillId="0" borderId="66" xfId="0" applyNumberFormat="1" applyFill="1" applyBorder="1" applyAlignment="1">
      <alignment horizontal="center"/>
    </xf>
    <xf numFmtId="0" fontId="0" fillId="10" borderId="22" xfId="0" applyFill="1" applyBorder="1" applyAlignment="1">
      <alignment vertical="center"/>
    </xf>
    <xf numFmtId="2" fontId="0" fillId="0" borderId="14" xfId="0" applyNumberFormat="1" applyFill="1" applyBorder="1" applyAlignment="1">
      <alignment vertical="center"/>
    </xf>
    <xf numFmtId="0" fontId="0" fillId="0" borderId="46" xfId="0" applyFill="1" applyBorder="1"/>
    <xf numFmtId="0" fontId="0" fillId="11" borderId="14" xfId="0" applyFill="1" applyBorder="1" applyAlignment="1">
      <alignment horizontal="left" vertical="center"/>
    </xf>
    <xf numFmtId="2" fontId="0" fillId="0" borderId="14" xfId="0" applyNumberFormat="1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12" borderId="14" xfId="0" applyFill="1" applyBorder="1" applyAlignment="1">
      <alignment horizontal="left" vertical="center"/>
    </xf>
    <xf numFmtId="2" fontId="0" fillId="0" borderId="67" xfId="0" applyNumberFormat="1" applyFill="1" applyBorder="1" applyAlignment="1">
      <alignment horizontal="center"/>
    </xf>
    <xf numFmtId="2" fontId="0" fillId="10" borderId="1" xfId="0" applyNumberFormat="1" applyFill="1" applyBorder="1"/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2" fontId="0" fillId="8" borderId="29" xfId="0" applyNumberFormat="1" applyFill="1" applyBorder="1" applyAlignment="1">
      <alignment horizontal="center" vertical="center"/>
    </xf>
    <xf numFmtId="2" fontId="0" fillId="8" borderId="17" xfId="0" applyNumberFormat="1" applyFill="1" applyBorder="1" applyAlignment="1">
      <alignment horizontal="center" vertical="center"/>
    </xf>
    <xf numFmtId="2" fontId="0" fillId="8" borderId="38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16" fontId="0" fillId="4" borderId="26" xfId="0" applyNumberFormat="1" applyFill="1" applyBorder="1" applyAlignment="1">
      <alignment horizontal="center" vertical="center"/>
    </xf>
    <xf numFmtId="16" fontId="0" fillId="4" borderId="27" xfId="0" applyNumberFormat="1" applyFill="1" applyBorder="1" applyAlignment="1">
      <alignment horizontal="center" vertical="center"/>
    </xf>
    <xf numFmtId="16" fontId="0" fillId="4" borderId="28" xfId="0" applyNumberFormat="1" applyFill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0" fillId="10" borderId="52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2" fontId="0" fillId="0" borderId="4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4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(m/s)/Distance</a:t>
            </a:r>
            <a:r>
              <a:rPr lang="en-US" baseline="0"/>
              <a:t> (m)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 Sector'!$AC$23</c:f>
              <c:strCache>
                <c:ptCount val="1"/>
                <c:pt idx="0">
                  <c:v>velocity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'Per Sector'!$W$24:$W$63</c:f>
              <c:numCache>
                <c:formatCode>General</c:formatCode>
                <c:ptCount val="40"/>
                <c:pt idx="0">
                  <c:v>0</c:v>
                </c:pt>
                <c:pt idx="1">
                  <c:v>22</c:v>
                </c:pt>
                <c:pt idx="2">
                  <c:v>42</c:v>
                </c:pt>
                <c:pt idx="3">
                  <c:v>177</c:v>
                </c:pt>
                <c:pt idx="4">
                  <c:v>205</c:v>
                </c:pt>
                <c:pt idx="5">
                  <c:v>247</c:v>
                </c:pt>
                <c:pt idx="6">
                  <c:v>268</c:v>
                </c:pt>
                <c:pt idx="7">
                  <c:v>336</c:v>
                </c:pt>
                <c:pt idx="8">
                  <c:v>364</c:v>
                </c:pt>
                <c:pt idx="9">
                  <c:v>380</c:v>
                </c:pt>
                <c:pt idx="10">
                  <c:v>403</c:v>
                </c:pt>
                <c:pt idx="11">
                  <c:v>467</c:v>
                </c:pt>
                <c:pt idx="12">
                  <c:v>481</c:v>
                </c:pt>
                <c:pt idx="13">
                  <c:v>520</c:v>
                </c:pt>
                <c:pt idx="14">
                  <c:v>537</c:v>
                </c:pt>
                <c:pt idx="15">
                  <c:v>583</c:v>
                </c:pt>
                <c:pt idx="16">
                  <c:v>611</c:v>
                </c:pt>
                <c:pt idx="17">
                  <c:v>691</c:v>
                </c:pt>
                <c:pt idx="18">
                  <c:v>715</c:v>
                </c:pt>
                <c:pt idx="19">
                  <c:v>764</c:v>
                </c:pt>
                <c:pt idx="20">
                  <c:v>784</c:v>
                </c:pt>
                <c:pt idx="21">
                  <c:v>854</c:v>
                </c:pt>
                <c:pt idx="22">
                  <c:v>874</c:v>
                </c:pt>
                <c:pt idx="23">
                  <c:v>928</c:v>
                </c:pt>
                <c:pt idx="24">
                  <c:v>943</c:v>
                </c:pt>
                <c:pt idx="25">
                  <c:v>955</c:v>
                </c:pt>
                <c:pt idx="26">
                  <c:v>978</c:v>
                </c:pt>
                <c:pt idx="27">
                  <c:v>1110</c:v>
                </c:pt>
                <c:pt idx="28">
                  <c:v>1124</c:v>
                </c:pt>
                <c:pt idx="29">
                  <c:v>1129</c:v>
                </c:pt>
                <c:pt idx="30">
                  <c:v>1146</c:v>
                </c:pt>
                <c:pt idx="31">
                  <c:v>1166</c:v>
                </c:pt>
                <c:pt idx="32">
                  <c:v>1175</c:v>
                </c:pt>
                <c:pt idx="33">
                  <c:v>1203</c:v>
                </c:pt>
                <c:pt idx="34">
                  <c:v>1217</c:v>
                </c:pt>
                <c:pt idx="35">
                  <c:v>1276</c:v>
                </c:pt>
                <c:pt idx="36">
                  <c:v>1285</c:v>
                </c:pt>
                <c:pt idx="37">
                  <c:v>1289</c:v>
                </c:pt>
                <c:pt idx="38">
                  <c:v>1300</c:v>
                </c:pt>
                <c:pt idx="39">
                  <c:v>1350</c:v>
                </c:pt>
              </c:numCache>
            </c:numRef>
          </c:cat>
          <c:val>
            <c:numRef>
              <c:f>'Per Sector'!$AC$24:$AC$63</c:f>
              <c:numCache>
                <c:formatCode>0.00</c:formatCode>
                <c:ptCount val="40"/>
                <c:pt idx="0">
                  <c:v>0</c:v>
                </c:pt>
                <c:pt idx="1">
                  <c:v>4.4000000000000004</c:v>
                </c:pt>
                <c:pt idx="2">
                  <c:v>5</c:v>
                </c:pt>
                <c:pt idx="3">
                  <c:v>15</c:v>
                </c:pt>
                <c:pt idx="4">
                  <c:v>4.666666666666667</c:v>
                </c:pt>
                <c:pt idx="5">
                  <c:v>6</c:v>
                </c:pt>
                <c:pt idx="6">
                  <c:v>4.2</c:v>
                </c:pt>
                <c:pt idx="7">
                  <c:v>9.7142857142857135</c:v>
                </c:pt>
                <c:pt idx="8">
                  <c:v>4.666666666666667</c:v>
                </c:pt>
                <c:pt idx="9">
                  <c:v>3.2</c:v>
                </c:pt>
                <c:pt idx="10">
                  <c:v>4.5999999999999996</c:v>
                </c:pt>
                <c:pt idx="11">
                  <c:v>9.1428571428571423</c:v>
                </c:pt>
                <c:pt idx="12">
                  <c:v>4.666666666666667</c:v>
                </c:pt>
                <c:pt idx="13">
                  <c:v>7.8</c:v>
                </c:pt>
                <c:pt idx="14">
                  <c:v>4.25</c:v>
                </c:pt>
                <c:pt idx="15">
                  <c:v>9.1999999999999993</c:v>
                </c:pt>
                <c:pt idx="16">
                  <c:v>7</c:v>
                </c:pt>
                <c:pt idx="17">
                  <c:v>11.428571428571429</c:v>
                </c:pt>
                <c:pt idx="18">
                  <c:v>6</c:v>
                </c:pt>
                <c:pt idx="19">
                  <c:v>8.1666666666666661</c:v>
                </c:pt>
                <c:pt idx="20">
                  <c:v>5</c:v>
                </c:pt>
                <c:pt idx="21">
                  <c:v>11.666666666666666</c:v>
                </c:pt>
                <c:pt idx="22">
                  <c:v>5</c:v>
                </c:pt>
                <c:pt idx="23">
                  <c:v>10.8</c:v>
                </c:pt>
                <c:pt idx="24">
                  <c:v>5</c:v>
                </c:pt>
                <c:pt idx="25">
                  <c:v>4</c:v>
                </c:pt>
                <c:pt idx="26">
                  <c:v>5.75</c:v>
                </c:pt>
                <c:pt idx="27">
                  <c:v>22</c:v>
                </c:pt>
                <c:pt idx="28">
                  <c:v>4.666666666666667</c:v>
                </c:pt>
                <c:pt idx="29">
                  <c:v>5</c:v>
                </c:pt>
                <c:pt idx="30">
                  <c:v>4.25</c:v>
                </c:pt>
                <c:pt idx="31">
                  <c:v>6.666666666666667</c:v>
                </c:pt>
                <c:pt idx="32">
                  <c:v>2.25</c:v>
                </c:pt>
                <c:pt idx="33">
                  <c:v>7</c:v>
                </c:pt>
                <c:pt idx="34">
                  <c:v>2.8</c:v>
                </c:pt>
                <c:pt idx="35">
                  <c:v>19.666666666666668</c:v>
                </c:pt>
                <c:pt idx="36">
                  <c:v>2.25</c:v>
                </c:pt>
                <c:pt idx="37">
                  <c:v>0.8</c:v>
                </c:pt>
                <c:pt idx="38">
                  <c:v>2.2000000000000002</c:v>
                </c:pt>
                <c:pt idx="39">
                  <c:v>16.666666666666668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BF-446C-BC0A-245A921BDF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1825608"/>
        <c:axId val="711829872"/>
      </c:lineChart>
      <c:catAx>
        <c:axId val="7118256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829872"/>
        <c:crosses val="autoZero"/>
        <c:auto val="1"/>
        <c:lblAlgn val="ctr"/>
        <c:lblOffset val="100"/>
        <c:noMultiLvlLbl val="0"/>
      </c:catAx>
      <c:valAx>
        <c:axId val="71182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825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(m/s)/Distance (m)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 Sector'!$AD$23</c:f>
              <c:strCache>
                <c:ptCount val="1"/>
                <c:pt idx="0">
                  <c:v>acceleration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'Per Sector'!$W$24:$W$63</c:f>
              <c:numCache>
                <c:formatCode>General</c:formatCode>
                <c:ptCount val="40"/>
                <c:pt idx="0">
                  <c:v>0</c:v>
                </c:pt>
                <c:pt idx="1">
                  <c:v>22</c:v>
                </c:pt>
                <c:pt idx="2">
                  <c:v>42</c:v>
                </c:pt>
                <c:pt idx="3">
                  <c:v>177</c:v>
                </c:pt>
                <c:pt idx="4">
                  <c:v>205</c:v>
                </c:pt>
                <c:pt idx="5">
                  <c:v>247</c:v>
                </c:pt>
                <c:pt idx="6">
                  <c:v>268</c:v>
                </c:pt>
                <c:pt idx="7">
                  <c:v>336</c:v>
                </c:pt>
                <c:pt idx="8">
                  <c:v>364</c:v>
                </c:pt>
                <c:pt idx="9">
                  <c:v>380</c:v>
                </c:pt>
                <c:pt idx="10">
                  <c:v>403</c:v>
                </c:pt>
                <c:pt idx="11">
                  <c:v>467</c:v>
                </c:pt>
                <c:pt idx="12">
                  <c:v>481</c:v>
                </c:pt>
                <c:pt idx="13">
                  <c:v>520</c:v>
                </c:pt>
                <c:pt idx="14">
                  <c:v>537</c:v>
                </c:pt>
                <c:pt idx="15">
                  <c:v>583</c:v>
                </c:pt>
                <c:pt idx="16">
                  <c:v>611</c:v>
                </c:pt>
                <c:pt idx="17">
                  <c:v>691</c:v>
                </c:pt>
                <c:pt idx="18">
                  <c:v>715</c:v>
                </c:pt>
                <c:pt idx="19">
                  <c:v>764</c:v>
                </c:pt>
                <c:pt idx="20">
                  <c:v>784</c:v>
                </c:pt>
                <c:pt idx="21">
                  <c:v>854</c:v>
                </c:pt>
                <c:pt idx="22">
                  <c:v>874</c:v>
                </c:pt>
                <c:pt idx="23">
                  <c:v>928</c:v>
                </c:pt>
                <c:pt idx="24">
                  <c:v>943</c:v>
                </c:pt>
                <c:pt idx="25">
                  <c:v>955</c:v>
                </c:pt>
                <c:pt idx="26">
                  <c:v>978</c:v>
                </c:pt>
                <c:pt idx="27">
                  <c:v>1110</c:v>
                </c:pt>
                <c:pt idx="28">
                  <c:v>1124</c:v>
                </c:pt>
                <c:pt idx="29">
                  <c:v>1129</c:v>
                </c:pt>
                <c:pt idx="30">
                  <c:v>1146</c:v>
                </c:pt>
                <c:pt idx="31">
                  <c:v>1166</c:v>
                </c:pt>
                <c:pt idx="32">
                  <c:v>1175</c:v>
                </c:pt>
                <c:pt idx="33">
                  <c:v>1203</c:v>
                </c:pt>
                <c:pt idx="34">
                  <c:v>1217</c:v>
                </c:pt>
                <c:pt idx="35">
                  <c:v>1276</c:v>
                </c:pt>
                <c:pt idx="36">
                  <c:v>1285</c:v>
                </c:pt>
                <c:pt idx="37">
                  <c:v>1289</c:v>
                </c:pt>
                <c:pt idx="38">
                  <c:v>1300</c:v>
                </c:pt>
                <c:pt idx="39">
                  <c:v>1350</c:v>
                </c:pt>
              </c:numCache>
            </c:numRef>
          </c:cat>
          <c:val>
            <c:numRef>
              <c:f>'Per Sector'!$AD$24:$AD$63</c:f>
              <c:numCache>
                <c:formatCode>0.00</c:formatCode>
                <c:ptCount val="40"/>
                <c:pt idx="0">
                  <c:v>0</c:v>
                </c:pt>
                <c:pt idx="1">
                  <c:v>0.88000000000000012</c:v>
                </c:pt>
                <c:pt idx="2">
                  <c:v>0.14999999999999991</c:v>
                </c:pt>
                <c:pt idx="3">
                  <c:v>1.1111111111111112</c:v>
                </c:pt>
                <c:pt idx="4">
                  <c:v>-1.7222222222222221</c:v>
                </c:pt>
                <c:pt idx="5">
                  <c:v>0.19047619047619044</c:v>
                </c:pt>
                <c:pt idx="6">
                  <c:v>-0.36</c:v>
                </c:pt>
                <c:pt idx="7">
                  <c:v>0.78775510204081622</c:v>
                </c:pt>
                <c:pt idx="8">
                  <c:v>-0.84126984126984106</c:v>
                </c:pt>
                <c:pt idx="9">
                  <c:v>-0.29333333333333333</c:v>
                </c:pt>
                <c:pt idx="10">
                  <c:v>0.27999999999999992</c:v>
                </c:pt>
                <c:pt idx="11">
                  <c:v>0.6489795918367347</c:v>
                </c:pt>
                <c:pt idx="12">
                  <c:v>-1.4920634920634919</c:v>
                </c:pt>
                <c:pt idx="13">
                  <c:v>0.62666666666666659</c:v>
                </c:pt>
                <c:pt idx="14">
                  <c:v>-0.88749999999999996</c:v>
                </c:pt>
                <c:pt idx="15">
                  <c:v>0.98999999999999988</c:v>
                </c:pt>
                <c:pt idx="16">
                  <c:v>-0.54999999999999982</c:v>
                </c:pt>
                <c:pt idx="17">
                  <c:v>0.63265306122448983</c:v>
                </c:pt>
                <c:pt idx="18">
                  <c:v>-1.3571428571428572</c:v>
                </c:pt>
                <c:pt idx="19">
                  <c:v>0.36111111111111099</c:v>
                </c:pt>
                <c:pt idx="20">
                  <c:v>-0.79166666666666652</c:v>
                </c:pt>
                <c:pt idx="21">
                  <c:v>1.1111111111111109</c:v>
                </c:pt>
                <c:pt idx="22">
                  <c:v>-1.6666666666666665</c:v>
                </c:pt>
                <c:pt idx="23">
                  <c:v>1.1600000000000001</c:v>
                </c:pt>
                <c:pt idx="24">
                  <c:v>-1.9333333333333336</c:v>
                </c:pt>
                <c:pt idx="25">
                  <c:v>-0.33333333333333331</c:v>
                </c:pt>
                <c:pt idx="26">
                  <c:v>0.4375</c:v>
                </c:pt>
                <c:pt idx="27">
                  <c:v>2.7083333333333335</c:v>
                </c:pt>
                <c:pt idx="28">
                  <c:v>-5.7777777777777777</c:v>
                </c:pt>
                <c:pt idx="29">
                  <c:v>0.33333333333333304</c:v>
                </c:pt>
                <c:pt idx="30">
                  <c:v>-0.1875</c:v>
                </c:pt>
                <c:pt idx="31">
                  <c:v>0.80555555555555569</c:v>
                </c:pt>
                <c:pt idx="32">
                  <c:v>-1.1041666666666667</c:v>
                </c:pt>
                <c:pt idx="33">
                  <c:v>1.1875</c:v>
                </c:pt>
                <c:pt idx="34">
                  <c:v>-0.84000000000000008</c:v>
                </c:pt>
                <c:pt idx="35">
                  <c:v>5.6222222222222227</c:v>
                </c:pt>
                <c:pt idx="36">
                  <c:v>-4.354166666666667</c:v>
                </c:pt>
                <c:pt idx="37">
                  <c:v>-0.28999999999999998</c:v>
                </c:pt>
                <c:pt idx="38">
                  <c:v>0.28000000000000003</c:v>
                </c:pt>
                <c:pt idx="39">
                  <c:v>4.8222222222222229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E5-4C3D-A833-A55CF75A0B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2702064"/>
        <c:axId val="712695832"/>
      </c:lineChart>
      <c:catAx>
        <c:axId val="712702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695832"/>
        <c:crosses val="autoZero"/>
        <c:auto val="1"/>
        <c:lblAlgn val="ctr"/>
        <c:lblOffset val="100"/>
        <c:noMultiLvlLbl val="0"/>
      </c:catAx>
      <c:valAx>
        <c:axId val="712695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702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(</a:t>
            </a: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˚)/Distance</a:t>
            </a:r>
            <a:r>
              <a:rPr lang="en-US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(m)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 Sector'!$Z$23</c:f>
              <c:strCache>
                <c:ptCount val="1"/>
                <c:pt idx="0">
                  <c:v>gradient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'Per Sector'!$W$24:$W$63</c:f>
              <c:numCache>
                <c:formatCode>General</c:formatCode>
                <c:ptCount val="40"/>
                <c:pt idx="0">
                  <c:v>0</c:v>
                </c:pt>
                <c:pt idx="1">
                  <c:v>22</c:v>
                </c:pt>
                <c:pt idx="2">
                  <c:v>42</c:v>
                </c:pt>
                <c:pt idx="3">
                  <c:v>177</c:v>
                </c:pt>
                <c:pt idx="4">
                  <c:v>205</c:v>
                </c:pt>
                <c:pt idx="5">
                  <c:v>247</c:v>
                </c:pt>
                <c:pt idx="6">
                  <c:v>268</c:v>
                </c:pt>
                <c:pt idx="7">
                  <c:v>336</c:v>
                </c:pt>
                <c:pt idx="8">
                  <c:v>364</c:v>
                </c:pt>
                <c:pt idx="9">
                  <c:v>380</c:v>
                </c:pt>
                <c:pt idx="10">
                  <c:v>403</c:v>
                </c:pt>
                <c:pt idx="11">
                  <c:v>467</c:v>
                </c:pt>
                <c:pt idx="12">
                  <c:v>481</c:v>
                </c:pt>
                <c:pt idx="13">
                  <c:v>520</c:v>
                </c:pt>
                <c:pt idx="14">
                  <c:v>537</c:v>
                </c:pt>
                <c:pt idx="15">
                  <c:v>583</c:v>
                </c:pt>
                <c:pt idx="16">
                  <c:v>611</c:v>
                </c:pt>
                <c:pt idx="17">
                  <c:v>691</c:v>
                </c:pt>
                <c:pt idx="18">
                  <c:v>715</c:v>
                </c:pt>
                <c:pt idx="19">
                  <c:v>764</c:v>
                </c:pt>
                <c:pt idx="20">
                  <c:v>784</c:v>
                </c:pt>
                <c:pt idx="21">
                  <c:v>854</c:v>
                </c:pt>
                <c:pt idx="22">
                  <c:v>874</c:v>
                </c:pt>
                <c:pt idx="23">
                  <c:v>928</c:v>
                </c:pt>
                <c:pt idx="24">
                  <c:v>943</c:v>
                </c:pt>
                <c:pt idx="25">
                  <c:v>955</c:v>
                </c:pt>
                <c:pt idx="26">
                  <c:v>978</c:v>
                </c:pt>
                <c:pt idx="27">
                  <c:v>1110</c:v>
                </c:pt>
                <c:pt idx="28">
                  <c:v>1124</c:v>
                </c:pt>
                <c:pt idx="29">
                  <c:v>1129</c:v>
                </c:pt>
                <c:pt idx="30">
                  <c:v>1146</c:v>
                </c:pt>
                <c:pt idx="31">
                  <c:v>1166</c:v>
                </c:pt>
                <c:pt idx="32">
                  <c:v>1175</c:v>
                </c:pt>
                <c:pt idx="33">
                  <c:v>1203</c:v>
                </c:pt>
                <c:pt idx="34">
                  <c:v>1217</c:v>
                </c:pt>
                <c:pt idx="35">
                  <c:v>1276</c:v>
                </c:pt>
                <c:pt idx="36">
                  <c:v>1285</c:v>
                </c:pt>
                <c:pt idx="37">
                  <c:v>1289</c:v>
                </c:pt>
                <c:pt idx="38">
                  <c:v>1300</c:v>
                </c:pt>
                <c:pt idx="39">
                  <c:v>1350</c:v>
                </c:pt>
              </c:numCache>
            </c:numRef>
          </c:cat>
          <c:val>
            <c:numRef>
              <c:f>'Per Sector'!$Z$24:$Z$63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7.62</c:v>
                </c:pt>
                <c:pt idx="3">
                  <c:v>0</c:v>
                </c:pt>
                <c:pt idx="4">
                  <c:v>-7.92</c:v>
                </c:pt>
                <c:pt idx="5">
                  <c:v>0</c:v>
                </c:pt>
                <c:pt idx="6">
                  <c:v>8.0299999999999994</c:v>
                </c:pt>
                <c:pt idx="7">
                  <c:v>0</c:v>
                </c:pt>
                <c:pt idx="8">
                  <c:v>-7.46</c:v>
                </c:pt>
                <c:pt idx="9">
                  <c:v>0</c:v>
                </c:pt>
                <c:pt idx="10">
                  <c:v>5.09</c:v>
                </c:pt>
                <c:pt idx="11">
                  <c:v>0</c:v>
                </c:pt>
                <c:pt idx="12">
                  <c:v>4.3</c:v>
                </c:pt>
                <c:pt idx="13">
                  <c:v>0</c:v>
                </c:pt>
                <c:pt idx="14">
                  <c:v>6.81</c:v>
                </c:pt>
                <c:pt idx="15">
                  <c:v>0</c:v>
                </c:pt>
                <c:pt idx="16">
                  <c:v>-8.07</c:v>
                </c:pt>
                <c:pt idx="17">
                  <c:v>0</c:v>
                </c:pt>
                <c:pt idx="18">
                  <c:v>6.93</c:v>
                </c:pt>
                <c:pt idx="19">
                  <c:v>0</c:v>
                </c:pt>
                <c:pt idx="20">
                  <c:v>5.73</c:v>
                </c:pt>
                <c:pt idx="21">
                  <c:v>0</c:v>
                </c:pt>
                <c:pt idx="22">
                  <c:v>-5.72</c:v>
                </c:pt>
                <c:pt idx="23">
                  <c:v>0</c:v>
                </c:pt>
                <c:pt idx="24">
                  <c:v>-4.12</c:v>
                </c:pt>
                <c:pt idx="25">
                  <c:v>0</c:v>
                </c:pt>
                <c:pt idx="26">
                  <c:v>-5.31</c:v>
                </c:pt>
                <c:pt idx="27">
                  <c:v>0</c:v>
                </c:pt>
                <c:pt idx="28">
                  <c:v>-3.73</c:v>
                </c:pt>
                <c:pt idx="29">
                  <c:v>0</c:v>
                </c:pt>
                <c:pt idx="30">
                  <c:v>9.0299999999999994</c:v>
                </c:pt>
                <c:pt idx="31">
                  <c:v>0</c:v>
                </c:pt>
                <c:pt idx="32">
                  <c:v>6.59</c:v>
                </c:pt>
                <c:pt idx="33">
                  <c:v>0</c:v>
                </c:pt>
                <c:pt idx="34">
                  <c:v>3.72</c:v>
                </c:pt>
                <c:pt idx="35">
                  <c:v>0</c:v>
                </c:pt>
                <c:pt idx="36">
                  <c:v>-12.9</c:v>
                </c:pt>
                <c:pt idx="37">
                  <c:v>0</c:v>
                </c:pt>
                <c:pt idx="38">
                  <c:v>-8.49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16-4B31-96ED-CFA5CF201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2868848"/>
        <c:axId val="722871472"/>
      </c:lineChart>
      <c:catAx>
        <c:axId val="7228688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2871472"/>
        <c:crosses val="autoZero"/>
        <c:auto val="1"/>
        <c:lblAlgn val="ctr"/>
        <c:lblOffset val="100"/>
        <c:noMultiLvlLbl val="0"/>
      </c:catAx>
      <c:valAx>
        <c:axId val="722871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gradient(˚)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2868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Resistance (N)/Distance (m)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 Sector'!$AH$23</c:f>
              <c:strCache>
                <c:ptCount val="1"/>
                <c:pt idx="0">
                  <c:v>aero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'Per Sector'!$W$25:$W$63</c:f>
              <c:numCache>
                <c:formatCode>General</c:formatCode>
                <c:ptCount val="39"/>
                <c:pt idx="0">
                  <c:v>22</c:v>
                </c:pt>
                <c:pt idx="1">
                  <c:v>42</c:v>
                </c:pt>
                <c:pt idx="2">
                  <c:v>177</c:v>
                </c:pt>
                <c:pt idx="3">
                  <c:v>205</c:v>
                </c:pt>
                <c:pt idx="4">
                  <c:v>247</c:v>
                </c:pt>
                <c:pt idx="5">
                  <c:v>268</c:v>
                </c:pt>
                <c:pt idx="6">
                  <c:v>336</c:v>
                </c:pt>
                <c:pt idx="7">
                  <c:v>364</c:v>
                </c:pt>
                <c:pt idx="8">
                  <c:v>380</c:v>
                </c:pt>
                <c:pt idx="9">
                  <c:v>403</c:v>
                </c:pt>
                <c:pt idx="10">
                  <c:v>467</c:v>
                </c:pt>
                <c:pt idx="11">
                  <c:v>481</c:v>
                </c:pt>
                <c:pt idx="12">
                  <c:v>520</c:v>
                </c:pt>
                <c:pt idx="13">
                  <c:v>537</c:v>
                </c:pt>
                <c:pt idx="14">
                  <c:v>583</c:v>
                </c:pt>
                <c:pt idx="15">
                  <c:v>611</c:v>
                </c:pt>
                <c:pt idx="16">
                  <c:v>691</c:v>
                </c:pt>
                <c:pt idx="17">
                  <c:v>715</c:v>
                </c:pt>
                <c:pt idx="18">
                  <c:v>764</c:v>
                </c:pt>
                <c:pt idx="19">
                  <c:v>784</c:v>
                </c:pt>
                <c:pt idx="20">
                  <c:v>854</c:v>
                </c:pt>
                <c:pt idx="21">
                  <c:v>874</c:v>
                </c:pt>
                <c:pt idx="22">
                  <c:v>928</c:v>
                </c:pt>
                <c:pt idx="23">
                  <c:v>943</c:v>
                </c:pt>
                <c:pt idx="24">
                  <c:v>955</c:v>
                </c:pt>
                <c:pt idx="25">
                  <c:v>978</c:v>
                </c:pt>
                <c:pt idx="26">
                  <c:v>1110</c:v>
                </c:pt>
                <c:pt idx="27">
                  <c:v>1124</c:v>
                </c:pt>
                <c:pt idx="28">
                  <c:v>1129</c:v>
                </c:pt>
                <c:pt idx="29">
                  <c:v>1146</c:v>
                </c:pt>
                <c:pt idx="30">
                  <c:v>1166</c:v>
                </c:pt>
                <c:pt idx="31">
                  <c:v>1175</c:v>
                </c:pt>
                <c:pt idx="32">
                  <c:v>1203</c:v>
                </c:pt>
                <c:pt idx="33">
                  <c:v>1217</c:v>
                </c:pt>
                <c:pt idx="34">
                  <c:v>1276</c:v>
                </c:pt>
                <c:pt idx="35">
                  <c:v>1285</c:v>
                </c:pt>
                <c:pt idx="36">
                  <c:v>1289</c:v>
                </c:pt>
                <c:pt idx="37">
                  <c:v>1300</c:v>
                </c:pt>
                <c:pt idx="38">
                  <c:v>1350</c:v>
                </c:pt>
              </c:numCache>
            </c:numRef>
          </c:cat>
          <c:val>
            <c:numRef>
              <c:f>'Per Sector'!$AH$24:$AH$63</c:f>
              <c:numCache>
                <c:formatCode>0.00</c:formatCode>
                <c:ptCount val="40"/>
                <c:pt idx="0" formatCode="General">
                  <c:v>0</c:v>
                </c:pt>
                <c:pt idx="1">
                  <c:v>9.8379249408000025</c:v>
                </c:pt>
                <c:pt idx="2">
                  <c:v>12.703932000000002</c:v>
                </c:pt>
                <c:pt idx="3">
                  <c:v>114.33538800000001</c:v>
                </c:pt>
                <c:pt idx="4">
                  <c:v>11.066536320000003</c:v>
                </c:pt>
                <c:pt idx="5">
                  <c:v>18.293662080000001</c:v>
                </c:pt>
                <c:pt idx="6">
                  <c:v>8.9638944192000007</c:v>
                </c:pt>
                <c:pt idx="7">
                  <c:v>47.953454341224486</c:v>
                </c:pt>
                <c:pt idx="8">
                  <c:v>11.066536320000003</c:v>
                </c:pt>
                <c:pt idx="9">
                  <c:v>5.2035305472000015</c:v>
                </c:pt>
                <c:pt idx="10">
                  <c:v>10.752608044799999</c:v>
                </c:pt>
                <c:pt idx="11">
                  <c:v>42.477800385306125</c:v>
                </c:pt>
                <c:pt idx="12">
                  <c:v>11.066536320000003</c:v>
                </c:pt>
                <c:pt idx="13">
                  <c:v>30.916288915199999</c:v>
                </c:pt>
                <c:pt idx="14">
                  <c:v>9.1785908700000007</c:v>
                </c:pt>
                <c:pt idx="15">
                  <c:v>43.010432179199995</c:v>
                </c:pt>
                <c:pt idx="16">
                  <c:v>24.899706720000001</c:v>
                </c:pt>
                <c:pt idx="17">
                  <c:v>66.371563102040824</c:v>
                </c:pt>
                <c:pt idx="18">
                  <c:v>18.293662080000001</c:v>
                </c:pt>
                <c:pt idx="19">
                  <c:v>33.891267479999996</c:v>
                </c:pt>
                <c:pt idx="20">
                  <c:v>12.703932000000002</c:v>
                </c:pt>
                <c:pt idx="21">
                  <c:v>69.165851999999987</c:v>
                </c:pt>
                <c:pt idx="22">
                  <c:v>12.703932000000002</c:v>
                </c:pt>
                <c:pt idx="23">
                  <c:v>59.271465139200011</c:v>
                </c:pt>
                <c:pt idx="24">
                  <c:v>12.703932000000002</c:v>
                </c:pt>
                <c:pt idx="25">
                  <c:v>8.1305164800000007</c:v>
                </c:pt>
                <c:pt idx="26">
                  <c:v>16.800950070000003</c:v>
                </c:pt>
                <c:pt idx="27">
                  <c:v>245.94812352000002</c:v>
                </c:pt>
                <c:pt idx="28">
                  <c:v>11.066536320000003</c:v>
                </c:pt>
                <c:pt idx="29">
                  <c:v>12.703932000000002</c:v>
                </c:pt>
                <c:pt idx="30">
                  <c:v>9.1785908700000007</c:v>
                </c:pt>
                <c:pt idx="31">
                  <c:v>22.584768000000004</c:v>
                </c:pt>
                <c:pt idx="32">
                  <c:v>2.5725462300000004</c:v>
                </c:pt>
                <c:pt idx="33">
                  <c:v>24.899706720000001</c:v>
                </c:pt>
                <c:pt idx="34">
                  <c:v>3.9839530751999996</c:v>
                </c:pt>
                <c:pt idx="35">
                  <c:v>196.54394352000006</c:v>
                </c:pt>
                <c:pt idx="36">
                  <c:v>2.5725462300000004</c:v>
                </c:pt>
                <c:pt idx="37">
                  <c:v>0.3252206592000001</c:v>
                </c:pt>
                <c:pt idx="38">
                  <c:v>2.4594812352000006</c:v>
                </c:pt>
                <c:pt idx="39">
                  <c:v>141.15480000000005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B1-450A-8CDF-D18AEE6269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0911856"/>
        <c:axId val="710920384"/>
      </c:lineChart>
      <c:catAx>
        <c:axId val="710911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Distance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920384"/>
        <c:crosses val="autoZero"/>
        <c:auto val="1"/>
        <c:lblAlgn val="ctr"/>
        <c:lblOffset val="100"/>
        <c:noMultiLvlLbl val="0"/>
      </c:catAx>
      <c:valAx>
        <c:axId val="710920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911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</a:t>
            </a:r>
            <a:r>
              <a:rPr lang="en-US" baseline="0"/>
              <a:t> </a:t>
            </a:r>
            <a:r>
              <a:rPr lang="en-US"/>
              <a:t>(m/s)/Time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 Sector'!$AC$23</c:f>
              <c:strCache>
                <c:ptCount val="1"/>
                <c:pt idx="0">
                  <c:v>velocity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'Per Sector'!$X$24:$X$63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9</c:v>
                </c:pt>
                <c:pt idx="3">
                  <c:v>18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  <c:pt idx="7">
                  <c:v>43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66</c:v>
                </c:pt>
                <c:pt idx="12">
                  <c:v>69</c:v>
                </c:pt>
                <c:pt idx="13">
                  <c:v>74</c:v>
                </c:pt>
                <c:pt idx="14">
                  <c:v>78</c:v>
                </c:pt>
                <c:pt idx="15">
                  <c:v>83</c:v>
                </c:pt>
                <c:pt idx="16">
                  <c:v>87</c:v>
                </c:pt>
                <c:pt idx="17">
                  <c:v>94</c:v>
                </c:pt>
                <c:pt idx="18">
                  <c:v>98</c:v>
                </c:pt>
                <c:pt idx="19">
                  <c:v>104</c:v>
                </c:pt>
                <c:pt idx="20">
                  <c:v>108</c:v>
                </c:pt>
                <c:pt idx="21">
                  <c:v>114</c:v>
                </c:pt>
                <c:pt idx="22">
                  <c:v>118</c:v>
                </c:pt>
                <c:pt idx="23">
                  <c:v>123</c:v>
                </c:pt>
                <c:pt idx="24">
                  <c:v>126</c:v>
                </c:pt>
                <c:pt idx="25">
                  <c:v>129</c:v>
                </c:pt>
                <c:pt idx="26">
                  <c:v>133</c:v>
                </c:pt>
                <c:pt idx="27">
                  <c:v>139</c:v>
                </c:pt>
                <c:pt idx="28">
                  <c:v>142</c:v>
                </c:pt>
                <c:pt idx="29">
                  <c:v>143</c:v>
                </c:pt>
                <c:pt idx="30">
                  <c:v>147</c:v>
                </c:pt>
                <c:pt idx="31">
                  <c:v>150</c:v>
                </c:pt>
                <c:pt idx="32">
                  <c:v>154</c:v>
                </c:pt>
                <c:pt idx="33">
                  <c:v>158</c:v>
                </c:pt>
                <c:pt idx="34">
                  <c:v>163</c:v>
                </c:pt>
                <c:pt idx="35">
                  <c:v>166</c:v>
                </c:pt>
                <c:pt idx="36">
                  <c:v>170</c:v>
                </c:pt>
                <c:pt idx="37">
                  <c:v>175</c:v>
                </c:pt>
                <c:pt idx="38">
                  <c:v>180</c:v>
                </c:pt>
                <c:pt idx="39">
                  <c:v>183</c:v>
                </c:pt>
              </c:numCache>
            </c:numRef>
          </c:cat>
          <c:val>
            <c:numRef>
              <c:f>'Per Sector'!$AC$24:$AC$63</c:f>
              <c:numCache>
                <c:formatCode>0.00</c:formatCode>
                <c:ptCount val="40"/>
                <c:pt idx="0">
                  <c:v>0</c:v>
                </c:pt>
                <c:pt idx="1">
                  <c:v>4.4000000000000004</c:v>
                </c:pt>
                <c:pt idx="2">
                  <c:v>5</c:v>
                </c:pt>
                <c:pt idx="3">
                  <c:v>15</c:v>
                </c:pt>
                <c:pt idx="4">
                  <c:v>4.666666666666667</c:v>
                </c:pt>
                <c:pt idx="5">
                  <c:v>6</c:v>
                </c:pt>
                <c:pt idx="6">
                  <c:v>4.2</c:v>
                </c:pt>
                <c:pt idx="7">
                  <c:v>9.7142857142857135</c:v>
                </c:pt>
                <c:pt idx="8">
                  <c:v>4.666666666666667</c:v>
                </c:pt>
                <c:pt idx="9">
                  <c:v>3.2</c:v>
                </c:pt>
                <c:pt idx="10">
                  <c:v>4.5999999999999996</c:v>
                </c:pt>
                <c:pt idx="11">
                  <c:v>9.1428571428571423</c:v>
                </c:pt>
                <c:pt idx="12">
                  <c:v>4.666666666666667</c:v>
                </c:pt>
                <c:pt idx="13">
                  <c:v>7.8</c:v>
                </c:pt>
                <c:pt idx="14">
                  <c:v>4.25</c:v>
                </c:pt>
                <c:pt idx="15">
                  <c:v>9.1999999999999993</c:v>
                </c:pt>
                <c:pt idx="16">
                  <c:v>7</c:v>
                </c:pt>
                <c:pt idx="17">
                  <c:v>11.428571428571429</c:v>
                </c:pt>
                <c:pt idx="18">
                  <c:v>6</c:v>
                </c:pt>
                <c:pt idx="19">
                  <c:v>8.1666666666666661</c:v>
                </c:pt>
                <c:pt idx="20">
                  <c:v>5</c:v>
                </c:pt>
                <c:pt idx="21">
                  <c:v>11.666666666666666</c:v>
                </c:pt>
                <c:pt idx="22">
                  <c:v>5</c:v>
                </c:pt>
                <c:pt idx="23">
                  <c:v>10.8</c:v>
                </c:pt>
                <c:pt idx="24">
                  <c:v>5</c:v>
                </c:pt>
                <c:pt idx="25">
                  <c:v>4</c:v>
                </c:pt>
                <c:pt idx="26">
                  <c:v>5.75</c:v>
                </c:pt>
                <c:pt idx="27">
                  <c:v>22</c:v>
                </c:pt>
                <c:pt idx="28">
                  <c:v>4.666666666666667</c:v>
                </c:pt>
                <c:pt idx="29">
                  <c:v>5</c:v>
                </c:pt>
                <c:pt idx="30">
                  <c:v>4.25</c:v>
                </c:pt>
                <c:pt idx="31">
                  <c:v>6.666666666666667</c:v>
                </c:pt>
                <c:pt idx="32">
                  <c:v>2.25</c:v>
                </c:pt>
                <c:pt idx="33">
                  <c:v>7</c:v>
                </c:pt>
                <c:pt idx="34">
                  <c:v>2.8</c:v>
                </c:pt>
                <c:pt idx="35">
                  <c:v>19.666666666666668</c:v>
                </c:pt>
                <c:pt idx="36">
                  <c:v>2.25</c:v>
                </c:pt>
                <c:pt idx="37">
                  <c:v>0.8</c:v>
                </c:pt>
                <c:pt idx="38">
                  <c:v>2.2000000000000002</c:v>
                </c:pt>
                <c:pt idx="39">
                  <c:v>16.666666666666668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8D-42B1-BAE9-F4D4D1549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0196384"/>
        <c:axId val="710198024"/>
      </c:lineChart>
      <c:catAx>
        <c:axId val="7101963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198024"/>
        <c:crosses val="autoZero"/>
        <c:auto val="1"/>
        <c:lblAlgn val="ctr"/>
        <c:lblOffset val="100"/>
        <c:noMultiLvlLbl val="0"/>
      </c:catAx>
      <c:valAx>
        <c:axId val="710198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196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(m/s)/Time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 Sector'!$AD$23</c:f>
              <c:strCache>
                <c:ptCount val="1"/>
                <c:pt idx="0">
                  <c:v>acceleration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'Per Sector'!$X$24:$X$63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9</c:v>
                </c:pt>
                <c:pt idx="3">
                  <c:v>18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  <c:pt idx="7">
                  <c:v>43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66</c:v>
                </c:pt>
                <c:pt idx="12">
                  <c:v>69</c:v>
                </c:pt>
                <c:pt idx="13">
                  <c:v>74</c:v>
                </c:pt>
                <c:pt idx="14">
                  <c:v>78</c:v>
                </c:pt>
                <c:pt idx="15">
                  <c:v>83</c:v>
                </c:pt>
                <c:pt idx="16">
                  <c:v>87</c:v>
                </c:pt>
                <c:pt idx="17">
                  <c:v>94</c:v>
                </c:pt>
                <c:pt idx="18">
                  <c:v>98</c:v>
                </c:pt>
                <c:pt idx="19">
                  <c:v>104</c:v>
                </c:pt>
                <c:pt idx="20">
                  <c:v>108</c:v>
                </c:pt>
                <c:pt idx="21">
                  <c:v>114</c:v>
                </c:pt>
                <c:pt idx="22">
                  <c:v>118</c:v>
                </c:pt>
                <c:pt idx="23">
                  <c:v>123</c:v>
                </c:pt>
                <c:pt idx="24">
                  <c:v>126</c:v>
                </c:pt>
                <c:pt idx="25">
                  <c:v>129</c:v>
                </c:pt>
                <c:pt idx="26">
                  <c:v>133</c:v>
                </c:pt>
                <c:pt idx="27">
                  <c:v>139</c:v>
                </c:pt>
                <c:pt idx="28">
                  <c:v>142</c:v>
                </c:pt>
                <c:pt idx="29">
                  <c:v>143</c:v>
                </c:pt>
                <c:pt idx="30">
                  <c:v>147</c:v>
                </c:pt>
                <c:pt idx="31">
                  <c:v>150</c:v>
                </c:pt>
                <c:pt idx="32">
                  <c:v>154</c:v>
                </c:pt>
                <c:pt idx="33">
                  <c:v>158</c:v>
                </c:pt>
                <c:pt idx="34">
                  <c:v>163</c:v>
                </c:pt>
                <c:pt idx="35">
                  <c:v>166</c:v>
                </c:pt>
                <c:pt idx="36">
                  <c:v>170</c:v>
                </c:pt>
                <c:pt idx="37">
                  <c:v>175</c:v>
                </c:pt>
                <c:pt idx="38">
                  <c:v>180</c:v>
                </c:pt>
                <c:pt idx="39">
                  <c:v>183</c:v>
                </c:pt>
              </c:numCache>
            </c:numRef>
          </c:cat>
          <c:val>
            <c:numRef>
              <c:f>'Per Sector'!$AD$24:$AD$63</c:f>
              <c:numCache>
                <c:formatCode>0.00</c:formatCode>
                <c:ptCount val="40"/>
                <c:pt idx="0">
                  <c:v>0</c:v>
                </c:pt>
                <c:pt idx="1">
                  <c:v>0.88000000000000012</c:v>
                </c:pt>
                <c:pt idx="2">
                  <c:v>0.14999999999999991</c:v>
                </c:pt>
                <c:pt idx="3">
                  <c:v>1.1111111111111112</c:v>
                </c:pt>
                <c:pt idx="4">
                  <c:v>-1.7222222222222221</c:v>
                </c:pt>
                <c:pt idx="5">
                  <c:v>0.19047619047619044</c:v>
                </c:pt>
                <c:pt idx="6">
                  <c:v>-0.36</c:v>
                </c:pt>
                <c:pt idx="7">
                  <c:v>0.78775510204081622</c:v>
                </c:pt>
                <c:pt idx="8">
                  <c:v>-0.84126984126984106</c:v>
                </c:pt>
                <c:pt idx="9">
                  <c:v>-0.29333333333333333</c:v>
                </c:pt>
                <c:pt idx="10">
                  <c:v>0.27999999999999992</c:v>
                </c:pt>
                <c:pt idx="11">
                  <c:v>0.6489795918367347</c:v>
                </c:pt>
                <c:pt idx="12">
                  <c:v>-1.4920634920634919</c:v>
                </c:pt>
                <c:pt idx="13">
                  <c:v>0.62666666666666659</c:v>
                </c:pt>
                <c:pt idx="14">
                  <c:v>-0.88749999999999996</c:v>
                </c:pt>
                <c:pt idx="15">
                  <c:v>0.98999999999999988</c:v>
                </c:pt>
                <c:pt idx="16">
                  <c:v>-0.54999999999999982</c:v>
                </c:pt>
                <c:pt idx="17">
                  <c:v>0.63265306122448983</c:v>
                </c:pt>
                <c:pt idx="18">
                  <c:v>-1.3571428571428572</c:v>
                </c:pt>
                <c:pt idx="19">
                  <c:v>0.36111111111111099</c:v>
                </c:pt>
                <c:pt idx="20">
                  <c:v>-0.79166666666666652</c:v>
                </c:pt>
                <c:pt idx="21">
                  <c:v>1.1111111111111109</c:v>
                </c:pt>
                <c:pt idx="22">
                  <c:v>-1.6666666666666665</c:v>
                </c:pt>
                <c:pt idx="23">
                  <c:v>1.1600000000000001</c:v>
                </c:pt>
                <c:pt idx="24">
                  <c:v>-1.9333333333333336</c:v>
                </c:pt>
                <c:pt idx="25">
                  <c:v>-0.33333333333333331</c:v>
                </c:pt>
                <c:pt idx="26">
                  <c:v>0.4375</c:v>
                </c:pt>
                <c:pt idx="27">
                  <c:v>2.7083333333333335</c:v>
                </c:pt>
                <c:pt idx="28">
                  <c:v>-5.7777777777777777</c:v>
                </c:pt>
                <c:pt idx="29">
                  <c:v>0.33333333333333304</c:v>
                </c:pt>
                <c:pt idx="30">
                  <c:v>-0.1875</c:v>
                </c:pt>
                <c:pt idx="31">
                  <c:v>0.80555555555555569</c:v>
                </c:pt>
                <c:pt idx="32">
                  <c:v>-1.1041666666666667</c:v>
                </c:pt>
                <c:pt idx="33">
                  <c:v>1.1875</c:v>
                </c:pt>
                <c:pt idx="34">
                  <c:v>-0.84000000000000008</c:v>
                </c:pt>
                <c:pt idx="35">
                  <c:v>5.6222222222222227</c:v>
                </c:pt>
                <c:pt idx="36">
                  <c:v>-4.354166666666667</c:v>
                </c:pt>
                <c:pt idx="37">
                  <c:v>-0.28999999999999998</c:v>
                </c:pt>
                <c:pt idx="38">
                  <c:v>0.28000000000000003</c:v>
                </c:pt>
                <c:pt idx="39">
                  <c:v>4.8222222222222229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BF-4642-A56C-AF04FD7CB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1831512"/>
        <c:axId val="711831840"/>
      </c:lineChart>
      <c:catAx>
        <c:axId val="711831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831840"/>
        <c:crosses val="autoZero"/>
        <c:auto val="1"/>
        <c:lblAlgn val="ctr"/>
        <c:lblOffset val="100"/>
        <c:noMultiLvlLbl val="0"/>
      </c:catAx>
      <c:valAx>
        <c:axId val="711831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Acceleration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831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(</a:t>
            </a: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˚)/Time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 Sector'!$Z$23</c:f>
              <c:strCache>
                <c:ptCount val="1"/>
                <c:pt idx="0">
                  <c:v>gradient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'Per Sector'!$X$24:$X$63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9</c:v>
                </c:pt>
                <c:pt idx="3">
                  <c:v>18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  <c:pt idx="7">
                  <c:v>43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66</c:v>
                </c:pt>
                <c:pt idx="12">
                  <c:v>69</c:v>
                </c:pt>
                <c:pt idx="13">
                  <c:v>74</c:v>
                </c:pt>
                <c:pt idx="14">
                  <c:v>78</c:v>
                </c:pt>
                <c:pt idx="15">
                  <c:v>83</c:v>
                </c:pt>
                <c:pt idx="16">
                  <c:v>87</c:v>
                </c:pt>
                <c:pt idx="17">
                  <c:v>94</c:v>
                </c:pt>
                <c:pt idx="18">
                  <c:v>98</c:v>
                </c:pt>
                <c:pt idx="19">
                  <c:v>104</c:v>
                </c:pt>
                <c:pt idx="20">
                  <c:v>108</c:v>
                </c:pt>
                <c:pt idx="21">
                  <c:v>114</c:v>
                </c:pt>
                <c:pt idx="22">
                  <c:v>118</c:v>
                </c:pt>
                <c:pt idx="23">
                  <c:v>123</c:v>
                </c:pt>
                <c:pt idx="24">
                  <c:v>126</c:v>
                </c:pt>
                <c:pt idx="25">
                  <c:v>129</c:v>
                </c:pt>
                <c:pt idx="26">
                  <c:v>133</c:v>
                </c:pt>
                <c:pt idx="27">
                  <c:v>139</c:v>
                </c:pt>
                <c:pt idx="28">
                  <c:v>142</c:v>
                </c:pt>
                <c:pt idx="29">
                  <c:v>143</c:v>
                </c:pt>
                <c:pt idx="30">
                  <c:v>147</c:v>
                </c:pt>
                <c:pt idx="31">
                  <c:v>150</c:v>
                </c:pt>
                <c:pt idx="32">
                  <c:v>154</c:v>
                </c:pt>
                <c:pt idx="33">
                  <c:v>158</c:v>
                </c:pt>
                <c:pt idx="34">
                  <c:v>163</c:v>
                </c:pt>
                <c:pt idx="35">
                  <c:v>166</c:v>
                </c:pt>
                <c:pt idx="36">
                  <c:v>170</c:v>
                </c:pt>
                <c:pt idx="37">
                  <c:v>175</c:v>
                </c:pt>
                <c:pt idx="38">
                  <c:v>180</c:v>
                </c:pt>
                <c:pt idx="39">
                  <c:v>183</c:v>
                </c:pt>
              </c:numCache>
            </c:numRef>
          </c:cat>
          <c:val>
            <c:numRef>
              <c:f>'Per Sector'!$Z$24:$Z$63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7.62</c:v>
                </c:pt>
                <c:pt idx="3">
                  <c:v>0</c:v>
                </c:pt>
                <c:pt idx="4">
                  <c:v>-7.92</c:v>
                </c:pt>
                <c:pt idx="5">
                  <c:v>0</c:v>
                </c:pt>
                <c:pt idx="6">
                  <c:v>8.0299999999999994</c:v>
                </c:pt>
                <c:pt idx="7">
                  <c:v>0</c:v>
                </c:pt>
                <c:pt idx="8">
                  <c:v>-7.46</c:v>
                </c:pt>
                <c:pt idx="9">
                  <c:v>0</c:v>
                </c:pt>
                <c:pt idx="10">
                  <c:v>5.09</c:v>
                </c:pt>
                <c:pt idx="11">
                  <c:v>0</c:v>
                </c:pt>
                <c:pt idx="12">
                  <c:v>4.3</c:v>
                </c:pt>
                <c:pt idx="13">
                  <c:v>0</c:v>
                </c:pt>
                <c:pt idx="14">
                  <c:v>6.81</c:v>
                </c:pt>
                <c:pt idx="15">
                  <c:v>0</c:v>
                </c:pt>
                <c:pt idx="16">
                  <c:v>-8.07</c:v>
                </c:pt>
                <c:pt idx="17">
                  <c:v>0</c:v>
                </c:pt>
                <c:pt idx="18">
                  <c:v>6.93</c:v>
                </c:pt>
                <c:pt idx="19">
                  <c:v>0</c:v>
                </c:pt>
                <c:pt idx="20">
                  <c:v>5.73</c:v>
                </c:pt>
                <c:pt idx="21">
                  <c:v>0</c:v>
                </c:pt>
                <c:pt idx="22">
                  <c:v>-5.72</c:v>
                </c:pt>
                <c:pt idx="23">
                  <c:v>0</c:v>
                </c:pt>
                <c:pt idx="24">
                  <c:v>-4.12</c:v>
                </c:pt>
                <c:pt idx="25">
                  <c:v>0</c:v>
                </c:pt>
                <c:pt idx="26">
                  <c:v>-5.31</c:v>
                </c:pt>
                <c:pt idx="27">
                  <c:v>0</c:v>
                </c:pt>
                <c:pt idx="28">
                  <c:v>-3.73</c:v>
                </c:pt>
                <c:pt idx="29">
                  <c:v>0</c:v>
                </c:pt>
                <c:pt idx="30">
                  <c:v>9.0299999999999994</c:v>
                </c:pt>
                <c:pt idx="31">
                  <c:v>0</c:v>
                </c:pt>
                <c:pt idx="32">
                  <c:v>6.59</c:v>
                </c:pt>
                <c:pt idx="33">
                  <c:v>0</c:v>
                </c:pt>
                <c:pt idx="34">
                  <c:v>3.72</c:v>
                </c:pt>
                <c:pt idx="35">
                  <c:v>0</c:v>
                </c:pt>
                <c:pt idx="36">
                  <c:v>-12.9</c:v>
                </c:pt>
                <c:pt idx="37">
                  <c:v>0</c:v>
                </c:pt>
                <c:pt idx="38">
                  <c:v>-8.49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8F-41B1-8C21-212444820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2712232"/>
        <c:axId val="712710264"/>
      </c:lineChart>
      <c:catAx>
        <c:axId val="712712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710264"/>
        <c:crosses val="autoZero"/>
        <c:auto val="1"/>
        <c:lblAlgn val="ctr"/>
        <c:lblOffset val="100"/>
        <c:noMultiLvlLbl val="0"/>
      </c:catAx>
      <c:valAx>
        <c:axId val="712710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(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712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Resistance (N)/Time</a:t>
            </a:r>
            <a:r>
              <a:rPr lang="en-US" baseline="0"/>
              <a:t>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 Sector'!$AH$23</c:f>
              <c:strCache>
                <c:ptCount val="1"/>
                <c:pt idx="0">
                  <c:v>aero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'Per Sector'!$X$24:$X$63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9</c:v>
                </c:pt>
                <c:pt idx="3">
                  <c:v>18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  <c:pt idx="7">
                  <c:v>43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66</c:v>
                </c:pt>
                <c:pt idx="12">
                  <c:v>69</c:v>
                </c:pt>
                <c:pt idx="13">
                  <c:v>74</c:v>
                </c:pt>
                <c:pt idx="14">
                  <c:v>78</c:v>
                </c:pt>
                <c:pt idx="15">
                  <c:v>83</c:v>
                </c:pt>
                <c:pt idx="16">
                  <c:v>87</c:v>
                </c:pt>
                <c:pt idx="17">
                  <c:v>94</c:v>
                </c:pt>
                <c:pt idx="18">
                  <c:v>98</c:v>
                </c:pt>
                <c:pt idx="19">
                  <c:v>104</c:v>
                </c:pt>
                <c:pt idx="20">
                  <c:v>108</c:v>
                </c:pt>
                <c:pt idx="21">
                  <c:v>114</c:v>
                </c:pt>
                <c:pt idx="22">
                  <c:v>118</c:v>
                </c:pt>
                <c:pt idx="23">
                  <c:v>123</c:v>
                </c:pt>
                <c:pt idx="24">
                  <c:v>126</c:v>
                </c:pt>
                <c:pt idx="25">
                  <c:v>129</c:v>
                </c:pt>
                <c:pt idx="26">
                  <c:v>133</c:v>
                </c:pt>
                <c:pt idx="27">
                  <c:v>139</c:v>
                </c:pt>
                <c:pt idx="28">
                  <c:v>142</c:v>
                </c:pt>
                <c:pt idx="29">
                  <c:v>143</c:v>
                </c:pt>
                <c:pt idx="30">
                  <c:v>147</c:v>
                </c:pt>
                <c:pt idx="31">
                  <c:v>150</c:v>
                </c:pt>
                <c:pt idx="32">
                  <c:v>154</c:v>
                </c:pt>
                <c:pt idx="33">
                  <c:v>158</c:v>
                </c:pt>
                <c:pt idx="34">
                  <c:v>163</c:v>
                </c:pt>
                <c:pt idx="35">
                  <c:v>166</c:v>
                </c:pt>
                <c:pt idx="36">
                  <c:v>170</c:v>
                </c:pt>
                <c:pt idx="37">
                  <c:v>175</c:v>
                </c:pt>
                <c:pt idx="38">
                  <c:v>180</c:v>
                </c:pt>
                <c:pt idx="39">
                  <c:v>183</c:v>
                </c:pt>
              </c:numCache>
            </c:numRef>
          </c:cat>
          <c:val>
            <c:numRef>
              <c:f>'Per Sector'!$AH$24:$AH$63</c:f>
              <c:numCache>
                <c:formatCode>0.00</c:formatCode>
                <c:ptCount val="40"/>
                <c:pt idx="0" formatCode="General">
                  <c:v>0</c:v>
                </c:pt>
                <c:pt idx="1">
                  <c:v>9.8379249408000025</c:v>
                </c:pt>
                <c:pt idx="2">
                  <c:v>12.703932000000002</c:v>
                </c:pt>
                <c:pt idx="3">
                  <c:v>114.33538800000001</c:v>
                </c:pt>
                <c:pt idx="4">
                  <c:v>11.066536320000003</c:v>
                </c:pt>
                <c:pt idx="5">
                  <c:v>18.293662080000001</c:v>
                </c:pt>
                <c:pt idx="6">
                  <c:v>8.9638944192000007</c:v>
                </c:pt>
                <c:pt idx="7">
                  <c:v>47.953454341224486</c:v>
                </c:pt>
                <c:pt idx="8">
                  <c:v>11.066536320000003</c:v>
                </c:pt>
                <c:pt idx="9">
                  <c:v>5.2035305472000015</c:v>
                </c:pt>
                <c:pt idx="10">
                  <c:v>10.752608044799999</c:v>
                </c:pt>
                <c:pt idx="11">
                  <c:v>42.477800385306125</c:v>
                </c:pt>
                <c:pt idx="12">
                  <c:v>11.066536320000003</c:v>
                </c:pt>
                <c:pt idx="13">
                  <c:v>30.916288915199999</c:v>
                </c:pt>
                <c:pt idx="14">
                  <c:v>9.1785908700000007</c:v>
                </c:pt>
                <c:pt idx="15">
                  <c:v>43.010432179199995</c:v>
                </c:pt>
                <c:pt idx="16">
                  <c:v>24.899706720000001</c:v>
                </c:pt>
                <c:pt idx="17">
                  <c:v>66.371563102040824</c:v>
                </c:pt>
                <c:pt idx="18">
                  <c:v>18.293662080000001</c:v>
                </c:pt>
                <c:pt idx="19">
                  <c:v>33.891267479999996</c:v>
                </c:pt>
                <c:pt idx="20">
                  <c:v>12.703932000000002</c:v>
                </c:pt>
                <c:pt idx="21">
                  <c:v>69.165851999999987</c:v>
                </c:pt>
                <c:pt idx="22">
                  <c:v>12.703932000000002</c:v>
                </c:pt>
                <c:pt idx="23">
                  <c:v>59.271465139200011</c:v>
                </c:pt>
                <c:pt idx="24">
                  <c:v>12.703932000000002</c:v>
                </c:pt>
                <c:pt idx="25">
                  <c:v>8.1305164800000007</c:v>
                </c:pt>
                <c:pt idx="26">
                  <c:v>16.800950070000003</c:v>
                </c:pt>
                <c:pt idx="27">
                  <c:v>245.94812352000002</c:v>
                </c:pt>
                <c:pt idx="28">
                  <c:v>11.066536320000003</c:v>
                </c:pt>
                <c:pt idx="29">
                  <c:v>12.703932000000002</c:v>
                </c:pt>
                <c:pt idx="30">
                  <c:v>9.1785908700000007</c:v>
                </c:pt>
                <c:pt idx="31">
                  <c:v>22.584768000000004</c:v>
                </c:pt>
                <c:pt idx="32">
                  <c:v>2.5725462300000004</c:v>
                </c:pt>
                <c:pt idx="33">
                  <c:v>24.899706720000001</c:v>
                </c:pt>
                <c:pt idx="34">
                  <c:v>3.9839530751999996</c:v>
                </c:pt>
                <c:pt idx="35">
                  <c:v>196.54394352000006</c:v>
                </c:pt>
                <c:pt idx="36">
                  <c:v>2.5725462300000004</c:v>
                </c:pt>
                <c:pt idx="37">
                  <c:v>0.3252206592000001</c:v>
                </c:pt>
                <c:pt idx="38">
                  <c:v>2.4594812352000006</c:v>
                </c:pt>
                <c:pt idx="39">
                  <c:v>141.15480000000005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35-4A00-879E-4A2F4CBE77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0369320"/>
        <c:axId val="710369648"/>
      </c:lineChart>
      <c:catAx>
        <c:axId val="710369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369648"/>
        <c:crosses val="autoZero"/>
        <c:auto val="1"/>
        <c:lblAlgn val="ctr"/>
        <c:lblOffset val="100"/>
        <c:noMultiLvlLbl val="0"/>
      </c:catAx>
      <c:valAx>
        <c:axId val="7103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369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Used per</a:t>
            </a:r>
            <a:r>
              <a:rPr lang="en-US" baseline="0"/>
              <a:t> Second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Power Used (kW)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'With Motor'!$AQ$22:$AQ$205</c:f>
              <c:numCache>
                <c:formatCode>0.00</c:formatCode>
                <c:ptCount val="184"/>
                <c:pt idx="1">
                  <c:v>778.54613495791637</c:v>
                </c:pt>
                <c:pt idx="2">
                  <c:v>779.58501983166491</c:v>
                </c:pt>
                <c:pt idx="3">
                  <c:v>781.31649462124597</c:v>
                </c:pt>
                <c:pt idx="4">
                  <c:v>783.7405593266584</c:v>
                </c:pt>
                <c:pt idx="5">
                  <c:v>786.8572139479038</c:v>
                </c:pt>
                <c:pt idx="7">
                  <c:v>692.02920106552369</c:v>
                </c:pt>
                <c:pt idx="8">
                  <c:v>604.33555916455816</c:v>
                </c:pt>
                <c:pt idx="11">
                  <c:v>3834.4503966073489</c:v>
                </c:pt>
                <c:pt idx="12">
                  <c:v>8269.6244189769459</c:v>
                </c:pt>
                <c:pt idx="13">
                  <c:v>7934.1379138740413</c:v>
                </c:pt>
                <c:pt idx="14">
                  <c:v>3061.9837990905307</c:v>
                </c:pt>
                <c:pt idx="18">
                  <c:v>1288.0840113580309</c:v>
                </c:pt>
                <c:pt idx="21">
                  <c:v>10079.463758628392</c:v>
                </c:pt>
                <c:pt idx="22">
                  <c:v>11434.877996904428</c:v>
                </c:pt>
                <c:pt idx="25">
                  <c:v>708.1839912168125</c:v>
                </c:pt>
                <c:pt idx="29">
                  <c:v>1080.0962423970691</c:v>
                </c:pt>
                <c:pt idx="30">
                  <c:v>1255.7401862456791</c:v>
                </c:pt>
                <c:pt idx="31">
                  <c:v>80.646212278275783</c:v>
                </c:pt>
                <c:pt idx="32">
                  <c:v>2439.0156306629419</c:v>
                </c:pt>
                <c:pt idx="35">
                  <c:v>332.57283561148171</c:v>
                </c:pt>
                <c:pt idx="36">
                  <c:v>2405.2039445551559</c:v>
                </c:pt>
                <c:pt idx="38">
                  <c:v>3455.1746655715547</c:v>
                </c:pt>
                <c:pt idx="39">
                  <c:v>5993.1241309060479</c:v>
                </c:pt>
                <c:pt idx="40">
                  <c:v>2254.1144102759395</c:v>
                </c:pt>
                <c:pt idx="43">
                  <c:v>683.89845428612637</c:v>
                </c:pt>
                <c:pt idx="46">
                  <c:v>3423.8885520273561</c:v>
                </c:pt>
                <c:pt idx="47">
                  <c:v>5786.7754518816919</c:v>
                </c:pt>
                <c:pt idx="48">
                  <c:v>630.72925513083283</c:v>
                </c:pt>
                <c:pt idx="50">
                  <c:v>596.91692196834731</c:v>
                </c:pt>
                <c:pt idx="51">
                  <c:v>1921.636174383249</c:v>
                </c:pt>
                <c:pt idx="58">
                  <c:v>1664.2824804896056</c:v>
                </c:pt>
                <c:pt idx="59">
                  <c:v>1908.3912736409989</c:v>
                </c:pt>
                <c:pt idx="60">
                  <c:v>4635.9529027612025</c:v>
                </c:pt>
                <c:pt idx="61">
                  <c:v>2579.6331937344607</c:v>
                </c:pt>
                <c:pt idx="66">
                  <c:v>497.27192676400648</c:v>
                </c:pt>
                <c:pt idx="67">
                  <c:v>3857.6243698726857</c:v>
                </c:pt>
                <c:pt idx="68">
                  <c:v>11188.42739027977</c:v>
                </c:pt>
                <c:pt idx="70">
                  <c:v>1708.8920370466321</c:v>
                </c:pt>
                <c:pt idx="74">
                  <c:v>463.21170994241248</c:v>
                </c:pt>
                <c:pt idx="75">
                  <c:v>6282.3615374437732</c:v>
                </c:pt>
                <c:pt idx="78">
                  <c:v>3339.5397491678136</c:v>
                </c:pt>
                <c:pt idx="79">
                  <c:v>5969.3943084849907</c:v>
                </c:pt>
                <c:pt idx="80">
                  <c:v>6439.0103475051301</c:v>
                </c:pt>
                <c:pt idx="83">
                  <c:v>993.74064785740541</c:v>
                </c:pt>
                <c:pt idx="85">
                  <c:v>2963.8506057810732</c:v>
                </c:pt>
                <c:pt idx="86">
                  <c:v>901.69975780118136</c:v>
                </c:pt>
                <c:pt idx="88">
                  <c:v>3024.4272441650305</c:v>
                </c:pt>
                <c:pt idx="92">
                  <c:v>3683.9643993764907</c:v>
                </c:pt>
                <c:pt idx="93">
                  <c:v>4430.3107957433522</c:v>
                </c:pt>
                <c:pt idx="94">
                  <c:v>492.69972776010002</c:v>
                </c:pt>
                <c:pt idx="95">
                  <c:v>9972.2286403606868</c:v>
                </c:pt>
                <c:pt idx="98">
                  <c:v>6461.389188741462</c:v>
                </c:pt>
                <c:pt idx="99">
                  <c:v>1394.5449307239835</c:v>
                </c:pt>
                <c:pt idx="100">
                  <c:v>2648.9397980458893</c:v>
                </c:pt>
                <c:pt idx="101">
                  <c:v>980.750584944911</c:v>
                </c:pt>
                <c:pt idx="104">
                  <c:v>201.34887128135918</c:v>
                </c:pt>
                <c:pt idx="105">
                  <c:v>5543.8085725811798</c:v>
                </c:pt>
                <c:pt idx="106">
                  <c:v>1676.202454488631</c:v>
                </c:pt>
                <c:pt idx="109">
                  <c:v>8742.7871193763185</c:v>
                </c:pt>
                <c:pt idx="110">
                  <c:v>5944.5294943915087</c:v>
                </c:pt>
                <c:pt idx="114">
                  <c:v>1237.8956380246941</c:v>
                </c:pt>
                <c:pt idx="117">
                  <c:v>11802.943276670861</c:v>
                </c:pt>
                <c:pt idx="118">
                  <c:v>7521.4899991304137</c:v>
                </c:pt>
                <c:pt idx="121">
                  <c:v>7254.3905059482358</c:v>
                </c:pt>
                <c:pt idx="122">
                  <c:v>8505.6971707118537</c:v>
                </c:pt>
                <c:pt idx="123">
                  <c:v>1320.2997795614724</c:v>
                </c:pt>
                <c:pt idx="126">
                  <c:v>12981.325293121274</c:v>
                </c:pt>
                <c:pt idx="130">
                  <c:v>3151.7248144512555</c:v>
                </c:pt>
                <c:pt idx="131">
                  <c:v>1652.4570932096462</c:v>
                </c:pt>
                <c:pt idx="136">
                  <c:v>14736.110707895035</c:v>
                </c:pt>
                <c:pt idx="137">
                  <c:v>24315.085956909377</c:v>
                </c:pt>
                <c:pt idx="138">
                  <c:v>20639.242640325032</c:v>
                </c:pt>
                <c:pt idx="139">
                  <c:v>6502.5940150888846</c:v>
                </c:pt>
                <c:pt idx="141">
                  <c:v>43169.351026121403</c:v>
                </c:pt>
                <c:pt idx="142">
                  <c:v>43425.690931164325</c:v>
                </c:pt>
                <c:pt idx="143">
                  <c:v>172.36286622222201</c:v>
                </c:pt>
                <c:pt idx="144">
                  <c:v>959.70362449075776</c:v>
                </c:pt>
                <c:pt idx="146">
                  <c:v>572.28160994292398</c:v>
                </c:pt>
                <c:pt idx="147">
                  <c:v>463.24154152768097</c:v>
                </c:pt>
                <c:pt idx="148">
                  <c:v>2109.9978612246705</c:v>
                </c:pt>
                <c:pt idx="150">
                  <c:v>688.88201372839603</c:v>
                </c:pt>
                <c:pt idx="151">
                  <c:v>8034.8640617707479</c:v>
                </c:pt>
                <c:pt idx="154">
                  <c:v>2817.0463059098333</c:v>
                </c:pt>
                <c:pt idx="155">
                  <c:v>9193.9471540473533</c:v>
                </c:pt>
                <c:pt idx="156">
                  <c:v>2553.9874993321728</c:v>
                </c:pt>
                <c:pt idx="158">
                  <c:v>1333.4796204800002</c:v>
                </c:pt>
                <c:pt idx="159">
                  <c:v>4123.6973142078587</c:v>
                </c:pt>
                <c:pt idx="160">
                  <c:v>5956.6869288617854</c:v>
                </c:pt>
                <c:pt idx="161">
                  <c:v>4772.8591003882357</c:v>
                </c:pt>
                <c:pt idx="162">
                  <c:v>1199.687080959895</c:v>
                </c:pt>
                <c:pt idx="164">
                  <c:v>154.24574598418212</c:v>
                </c:pt>
                <c:pt idx="166">
                  <c:v>24606.815914555667</c:v>
                </c:pt>
                <c:pt idx="167">
                  <c:v>13943.290631853555</c:v>
                </c:pt>
                <c:pt idx="168">
                  <c:v>6793.9758682773854</c:v>
                </c:pt>
                <c:pt idx="169">
                  <c:v>19243.322824197447</c:v>
                </c:pt>
                <c:pt idx="170">
                  <c:v>2256.1155285408327</c:v>
                </c:pt>
                <c:pt idx="171">
                  <c:v>1521.7034221905183</c:v>
                </c:pt>
                <c:pt idx="173">
                  <c:v>1761.4990796668158</c:v>
                </c:pt>
                <c:pt idx="176">
                  <c:v>2024.6170549658514</c:v>
                </c:pt>
                <c:pt idx="179">
                  <c:v>1061.3411278235646</c:v>
                </c:pt>
                <c:pt idx="180">
                  <c:v>1667.2865096148073</c:v>
                </c:pt>
                <c:pt idx="182">
                  <c:v>27899.763282430824</c:v>
                </c:pt>
                <c:pt idx="183">
                  <c:v>18157.196489876547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5C-42F4-B476-3A3CE91145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7610687"/>
        <c:axId val="1750917503"/>
      </c:barChart>
      <c:catAx>
        <c:axId val="18376106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917503"/>
        <c:crosses val="autoZero"/>
        <c:auto val="1"/>
        <c:lblAlgn val="ctr"/>
        <c:lblOffset val="100"/>
        <c:noMultiLvlLbl val="0"/>
      </c:catAx>
      <c:valAx>
        <c:axId val="1750917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Used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6106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Power Stored per Second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'With Motor'!$AS$22:$AS$205</c:f>
              <c:numCache>
                <c:formatCode>General</c:formatCode>
                <c:ptCount val="184"/>
                <c:pt idx="6" formatCode="0.00">
                  <c:v>906.2961921674314</c:v>
                </c:pt>
                <c:pt idx="9" formatCode="0.00">
                  <c:v>936.37431767299893</c:v>
                </c:pt>
                <c:pt idx="10" formatCode="0.00">
                  <c:v>2384.085021486409</c:v>
                </c:pt>
                <c:pt idx="15" formatCode="0.00">
                  <c:v>3049.5057857394568</c:v>
                </c:pt>
                <c:pt idx="16" formatCode="0.00">
                  <c:v>6265.465884861509</c:v>
                </c:pt>
                <c:pt idx="17" formatCode="0.00">
                  <c:v>4404.667015057028</c:v>
                </c:pt>
                <c:pt idx="19" formatCode="0.00">
                  <c:v>9937.2437279444421</c:v>
                </c:pt>
                <c:pt idx="20" formatCode="0.00">
                  <c:v>4170.9686838381313</c:v>
                </c:pt>
                <c:pt idx="23" formatCode="0.00">
                  <c:v>2102.1253425686746</c:v>
                </c:pt>
                <c:pt idx="24" formatCode="0.00">
                  <c:v>10143.781640566369</c:v>
                </c:pt>
                <c:pt idx="26" formatCode="0.00">
                  <c:v>681.31039693630055</c:v>
                </c:pt>
                <c:pt idx="27" formatCode="0.00">
                  <c:v>1196.2778904476793</c:v>
                </c:pt>
                <c:pt idx="28" formatCode="0.00">
                  <c:v>244.66628548563696</c:v>
                </c:pt>
                <c:pt idx="33" formatCode="0.00">
                  <c:v>185.87587471549745</c:v>
                </c:pt>
                <c:pt idx="34" formatCode="0.00">
                  <c:v>2453.3212840479914</c:v>
                </c:pt>
                <c:pt idx="37" formatCode="0.00">
                  <c:v>2375.0877385400299</c:v>
                </c:pt>
                <c:pt idx="41" formatCode="0.00">
                  <c:v>3352.833545888026</c:v>
                </c:pt>
                <c:pt idx="42" formatCode="0.00">
                  <c:v>4218.0323094933328</c:v>
                </c:pt>
                <c:pt idx="44" formatCode="0.00">
                  <c:v>5202.1574200419518</c:v>
                </c:pt>
                <c:pt idx="45" formatCode="0.00">
                  <c:v>3258.7708006369739</c:v>
                </c:pt>
                <c:pt idx="49" formatCode="0.00">
                  <c:v>5043.1728921022459</c:v>
                </c:pt>
                <c:pt idx="52" formatCode="0.00">
                  <c:v>336.20535805618823</c:v>
                </c:pt>
                <c:pt idx="53" formatCode="0.00">
                  <c:v>2015.7419818275134</c:v>
                </c:pt>
                <c:pt idx="54" formatCode="0.00">
                  <c:v>21.722760071623043</c:v>
                </c:pt>
                <c:pt idx="55" formatCode="0.00">
                  <c:v>1492.1227216148616</c:v>
                </c:pt>
                <c:pt idx="56" formatCode="0.00">
                  <c:v>1573.2936232847239</c:v>
                </c:pt>
                <c:pt idx="57" formatCode="0.00">
                  <c:v>33.831564423418897</c:v>
                </c:pt>
                <c:pt idx="62" formatCode="0.00">
                  <c:v>537.90588993225504</c:v>
                </c:pt>
                <c:pt idx="63" formatCode="0.00">
                  <c:v>3138.3204837381418</c:v>
                </c:pt>
                <c:pt idx="64" formatCode="0.00">
                  <c:v>3904.7118674784433</c:v>
                </c:pt>
                <c:pt idx="65" formatCode="0.00">
                  <c:v>2447.7752052970181</c:v>
                </c:pt>
                <c:pt idx="69" formatCode="0.00">
                  <c:v>8196.1643179825533</c:v>
                </c:pt>
                <c:pt idx="71" formatCode="0.00">
                  <c:v>1820.3011993049734</c:v>
                </c:pt>
                <c:pt idx="72" formatCode="0.00">
                  <c:v>3767.6269174684644</c:v>
                </c:pt>
                <c:pt idx="73" formatCode="0.00">
                  <c:v>2777.7208466949342</c:v>
                </c:pt>
                <c:pt idx="76" formatCode="0.00">
                  <c:v>1286.4795091453793</c:v>
                </c:pt>
                <c:pt idx="77" formatCode="0.00">
                  <c:v>5291.2491483963695</c:v>
                </c:pt>
                <c:pt idx="81" formatCode="0.00">
                  <c:v>1760.0598497087017</c:v>
                </c:pt>
                <c:pt idx="82" formatCode="0.00">
                  <c:v>5618.1033845834581</c:v>
                </c:pt>
                <c:pt idx="84" formatCode="0.00">
                  <c:v>3342.5892758053096</c:v>
                </c:pt>
                <c:pt idx="87" formatCode="0.00">
                  <c:v>3616.1725340055877</c:v>
                </c:pt>
                <c:pt idx="89" formatCode="0.00">
                  <c:v>1666.4488223840665</c:v>
                </c:pt>
                <c:pt idx="90" formatCode="0.00">
                  <c:v>3815.2694850860689</c:v>
                </c:pt>
                <c:pt idx="91" formatCode="0.00">
                  <c:v>864.56300507675849</c:v>
                </c:pt>
                <c:pt idx="96" formatCode="0.00">
                  <c:v>2082.9848535130332</c:v>
                </c:pt>
                <c:pt idx="97" formatCode="0.00">
                  <c:v>7312.727695235867</c:v>
                </c:pt>
                <c:pt idx="102" formatCode="0.00">
                  <c:v>1620.1787558437998</c:v>
                </c:pt>
                <c:pt idx="103" formatCode="0.00">
                  <c:v>2051.9690123552382</c:v>
                </c:pt>
                <c:pt idx="107" formatCode="0.00">
                  <c:v>4733.4363184355434</c:v>
                </c:pt>
                <c:pt idx="108" formatCode="0.00">
                  <c:v>2626.2475942024516</c:v>
                </c:pt>
                <c:pt idx="111" formatCode="0.00">
                  <c:v>868.45865075448114</c:v>
                </c:pt>
                <c:pt idx="112" formatCode="0.00">
                  <c:v>5932.4401596109301</c:v>
                </c:pt>
                <c:pt idx="113" formatCode="0.00">
                  <c:v>4960.0303175363988</c:v>
                </c:pt>
                <c:pt idx="115" formatCode="0.00">
                  <c:v>9859.4729696958784</c:v>
                </c:pt>
                <c:pt idx="116" formatCode="0.00">
                  <c:v>1740.4761909797746</c:v>
                </c:pt>
                <c:pt idx="119" formatCode="0.00">
                  <c:v>6561.4638013938138</c:v>
                </c:pt>
                <c:pt idx="120" formatCode="0.00">
                  <c:v>981.50247609697067</c:v>
                </c:pt>
                <c:pt idx="124" formatCode="0.00">
                  <c:v>10931.958640775149</c:v>
                </c:pt>
                <c:pt idx="125" formatCode="0.00">
                  <c:v>3048.124734382935</c:v>
                </c:pt>
                <c:pt idx="127" formatCode="0.00">
                  <c:v>891.75169772446839</c:v>
                </c:pt>
                <c:pt idx="128" formatCode="0.00">
                  <c:v>2245.3510780943252</c:v>
                </c:pt>
                <c:pt idx="129" formatCode="0.00">
                  <c:v>16.39394993777767</c:v>
                </c:pt>
                <c:pt idx="132" formatCode="0.00">
                  <c:v>1964.3507222550102</c:v>
                </c:pt>
                <c:pt idx="133" formatCode="0.00">
                  <c:v>2206.1796343156116</c:v>
                </c:pt>
                <c:pt idx="134" formatCode="0.00">
                  <c:v>11773.022225034569</c:v>
                </c:pt>
                <c:pt idx="135" formatCode="0.00">
                  <c:v>1155.5264082758265</c:v>
                </c:pt>
                <c:pt idx="140" formatCode="0.00">
                  <c:v>3141.4149349243658</c:v>
                </c:pt>
                <c:pt idx="145" formatCode="0.00">
                  <c:v>1282.2813969315803</c:v>
                </c:pt>
                <c:pt idx="149" formatCode="0.00">
                  <c:v>35.903076715682246</c:v>
                </c:pt>
                <c:pt idx="152" formatCode="0.00">
                  <c:v>615.29542659144306</c:v>
                </c:pt>
                <c:pt idx="153" formatCode="0.00">
                  <c:v>6789.824867149292</c:v>
                </c:pt>
                <c:pt idx="157" formatCode="0.00">
                  <c:v>6748.2117274733473</c:v>
                </c:pt>
                <c:pt idx="163" formatCode="0.00">
                  <c:v>2872.9799090506494</c:v>
                </c:pt>
                <c:pt idx="165" formatCode="0.00">
                  <c:v>12188.490727202699</c:v>
                </c:pt>
                <c:pt idx="172" formatCode="0.00">
                  <c:v>1985.4253652795403</c:v>
                </c:pt>
                <c:pt idx="174" formatCode="0.00">
                  <c:v>1073.7447532436327</c:v>
                </c:pt>
                <c:pt idx="175" formatCode="0.00">
                  <c:v>20.733033991168028</c:v>
                </c:pt>
                <c:pt idx="177" formatCode="0.00">
                  <c:v>349.33594475008266</c:v>
                </c:pt>
                <c:pt idx="178" formatCode="0.00">
                  <c:v>1640.4701494668586</c:v>
                </c:pt>
                <c:pt idx="181" formatCode="0.00">
                  <c:v>1590.8668543662218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3F-46BF-B18B-7F6EDC83E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66167583"/>
        <c:axId val="1901900383"/>
      </c:barChart>
      <c:catAx>
        <c:axId val="19661675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1900383"/>
        <c:crosses val="autoZero"/>
        <c:auto val="1"/>
        <c:lblAlgn val="ctr"/>
        <c:lblOffset val="100"/>
        <c:noMultiLvlLbl val="0"/>
      </c:catAx>
      <c:valAx>
        <c:axId val="190190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Stored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6167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Aero Resistance per Second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'With Motor'!$AJ$22:$AJ$205</c:f>
              <c:numCache>
                <c:formatCode>0.00</c:formatCode>
                <c:ptCount val="184"/>
                <c:pt idx="0" formatCode="General">
                  <c:v>0</c:v>
                </c:pt>
                <c:pt idx="1">
                  <c:v>0.39351699763200015</c:v>
                </c:pt>
                <c:pt idx="2">
                  <c:v>1.5740679905280006</c:v>
                </c:pt>
                <c:pt idx="3">
                  <c:v>3.5416529786880022</c:v>
                </c:pt>
                <c:pt idx="4">
                  <c:v>6.2962719621120025</c:v>
                </c:pt>
                <c:pt idx="5">
                  <c:v>9.8379249408000025</c:v>
                </c:pt>
                <c:pt idx="6">
                  <c:v>10.520126089200005</c:v>
                </c:pt>
                <c:pt idx="7">
                  <c:v>11.225194315200007</c:v>
                </c:pt>
                <c:pt idx="8">
                  <c:v>11.953129618800009</c:v>
                </c:pt>
                <c:pt idx="9">
                  <c:v>12.703932000000002</c:v>
                </c:pt>
                <c:pt idx="10">
                  <c:v>18.977478666666666</c:v>
                </c:pt>
                <c:pt idx="11">
                  <c:v>26.505734666666662</c:v>
                </c:pt>
                <c:pt idx="12">
                  <c:v>35.288699999999992</c:v>
                </c:pt>
                <c:pt idx="13">
                  <c:v>45.326374666666659</c:v>
                </c:pt>
                <c:pt idx="14">
                  <c:v>56.61875866666665</c:v>
                </c:pt>
                <c:pt idx="15">
                  <c:v>69.165851999999973</c:v>
                </c:pt>
                <c:pt idx="16">
                  <c:v>82.967654666666633</c:v>
                </c:pt>
                <c:pt idx="17">
                  <c:v>98.02416666666663</c:v>
                </c:pt>
                <c:pt idx="18">
                  <c:v>114.33538800000001</c:v>
                </c:pt>
                <c:pt idx="19">
                  <c:v>89.587814786666684</c:v>
                </c:pt>
                <c:pt idx="20">
                  <c:v>67.854680746666688</c:v>
                </c:pt>
                <c:pt idx="21">
                  <c:v>49.135985880000028</c:v>
                </c:pt>
                <c:pt idx="22">
                  <c:v>33.431730186666691</c:v>
                </c:pt>
                <c:pt idx="23">
                  <c:v>20.74191366666669</c:v>
                </c:pt>
                <c:pt idx="24">
                  <c:v>11.066536320000003</c:v>
                </c:pt>
                <c:pt idx="25">
                  <c:v>11.988363585306125</c:v>
                </c:pt>
                <c:pt idx="26">
                  <c:v>12.947063941224496</c:v>
                </c:pt>
                <c:pt idx="27">
                  <c:v>13.942637387755109</c:v>
                </c:pt>
                <c:pt idx="28">
                  <c:v>14.975083924897968</c:v>
                </c:pt>
                <c:pt idx="29">
                  <c:v>16.044403552653069</c:v>
                </c:pt>
                <c:pt idx="30">
                  <c:v>17.150596271020419</c:v>
                </c:pt>
                <c:pt idx="31">
                  <c:v>18.293662080000001</c:v>
                </c:pt>
                <c:pt idx="32">
                  <c:v>16.164279813888001</c:v>
                </c:pt>
                <c:pt idx="33">
                  <c:v>14.166611914751996</c:v>
                </c:pt>
                <c:pt idx="34">
                  <c:v>12.300658382591998</c:v>
                </c:pt>
                <c:pt idx="35">
                  <c:v>10.566419217407994</c:v>
                </c:pt>
                <c:pt idx="36">
                  <c:v>8.9638944192000007</c:v>
                </c:pt>
                <c:pt idx="37">
                  <c:v>12.641784851437238</c:v>
                </c:pt>
                <c:pt idx="38">
                  <c:v>16.950357516834657</c:v>
                </c:pt>
                <c:pt idx="39">
                  <c:v>21.889612415392257</c:v>
                </c:pt>
                <c:pt idx="40">
                  <c:v>27.459549547110043</c:v>
                </c:pt>
                <c:pt idx="41">
                  <c:v>33.660168911988016</c:v>
                </c:pt>
                <c:pt idx="42">
                  <c:v>40.491470510026154</c:v>
                </c:pt>
                <c:pt idx="43">
                  <c:v>47.953454341224486</c:v>
                </c:pt>
                <c:pt idx="44">
                  <c:v>40.007431345850335</c:v>
                </c:pt>
                <c:pt idx="45">
                  <c:v>32.780689680544207</c:v>
                </c:pt>
                <c:pt idx="46">
                  <c:v>26.273229345306113</c:v>
                </c:pt>
                <c:pt idx="47">
                  <c:v>20.485050340136048</c:v>
                </c:pt>
                <c:pt idx="48">
                  <c:v>15.41615266503401</c:v>
                </c:pt>
                <c:pt idx="49">
                  <c:v>11.066536320000003</c:v>
                </c:pt>
                <c:pt idx="50">
                  <c:v>9.719038722048003</c:v>
                </c:pt>
                <c:pt idx="51">
                  <c:v>8.4589893457920038</c:v>
                </c:pt>
                <c:pt idx="52">
                  <c:v>7.2863881912320041</c:v>
                </c:pt>
                <c:pt idx="53">
                  <c:v>6.201235258368003</c:v>
                </c:pt>
                <c:pt idx="54">
                  <c:v>5.2035305472000015</c:v>
                </c:pt>
                <c:pt idx="55">
                  <c:v>6.153987923712001</c:v>
                </c:pt>
                <c:pt idx="56">
                  <c:v>7.1841243617280002</c:v>
                </c:pt>
                <c:pt idx="57">
                  <c:v>8.2939398612480009</c:v>
                </c:pt>
                <c:pt idx="58">
                  <c:v>9.4834344222720013</c:v>
                </c:pt>
                <c:pt idx="59">
                  <c:v>10.752608044799999</c:v>
                </c:pt>
                <c:pt idx="60">
                  <c:v>14.000641016824323</c:v>
                </c:pt>
                <c:pt idx="61">
                  <c:v>17.676719776293215</c:v>
                </c:pt>
                <c:pt idx="62">
                  <c:v>21.780844323206669</c:v>
                </c:pt>
                <c:pt idx="63">
                  <c:v>26.31301465756469</c:v>
                </c:pt>
                <c:pt idx="64">
                  <c:v>31.273230779367271</c:v>
                </c:pt>
                <c:pt idx="65">
                  <c:v>36.661492688614423</c:v>
                </c:pt>
                <c:pt idx="66">
                  <c:v>42.477800385306125</c:v>
                </c:pt>
                <c:pt idx="67">
                  <c:v>29.744805220136055</c:v>
                </c:pt>
                <c:pt idx="68">
                  <c:v>19.274383865034011</c:v>
                </c:pt>
                <c:pt idx="69">
                  <c:v>11.066536320000003</c:v>
                </c:pt>
                <c:pt idx="70">
                  <c:v>14.238250798848004</c:v>
                </c:pt>
                <c:pt idx="71">
                  <c:v>17.809083297792007</c:v>
                </c:pt>
                <c:pt idx="72">
                  <c:v>21.779033816832008</c:v>
                </c:pt>
                <c:pt idx="73">
                  <c:v>26.148102355968014</c:v>
                </c:pt>
                <c:pt idx="74">
                  <c:v>30.916288915199999</c:v>
                </c:pt>
                <c:pt idx="75">
                  <c:v>24.281104631175001</c:v>
                </c:pt>
                <c:pt idx="76">
                  <c:v>18.446426862300001</c:v>
                </c:pt>
                <c:pt idx="77">
                  <c:v>13.412255608574998</c:v>
                </c:pt>
                <c:pt idx="78">
                  <c:v>9.1785908700000007</c:v>
                </c:pt>
                <c:pt idx="79">
                  <c:v>13.952779331328003</c:v>
                </c:pt>
                <c:pt idx="80">
                  <c:v>19.723057692912004</c:v>
                </c:pt>
                <c:pt idx="81">
                  <c:v>26.489425954752004</c:v>
                </c:pt>
                <c:pt idx="82">
                  <c:v>34.251884116848011</c:v>
                </c:pt>
                <c:pt idx="83">
                  <c:v>43.010432179199995</c:v>
                </c:pt>
                <c:pt idx="84">
                  <c:v>38.02159808279999</c:v>
                </c:pt>
                <c:pt idx="85">
                  <c:v>33.340199140799989</c:v>
                </c:pt>
                <c:pt idx="86">
                  <c:v>28.966235353199988</c:v>
                </c:pt>
                <c:pt idx="87">
                  <c:v>24.899706720000001</c:v>
                </c:pt>
                <c:pt idx="88">
                  <c:v>29.60391824126614</c:v>
                </c:pt>
                <c:pt idx="89">
                  <c:v>34.714909559350275</c:v>
                </c:pt>
                <c:pt idx="90">
                  <c:v>40.2326806742524</c:v>
                </c:pt>
                <c:pt idx="91">
                  <c:v>46.157231585972518</c:v>
                </c:pt>
                <c:pt idx="92">
                  <c:v>52.488562294510622</c:v>
                </c:pt>
                <c:pt idx="93">
                  <c:v>59.226672799866733</c:v>
                </c:pt>
                <c:pt idx="94">
                  <c:v>66.371563102040824</c:v>
                </c:pt>
                <c:pt idx="95">
                  <c:v>51.544259610612251</c:v>
                </c:pt>
                <c:pt idx="96">
                  <c:v>38.588841609795914</c:v>
                </c:pt>
                <c:pt idx="97">
                  <c:v>27.505309099591827</c:v>
                </c:pt>
                <c:pt idx="98">
                  <c:v>18.293662080000001</c:v>
                </c:pt>
                <c:pt idx="99">
                  <c:v>20.561941296666664</c:v>
                </c:pt>
                <c:pt idx="100">
                  <c:v>22.962749186666663</c:v>
                </c:pt>
                <c:pt idx="101">
                  <c:v>25.496085749999992</c:v>
                </c:pt>
                <c:pt idx="102">
                  <c:v>28.161950986666657</c:v>
                </c:pt>
                <c:pt idx="103">
                  <c:v>30.960344896666655</c:v>
                </c:pt>
                <c:pt idx="104">
                  <c:v>33.891267479999996</c:v>
                </c:pt>
                <c:pt idx="105">
                  <c:v>27.638992057500001</c:v>
                </c:pt>
                <c:pt idx="106">
                  <c:v>22.023677670000005</c:v>
                </c:pt>
                <c:pt idx="107">
                  <c:v>17.045324317500008</c:v>
                </c:pt>
                <c:pt idx="108">
                  <c:v>12.703932000000002</c:v>
                </c:pt>
                <c:pt idx="109">
                  <c:v>18.977478666666666</c:v>
                </c:pt>
                <c:pt idx="110">
                  <c:v>26.505734666666662</c:v>
                </c:pt>
                <c:pt idx="111">
                  <c:v>35.288699999999992</c:v>
                </c:pt>
                <c:pt idx="112">
                  <c:v>45.326374666666659</c:v>
                </c:pt>
                <c:pt idx="113">
                  <c:v>56.61875866666665</c:v>
                </c:pt>
                <c:pt idx="114">
                  <c:v>69.165851999999987</c:v>
                </c:pt>
                <c:pt idx="115">
                  <c:v>50.815728000000007</c:v>
                </c:pt>
                <c:pt idx="116">
                  <c:v>35.288700000000013</c:v>
                </c:pt>
                <c:pt idx="117">
                  <c:v>22.584768000000008</c:v>
                </c:pt>
                <c:pt idx="118">
                  <c:v>12.703932000000002</c:v>
                </c:pt>
                <c:pt idx="119">
                  <c:v>19.282332883967999</c:v>
                </c:pt>
                <c:pt idx="120">
                  <c:v>27.228286639872007</c:v>
                </c:pt>
                <c:pt idx="121">
                  <c:v>36.541793267712009</c:v>
                </c:pt>
                <c:pt idx="122">
                  <c:v>47.222852767488007</c:v>
                </c:pt>
                <c:pt idx="123">
                  <c:v>59.271465139200011</c:v>
                </c:pt>
                <c:pt idx="124">
                  <c:v>39.950196115200008</c:v>
                </c:pt>
                <c:pt idx="125">
                  <c:v>24.427685068800002</c:v>
                </c:pt>
                <c:pt idx="126">
                  <c:v>12.703932000000002</c:v>
                </c:pt>
                <c:pt idx="127">
                  <c:v>11.066536320000003</c:v>
                </c:pt>
                <c:pt idx="128">
                  <c:v>9.5420644800000023</c:v>
                </c:pt>
                <c:pt idx="129">
                  <c:v>8.1305164800000007</c:v>
                </c:pt>
                <c:pt idx="130">
                  <c:v>10.006331439375002</c:v>
                </c:pt>
                <c:pt idx="131">
                  <c:v>12.076675357500001</c:v>
                </c:pt>
                <c:pt idx="132">
                  <c:v>14.341548234375001</c:v>
                </c:pt>
                <c:pt idx="133">
                  <c:v>16.800950070000003</c:v>
                </c:pt>
                <c:pt idx="134">
                  <c:v>36.355300957500006</c:v>
                </c:pt>
                <c:pt idx="135">
                  <c:v>63.36438972000002</c:v>
                </c:pt>
                <c:pt idx="136">
                  <c:v>97.82821635750004</c:v>
                </c:pt>
                <c:pt idx="137">
                  <c:v>139.74678087000004</c:v>
                </c:pt>
                <c:pt idx="138">
                  <c:v>189.12008325750006</c:v>
                </c:pt>
                <c:pt idx="139">
                  <c:v>245.94812352000002</c:v>
                </c:pt>
                <c:pt idx="140">
                  <c:v>133.72692074666665</c:v>
                </c:pt>
                <c:pt idx="141">
                  <c:v>55.433058346666655</c:v>
                </c:pt>
                <c:pt idx="142">
                  <c:v>11.066536320000003</c:v>
                </c:pt>
                <c:pt idx="143">
                  <c:v>12.703932000000002</c:v>
                </c:pt>
                <c:pt idx="144">
                  <c:v>11.769002004375</c:v>
                </c:pt>
                <c:pt idx="145">
                  <c:v>10.869801817500001</c:v>
                </c:pt>
                <c:pt idx="146">
                  <c:v>10.006331439375002</c:v>
                </c:pt>
                <c:pt idx="147">
                  <c:v>9.1785908700000007</c:v>
                </c:pt>
                <c:pt idx="148">
                  <c:v>12.987809986666667</c:v>
                </c:pt>
                <c:pt idx="149">
                  <c:v>17.456535696666666</c:v>
                </c:pt>
                <c:pt idx="150">
                  <c:v>22.584768000000004</c:v>
                </c:pt>
                <c:pt idx="151">
                  <c:v>15.723100839375002</c:v>
                </c:pt>
                <c:pt idx="152">
                  <c:v>10.100508157499998</c:v>
                </c:pt>
                <c:pt idx="153">
                  <c:v>5.7169899543749985</c:v>
                </c:pt>
                <c:pt idx="154">
                  <c:v>2.5725462300000004</c:v>
                </c:pt>
                <c:pt idx="155">
                  <c:v>6.0045928593750002</c:v>
                </c:pt>
                <c:pt idx="156">
                  <c:v>10.869801817500001</c:v>
                </c:pt>
                <c:pt idx="157">
                  <c:v>17.168173104375001</c:v>
                </c:pt>
                <c:pt idx="158">
                  <c:v>24.899706720000001</c:v>
                </c:pt>
                <c:pt idx="159">
                  <c:v>19.282332883967999</c:v>
                </c:pt>
                <c:pt idx="160">
                  <c:v>14.382070601472002</c:v>
                </c:pt>
                <c:pt idx="161">
                  <c:v>10.198919872512002</c:v>
                </c:pt>
                <c:pt idx="162">
                  <c:v>6.7328806970880031</c:v>
                </c:pt>
                <c:pt idx="163">
                  <c:v>3.9839530751999996</c:v>
                </c:pt>
                <c:pt idx="164">
                  <c:v>36.045540669866675</c:v>
                </c:pt>
                <c:pt idx="165">
                  <c:v>100.23220415146668</c:v>
                </c:pt>
                <c:pt idx="166">
                  <c:v>196.54394352000006</c:v>
                </c:pt>
                <c:pt idx="167">
                  <c:v>119.14898723437501</c:v>
                </c:pt>
                <c:pt idx="168">
                  <c:v>61.022102257499988</c:v>
                </c:pt>
                <c:pt idx="169">
                  <c:v>22.163288589374993</c:v>
                </c:pt>
                <c:pt idx="170">
                  <c:v>2.5725462300000004</c:v>
                </c:pt>
                <c:pt idx="171">
                  <c:v>1.952137006848</c:v>
                </c:pt>
                <c:pt idx="172">
                  <c:v>1.4171998381920001</c:v>
                </c:pt>
                <c:pt idx="173">
                  <c:v>0.96773472403199989</c:v>
                </c:pt>
                <c:pt idx="174">
                  <c:v>0.60374166436799992</c:v>
                </c:pt>
                <c:pt idx="175">
                  <c:v>0.3252206592000001</c:v>
                </c:pt>
                <c:pt idx="176">
                  <c:v>0.59271465139200008</c:v>
                </c:pt>
                <c:pt idx="177">
                  <c:v>0.93988770508800024</c:v>
                </c:pt>
                <c:pt idx="178">
                  <c:v>1.3667398202880003</c:v>
                </c:pt>
                <c:pt idx="179">
                  <c:v>1.8732709969920005</c:v>
                </c:pt>
                <c:pt idx="180">
                  <c:v>2.4594812352000006</c:v>
                </c:pt>
                <c:pt idx="181">
                  <c:v>25.058051037866672</c:v>
                </c:pt>
                <c:pt idx="182">
                  <c:v>71.289823959466688</c:v>
                </c:pt>
                <c:pt idx="183">
                  <c:v>141.15480000000005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D6-4B66-95C8-09404493D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3740751"/>
        <c:axId val="1761687311"/>
      </c:barChart>
      <c:catAx>
        <c:axId val="19937407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1687311"/>
        <c:crosses val="autoZero"/>
        <c:auto val="1"/>
        <c:lblAlgn val="ctr"/>
        <c:lblOffset val="100"/>
        <c:noMultiLvlLbl val="0"/>
      </c:catAx>
      <c:valAx>
        <c:axId val="1761687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3740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Resistive Power per Second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'With Motor'!$AN$22:$AN$205</c:f>
              <c:numCache>
                <c:formatCode>0.00</c:formatCode>
                <c:ptCount val="184"/>
                <c:pt idx="0">
                  <c:v>0</c:v>
                </c:pt>
                <c:pt idx="1">
                  <c:v>778.54613495791637</c:v>
                </c:pt>
                <c:pt idx="2">
                  <c:v>779.58501983166491</c:v>
                </c:pt>
                <c:pt idx="3">
                  <c:v>781.31649462124597</c:v>
                </c:pt>
                <c:pt idx="4">
                  <c:v>783.7405593266584</c:v>
                </c:pt>
                <c:pt idx="5">
                  <c:v>786.8572139479038</c:v>
                </c:pt>
                <c:pt idx="6">
                  <c:v>-906.2961921674314</c:v>
                </c:pt>
                <c:pt idx="7">
                  <c:v>692.02920106552369</c:v>
                </c:pt>
                <c:pt idx="8">
                  <c:v>604.33555916455816</c:v>
                </c:pt>
                <c:pt idx="9">
                  <c:v>-936.37431767299893</c:v>
                </c:pt>
                <c:pt idx="10">
                  <c:v>-2384.085021486409</c:v>
                </c:pt>
                <c:pt idx="11">
                  <c:v>3834.4503966073489</c:v>
                </c:pt>
                <c:pt idx="12">
                  <c:v>8269.6244189769459</c:v>
                </c:pt>
                <c:pt idx="13">
                  <c:v>7934.1379138740413</c:v>
                </c:pt>
                <c:pt idx="14">
                  <c:v>3061.9837990905307</c:v>
                </c:pt>
                <c:pt idx="15">
                  <c:v>-3049.5057857394568</c:v>
                </c:pt>
                <c:pt idx="16">
                  <c:v>-6265.465884861509</c:v>
                </c:pt>
                <c:pt idx="17">
                  <c:v>-4404.667015057028</c:v>
                </c:pt>
                <c:pt idx="18">
                  <c:v>1288.0840113580309</c:v>
                </c:pt>
                <c:pt idx="19">
                  <c:v>-9937.2437279444421</c:v>
                </c:pt>
                <c:pt idx="20">
                  <c:v>-4170.9686838381313</c:v>
                </c:pt>
                <c:pt idx="21">
                  <c:v>10079.463758628392</c:v>
                </c:pt>
                <c:pt idx="22">
                  <c:v>11434.877996904428</c:v>
                </c:pt>
                <c:pt idx="23">
                  <c:v>-2102.1253425686746</c:v>
                </c:pt>
                <c:pt idx="24">
                  <c:v>-10143.781640566369</c:v>
                </c:pt>
                <c:pt idx="25">
                  <c:v>708.1839912168125</c:v>
                </c:pt>
                <c:pt idx="26">
                  <c:v>-681.31039693630055</c:v>
                </c:pt>
                <c:pt idx="27">
                  <c:v>-1196.2778904476793</c:v>
                </c:pt>
                <c:pt idx="28">
                  <c:v>-244.66628548563696</c:v>
                </c:pt>
                <c:pt idx="29">
                  <c:v>1080.0962423970691</c:v>
                </c:pt>
                <c:pt idx="30">
                  <c:v>1255.7401862456791</c:v>
                </c:pt>
                <c:pt idx="31">
                  <c:v>80.646212278275783</c:v>
                </c:pt>
                <c:pt idx="32">
                  <c:v>2439.0156306629419</c:v>
                </c:pt>
                <c:pt idx="33">
                  <c:v>-185.87587471549745</c:v>
                </c:pt>
                <c:pt idx="34">
                  <c:v>-2453.3212840479914</c:v>
                </c:pt>
                <c:pt idx="35">
                  <c:v>332.57283561148171</c:v>
                </c:pt>
                <c:pt idx="36">
                  <c:v>2405.2039445551559</c:v>
                </c:pt>
                <c:pt idx="37">
                  <c:v>-2375.0877385400299</c:v>
                </c:pt>
                <c:pt idx="38">
                  <c:v>3455.1746655715547</c:v>
                </c:pt>
                <c:pt idx="39">
                  <c:v>5993.1241309060479</c:v>
                </c:pt>
                <c:pt idx="40">
                  <c:v>2254.1144102759395</c:v>
                </c:pt>
                <c:pt idx="41">
                  <c:v>-3352.833545888026</c:v>
                </c:pt>
                <c:pt idx="42">
                  <c:v>-4218.0323094933328</c:v>
                </c:pt>
                <c:pt idx="43">
                  <c:v>683.89845428612637</c:v>
                </c:pt>
                <c:pt idx="44">
                  <c:v>-5202.1574200419518</c:v>
                </c:pt>
                <c:pt idx="45">
                  <c:v>-3258.7708006369739</c:v>
                </c:pt>
                <c:pt idx="46">
                  <c:v>3423.8885520273561</c:v>
                </c:pt>
                <c:pt idx="47">
                  <c:v>5786.7754518816919</c:v>
                </c:pt>
                <c:pt idx="48">
                  <c:v>630.72925513083283</c:v>
                </c:pt>
                <c:pt idx="49">
                  <c:v>-5043.1728921022459</c:v>
                </c:pt>
                <c:pt idx="50">
                  <c:v>596.91692196834731</c:v>
                </c:pt>
                <c:pt idx="51">
                  <c:v>1921.636174383249</c:v>
                </c:pt>
                <c:pt idx="52">
                  <c:v>-336.20535805618823</c:v>
                </c:pt>
                <c:pt idx="53">
                  <c:v>-2015.7419818275134</c:v>
                </c:pt>
                <c:pt idx="54">
                  <c:v>-21.722760071623043</c:v>
                </c:pt>
                <c:pt idx="55">
                  <c:v>-1492.1227216148616</c:v>
                </c:pt>
                <c:pt idx="56">
                  <c:v>-1573.2936232847239</c:v>
                </c:pt>
                <c:pt idx="57">
                  <c:v>-33.831564423418897</c:v>
                </c:pt>
                <c:pt idx="58">
                  <c:v>1664.2824804896056</c:v>
                </c:pt>
                <c:pt idx="59">
                  <c:v>1908.3912736409989</c:v>
                </c:pt>
                <c:pt idx="60">
                  <c:v>4635.9529027612025</c:v>
                </c:pt>
                <c:pt idx="61">
                  <c:v>2579.6331937344607</c:v>
                </c:pt>
                <c:pt idx="62">
                  <c:v>-537.90588993225504</c:v>
                </c:pt>
                <c:pt idx="63">
                  <c:v>-3138.3204837381418</c:v>
                </c:pt>
                <c:pt idx="64">
                  <c:v>-3904.7118674784433</c:v>
                </c:pt>
                <c:pt idx="65">
                  <c:v>-2447.7752052970181</c:v>
                </c:pt>
                <c:pt idx="66">
                  <c:v>497.27192676400648</c:v>
                </c:pt>
                <c:pt idx="67">
                  <c:v>3857.6243698726857</c:v>
                </c:pt>
                <c:pt idx="68">
                  <c:v>11188.42739027977</c:v>
                </c:pt>
                <c:pt idx="69">
                  <c:v>-8196.1643179825533</c:v>
                </c:pt>
                <c:pt idx="70">
                  <c:v>1708.8920370466321</c:v>
                </c:pt>
                <c:pt idx="71">
                  <c:v>-1820.3011993049734</c:v>
                </c:pt>
                <c:pt idx="72">
                  <c:v>-3767.6269174684644</c:v>
                </c:pt>
                <c:pt idx="73">
                  <c:v>-2777.7208466949342</c:v>
                </c:pt>
                <c:pt idx="74">
                  <c:v>463.21170994241248</c:v>
                </c:pt>
                <c:pt idx="75">
                  <c:v>6282.3615374437732</c:v>
                </c:pt>
                <c:pt idx="76">
                  <c:v>-1286.4795091453793</c:v>
                </c:pt>
                <c:pt idx="77">
                  <c:v>-5291.2491483963695</c:v>
                </c:pt>
                <c:pt idx="78">
                  <c:v>3339.5397491678136</c:v>
                </c:pt>
                <c:pt idx="79">
                  <c:v>5969.3943084849907</c:v>
                </c:pt>
                <c:pt idx="80">
                  <c:v>6439.0103475051301</c:v>
                </c:pt>
                <c:pt idx="81">
                  <c:v>-1760.0598497087017</c:v>
                </c:pt>
                <c:pt idx="82">
                  <c:v>-5618.1033845834581</c:v>
                </c:pt>
                <c:pt idx="83">
                  <c:v>993.74064785740541</c:v>
                </c:pt>
                <c:pt idx="84">
                  <c:v>-3342.5892758053096</c:v>
                </c:pt>
                <c:pt idx="85">
                  <c:v>2963.8506057810732</c:v>
                </c:pt>
                <c:pt idx="86">
                  <c:v>901.69975780118136</c:v>
                </c:pt>
                <c:pt idx="87">
                  <c:v>-3616.1725340055877</c:v>
                </c:pt>
                <c:pt idx="88">
                  <c:v>3024.4272441650305</c:v>
                </c:pt>
                <c:pt idx="89">
                  <c:v>-1666.4488223840665</c:v>
                </c:pt>
                <c:pt idx="90">
                  <c:v>-3815.2694850860689</c:v>
                </c:pt>
                <c:pt idx="91">
                  <c:v>-864.56300507675849</c:v>
                </c:pt>
                <c:pt idx="92">
                  <c:v>3683.9643993764907</c:v>
                </c:pt>
                <c:pt idx="93">
                  <c:v>4430.3107957433522</c:v>
                </c:pt>
                <c:pt idx="94">
                  <c:v>492.69972776010002</c:v>
                </c:pt>
                <c:pt idx="95">
                  <c:v>9972.2286403606868</c:v>
                </c:pt>
                <c:pt idx="96">
                  <c:v>-2082.9848535130332</c:v>
                </c:pt>
                <c:pt idx="97">
                  <c:v>-7312.727695235867</c:v>
                </c:pt>
                <c:pt idx="98">
                  <c:v>6461.389188741462</c:v>
                </c:pt>
                <c:pt idx="99">
                  <c:v>1394.5449307239835</c:v>
                </c:pt>
                <c:pt idx="100">
                  <c:v>2648.9397980458893</c:v>
                </c:pt>
                <c:pt idx="101">
                  <c:v>980.750584944911</c:v>
                </c:pt>
                <c:pt idx="102">
                  <c:v>-1620.1787558437998</c:v>
                </c:pt>
                <c:pt idx="103">
                  <c:v>-2051.9690123552382</c:v>
                </c:pt>
                <c:pt idx="104">
                  <c:v>201.34887128135918</c:v>
                </c:pt>
                <c:pt idx="105">
                  <c:v>5543.8085725811798</c:v>
                </c:pt>
                <c:pt idx="106">
                  <c:v>1676.202454488631</c:v>
                </c:pt>
                <c:pt idx="107">
                  <c:v>-4733.4363184355434</c:v>
                </c:pt>
                <c:pt idx="108">
                  <c:v>-2626.2475942024516</c:v>
                </c:pt>
                <c:pt idx="109">
                  <c:v>8742.7871193763185</c:v>
                </c:pt>
                <c:pt idx="110">
                  <c:v>5944.5294943915087</c:v>
                </c:pt>
                <c:pt idx="111">
                  <c:v>-868.45865075448114</c:v>
                </c:pt>
                <c:pt idx="112">
                  <c:v>-5932.4401596109301</c:v>
                </c:pt>
                <c:pt idx="113">
                  <c:v>-4960.0303175363988</c:v>
                </c:pt>
                <c:pt idx="114">
                  <c:v>1237.8956380246941</c:v>
                </c:pt>
                <c:pt idx="115">
                  <c:v>-9859.4729696958784</c:v>
                </c:pt>
                <c:pt idx="116">
                  <c:v>-1740.4761909797746</c:v>
                </c:pt>
                <c:pt idx="117">
                  <c:v>11802.943276670861</c:v>
                </c:pt>
                <c:pt idx="118">
                  <c:v>7521.4899991304137</c:v>
                </c:pt>
                <c:pt idx="119">
                  <c:v>-6561.4638013938138</c:v>
                </c:pt>
                <c:pt idx="120">
                  <c:v>-981.50247609697067</c:v>
                </c:pt>
                <c:pt idx="121">
                  <c:v>7254.3905059482358</c:v>
                </c:pt>
                <c:pt idx="122">
                  <c:v>8505.6971707118537</c:v>
                </c:pt>
                <c:pt idx="123">
                  <c:v>1320.2997795614724</c:v>
                </c:pt>
                <c:pt idx="124">
                  <c:v>-10931.958640775149</c:v>
                </c:pt>
                <c:pt idx="125">
                  <c:v>-3048.124734382935</c:v>
                </c:pt>
                <c:pt idx="126">
                  <c:v>12981.325293121274</c:v>
                </c:pt>
                <c:pt idx="127">
                  <c:v>-891.75169772446839</c:v>
                </c:pt>
                <c:pt idx="128">
                  <c:v>-2245.3510780943252</c:v>
                </c:pt>
                <c:pt idx="129">
                  <c:v>-16.39394993777767</c:v>
                </c:pt>
                <c:pt idx="130">
                  <c:v>3151.7248144512555</c:v>
                </c:pt>
                <c:pt idx="131">
                  <c:v>1652.4570932096462</c:v>
                </c:pt>
                <c:pt idx="132">
                  <c:v>-1964.3507222550102</c:v>
                </c:pt>
                <c:pt idx="133">
                  <c:v>-2206.1796343156116</c:v>
                </c:pt>
                <c:pt idx="134">
                  <c:v>-11773.022225034569</c:v>
                </c:pt>
                <c:pt idx="135">
                  <c:v>-1155.5264082758265</c:v>
                </c:pt>
                <c:pt idx="136">
                  <c:v>14736.110707895035</c:v>
                </c:pt>
                <c:pt idx="137">
                  <c:v>24315.085956909377</c:v>
                </c:pt>
                <c:pt idx="138">
                  <c:v>20639.242640325032</c:v>
                </c:pt>
                <c:pt idx="139">
                  <c:v>6502.5940150888846</c:v>
                </c:pt>
                <c:pt idx="140">
                  <c:v>-3141.4149349243658</c:v>
                </c:pt>
                <c:pt idx="141">
                  <c:v>43169.351026121403</c:v>
                </c:pt>
                <c:pt idx="142">
                  <c:v>43425.690931164325</c:v>
                </c:pt>
                <c:pt idx="143">
                  <c:v>172.36286622222201</c:v>
                </c:pt>
                <c:pt idx="144">
                  <c:v>959.70362449075776</c:v>
                </c:pt>
                <c:pt idx="145">
                  <c:v>-1282.2813969315803</c:v>
                </c:pt>
                <c:pt idx="146">
                  <c:v>572.28160994292398</c:v>
                </c:pt>
                <c:pt idx="147">
                  <c:v>463.24154152768097</c:v>
                </c:pt>
                <c:pt idx="148">
                  <c:v>2109.9978612246705</c:v>
                </c:pt>
                <c:pt idx="149">
                  <c:v>-35.903076715682246</c:v>
                </c:pt>
                <c:pt idx="150">
                  <c:v>688.88201372839603</c:v>
                </c:pt>
                <c:pt idx="151">
                  <c:v>8034.8640617707479</c:v>
                </c:pt>
                <c:pt idx="152">
                  <c:v>-615.29542659144306</c:v>
                </c:pt>
                <c:pt idx="153">
                  <c:v>-6789.824867149292</c:v>
                </c:pt>
                <c:pt idx="154">
                  <c:v>2817.0463059098333</c:v>
                </c:pt>
                <c:pt idx="155">
                  <c:v>9193.9471540473533</c:v>
                </c:pt>
                <c:pt idx="156">
                  <c:v>2553.9874993321728</c:v>
                </c:pt>
                <c:pt idx="157">
                  <c:v>-6748.2117274733473</c:v>
                </c:pt>
                <c:pt idx="158">
                  <c:v>1333.4796204800002</c:v>
                </c:pt>
                <c:pt idx="159">
                  <c:v>4123.6973142078587</c:v>
                </c:pt>
                <c:pt idx="160">
                  <c:v>5956.6869288617854</c:v>
                </c:pt>
                <c:pt idx="161">
                  <c:v>4772.8591003882357</c:v>
                </c:pt>
                <c:pt idx="162">
                  <c:v>1199.687080959895</c:v>
                </c:pt>
                <c:pt idx="163">
                  <c:v>-2872.9799090506494</c:v>
                </c:pt>
                <c:pt idx="164">
                  <c:v>154.24574598418212</c:v>
                </c:pt>
                <c:pt idx="165">
                  <c:v>-12188.490727202699</c:v>
                </c:pt>
                <c:pt idx="166">
                  <c:v>24606.815914555667</c:v>
                </c:pt>
                <c:pt idx="167">
                  <c:v>13943.290631853555</c:v>
                </c:pt>
                <c:pt idx="168">
                  <c:v>6793.9758682773854</c:v>
                </c:pt>
                <c:pt idx="169">
                  <c:v>19243.322824197447</c:v>
                </c:pt>
                <c:pt idx="170">
                  <c:v>2256.1155285408327</c:v>
                </c:pt>
                <c:pt idx="171">
                  <c:v>1521.7034221905183</c:v>
                </c:pt>
                <c:pt idx="172">
                  <c:v>-1985.4253652795403</c:v>
                </c:pt>
                <c:pt idx="173">
                  <c:v>1761.4990796668158</c:v>
                </c:pt>
                <c:pt idx="174">
                  <c:v>-1073.7447532436327</c:v>
                </c:pt>
                <c:pt idx="175">
                  <c:v>-20.733033991168028</c:v>
                </c:pt>
                <c:pt idx="176">
                  <c:v>2024.6170549658514</c:v>
                </c:pt>
                <c:pt idx="177">
                  <c:v>-349.33594475008266</c:v>
                </c:pt>
                <c:pt idx="178">
                  <c:v>-1640.4701494668586</c:v>
                </c:pt>
                <c:pt idx="179">
                  <c:v>1061.3411278235646</c:v>
                </c:pt>
                <c:pt idx="180">
                  <c:v>1667.2865096148073</c:v>
                </c:pt>
                <c:pt idx="181">
                  <c:v>-1590.8668543662218</c:v>
                </c:pt>
                <c:pt idx="182">
                  <c:v>27899.763282430824</c:v>
                </c:pt>
                <c:pt idx="183">
                  <c:v>18157.196489876547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B2-403F-B8E5-DC05061DC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7085823"/>
        <c:axId val="1622923279"/>
      </c:barChart>
      <c:catAx>
        <c:axId val="19970858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2923279"/>
        <c:crosses val="autoZero"/>
        <c:auto val="1"/>
        <c:lblAlgn val="ctr"/>
        <c:lblOffset val="100"/>
        <c:noMultiLvlLbl val="0"/>
      </c:catAx>
      <c:valAx>
        <c:axId val="162292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70858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.xml"/><Relationship Id="rId3" Type="http://schemas.openxmlformats.org/officeDocument/2006/relationships/chart" Target="../charts/chart7.xml"/><Relationship Id="rId7" Type="http://schemas.openxmlformats.org/officeDocument/2006/relationships/chart" Target="../charts/chart11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606238</xdr:colOff>
      <xdr:row>1</xdr:row>
      <xdr:rowOff>5043</xdr:rowOff>
    </xdr:from>
    <xdr:to>
      <xdr:col>10</xdr:col>
      <xdr:colOff>482972</xdr:colOff>
      <xdr:row>22</xdr:row>
      <xdr:rowOff>31937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606238</xdr:colOff>
      <xdr:row>23</xdr:row>
      <xdr:rowOff>2242</xdr:rowOff>
    </xdr:from>
    <xdr:to>
      <xdr:col>10</xdr:col>
      <xdr:colOff>494178</xdr:colOff>
      <xdr:row>38</xdr:row>
      <xdr:rowOff>70757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23532</xdr:colOff>
      <xdr:row>39</xdr:row>
      <xdr:rowOff>17689</xdr:rowOff>
    </xdr:from>
    <xdr:to>
      <xdr:col>10</xdr:col>
      <xdr:colOff>554690</xdr:colOff>
      <xdr:row>58</xdr:row>
      <xdr:rowOff>169768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60</xdr:row>
      <xdr:rowOff>9524</xdr:rowOff>
    </xdr:from>
    <xdr:to>
      <xdr:col>11</xdr:col>
      <xdr:colOff>9525</xdr:colOff>
      <xdr:row>77</xdr:row>
      <xdr:rowOff>19049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0</xdr:row>
      <xdr:rowOff>190499</xdr:rowOff>
    </xdr:from>
    <xdr:to>
      <xdr:col>10</xdr:col>
      <xdr:colOff>19049</xdr:colOff>
      <xdr:row>21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152399</xdr:colOff>
      <xdr:row>22</xdr:row>
      <xdr:rowOff>9526</xdr:rowOff>
    </xdr:from>
    <xdr:to>
      <xdr:col>10</xdr:col>
      <xdr:colOff>35299</xdr:colOff>
      <xdr:row>37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205068</xdr:colOff>
      <xdr:row>37</xdr:row>
      <xdr:rowOff>181536</xdr:rowOff>
    </xdr:from>
    <xdr:to>
      <xdr:col>10</xdr:col>
      <xdr:colOff>36980</xdr:colOff>
      <xdr:row>57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276225</xdr:colOff>
      <xdr:row>58</xdr:row>
      <xdr:rowOff>0</xdr:rowOff>
    </xdr:from>
    <xdr:to>
      <xdr:col>9</xdr:col>
      <xdr:colOff>600075</xdr:colOff>
      <xdr:row>74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19050</xdr:colOff>
      <xdr:row>1</xdr:row>
      <xdr:rowOff>4761</xdr:rowOff>
    </xdr:from>
    <xdr:to>
      <xdr:col>28</xdr:col>
      <xdr:colOff>0</xdr:colOff>
      <xdr:row>20</xdr:row>
      <xdr:rowOff>180974</xdr:rowOff>
    </xdr:to>
    <xdr:graphicFrame macro="">
      <xdr:nvGraphicFramePr>
        <xdr:cNvPr id="4" name="Chart 2">
          <a:extLst>
            <a:ext uri="{FF2B5EF4-FFF2-40B4-BE49-F238E27FC236}">
              <a16:creationId xmlns:a16="http://schemas.microsoft.com/office/drawing/2014/main" id="{A2CFB3E6-9938-4A6C-BBB6-3B3AC2042C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0</xdr:colOff>
      <xdr:row>21</xdr:row>
      <xdr:rowOff>185736</xdr:rowOff>
    </xdr:from>
    <xdr:to>
      <xdr:col>28</xdr:col>
      <xdr:colOff>19050</xdr:colOff>
      <xdr:row>42</xdr:row>
      <xdr:rowOff>190499</xdr:rowOff>
    </xdr:to>
    <xdr:graphicFrame macro="">
      <xdr:nvGraphicFramePr>
        <xdr:cNvPr id="5" name="Chart 3">
          <a:extLst>
            <a:ext uri="{FF2B5EF4-FFF2-40B4-BE49-F238E27FC236}">
              <a16:creationId xmlns:a16="http://schemas.microsoft.com/office/drawing/2014/main" id="{836E63DA-967E-47DE-A24B-809055096C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9525</xdr:colOff>
      <xdr:row>44</xdr:row>
      <xdr:rowOff>14286</xdr:rowOff>
    </xdr:from>
    <xdr:to>
      <xdr:col>27</xdr:col>
      <xdr:colOff>600075</xdr:colOff>
      <xdr:row>65</xdr:row>
      <xdr:rowOff>190499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E34AE74-2C35-4ABE-AD88-1E55ACAEAF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609599</xdr:colOff>
      <xdr:row>67</xdr:row>
      <xdr:rowOff>4761</xdr:rowOff>
    </xdr:from>
    <xdr:to>
      <xdr:col>27</xdr:col>
      <xdr:colOff>600074</xdr:colOff>
      <xdr:row>91</xdr:row>
      <xdr:rowOff>9525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DABE33DA-C716-40C6-B81D-A8D531BAE2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N63"/>
  <sheetViews>
    <sheetView topLeftCell="T16" zoomScale="70" zoomScaleNormal="70" workbookViewId="0">
      <selection activeCell="J33" sqref="J33"/>
    </sheetView>
  </sheetViews>
  <sheetFormatPr defaultRowHeight="15" x14ac:dyDescent="0.25"/>
  <cols>
    <col min="2" max="2" width="27" customWidth="1"/>
    <col min="3" max="3" width="12.28515625" bestFit="1" customWidth="1"/>
    <col min="4" max="4" width="9.7109375" customWidth="1"/>
    <col min="5" max="5" width="21.7109375" bestFit="1" customWidth="1"/>
    <col min="6" max="6" width="19.85546875" customWidth="1"/>
    <col min="7" max="7" width="9.42578125" bestFit="1" customWidth="1"/>
    <col min="8" max="8" width="8.140625" bestFit="1" customWidth="1"/>
    <col min="14" max="14" width="10.42578125" bestFit="1" customWidth="1"/>
    <col min="21" max="21" width="11.85546875" bestFit="1" customWidth="1"/>
    <col min="22" max="22" width="16" bestFit="1" customWidth="1"/>
    <col min="23" max="23" width="22" bestFit="1" customWidth="1"/>
    <col min="24" max="24" width="26.140625" bestFit="1" customWidth="1"/>
    <col min="25" max="25" width="12.140625" bestFit="1" customWidth="1"/>
    <col min="26" max="26" width="9.42578125" bestFit="1" customWidth="1"/>
    <col min="27" max="27" width="17" bestFit="1" customWidth="1"/>
    <col min="28" max="28" width="29.42578125" bestFit="1" customWidth="1"/>
    <col min="29" max="29" width="9" bestFit="1" customWidth="1"/>
    <col min="30" max="30" width="16.7109375" customWidth="1"/>
    <col min="31" max="31" width="9.28515625" bestFit="1" customWidth="1"/>
    <col min="32" max="32" width="19.42578125" bestFit="1" customWidth="1"/>
    <col min="33" max="33" width="19.140625" bestFit="1" customWidth="1"/>
    <col min="34" max="34" width="15.7109375" bestFit="1" customWidth="1"/>
    <col min="35" max="35" width="20.7109375" bestFit="1" customWidth="1"/>
    <col min="36" max="36" width="16" bestFit="1" customWidth="1"/>
    <col min="37" max="37" width="22.42578125" bestFit="1" customWidth="1"/>
    <col min="38" max="38" width="14.7109375" bestFit="1" customWidth="1"/>
    <col min="39" max="40" width="38.5703125" bestFit="1" customWidth="1"/>
  </cols>
  <sheetData>
    <row r="1" spans="2:21" x14ac:dyDescent="0.25">
      <c r="B1" s="15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5"/>
    </row>
    <row r="2" spans="2:21" x14ac:dyDescent="0.25">
      <c r="B2" s="15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5"/>
      <c r="Q2" s="15"/>
      <c r="R2" s="15"/>
      <c r="S2" s="15"/>
      <c r="T2" s="15"/>
      <c r="U2" s="15"/>
    </row>
    <row r="3" spans="2:21" x14ac:dyDescent="0.25">
      <c r="B3" s="15"/>
      <c r="C3" s="17"/>
      <c r="D3" s="36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2:21" x14ac:dyDescent="0.25">
      <c r="B4" s="9" t="s">
        <v>1</v>
      </c>
      <c r="C4" s="13">
        <v>963</v>
      </c>
      <c r="D4" s="15"/>
      <c r="E4" s="270" t="s">
        <v>9</v>
      </c>
      <c r="F4" s="271"/>
      <c r="G4" s="271"/>
      <c r="H4" s="272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2:21" x14ac:dyDescent="0.25">
      <c r="B5" s="9" t="s">
        <v>2</v>
      </c>
      <c r="C5" s="13">
        <v>80</v>
      </c>
      <c r="D5" s="17"/>
      <c r="E5" s="5" t="s">
        <v>4</v>
      </c>
      <c r="F5" s="6" t="s">
        <v>14</v>
      </c>
      <c r="G5" s="7" t="s">
        <v>5</v>
      </c>
      <c r="H5" s="8">
        <v>80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2:21" x14ac:dyDescent="0.25">
      <c r="B6" s="9" t="s">
        <v>3</v>
      </c>
      <c r="C6" s="3">
        <v>82</v>
      </c>
      <c r="D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2:21" x14ac:dyDescent="0.25">
      <c r="B7" s="9" t="s">
        <v>8</v>
      </c>
      <c r="C7" s="4">
        <v>695</v>
      </c>
      <c r="D7" s="17"/>
      <c r="E7" s="14" t="s">
        <v>18</v>
      </c>
      <c r="F7" s="13">
        <v>60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2:21" x14ac:dyDescent="0.25">
      <c r="B8" s="9" t="s">
        <v>6</v>
      </c>
      <c r="C8" s="4" t="s">
        <v>7</v>
      </c>
      <c r="D8" s="15"/>
      <c r="I8" s="15"/>
      <c r="J8" s="15"/>
      <c r="K8" s="15"/>
      <c r="L8" s="15"/>
      <c r="M8" s="15"/>
      <c r="N8" s="15"/>
      <c r="O8" s="17"/>
      <c r="P8" s="17"/>
      <c r="Q8" s="17"/>
      <c r="R8" s="17"/>
      <c r="S8" s="17"/>
      <c r="T8" s="17"/>
      <c r="U8" s="17"/>
    </row>
    <row r="9" spans="2:21" x14ac:dyDescent="0.25">
      <c r="B9" s="9" t="s">
        <v>78</v>
      </c>
      <c r="C9" s="13">
        <v>1.845</v>
      </c>
      <c r="D9" s="17"/>
      <c r="E9" s="7" t="s">
        <v>22</v>
      </c>
      <c r="F9" s="13">
        <v>7.3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0" spans="2:21" x14ac:dyDescent="0.25">
      <c r="B10" s="9" t="s">
        <v>79</v>
      </c>
      <c r="C10" s="13">
        <v>1.51</v>
      </c>
      <c r="D10" s="17"/>
      <c r="E10" s="17"/>
      <c r="F10" s="17"/>
      <c r="G10" s="17"/>
      <c r="H10" s="17"/>
      <c r="I10" s="17"/>
      <c r="J10" s="17"/>
      <c r="K10" s="17"/>
      <c r="L10" s="17"/>
      <c r="M10" s="15"/>
      <c r="N10" s="17"/>
      <c r="O10" s="15"/>
      <c r="P10" s="15"/>
      <c r="Q10" s="15"/>
      <c r="R10" s="15"/>
      <c r="S10" s="15"/>
      <c r="T10" s="15"/>
      <c r="U10" s="15"/>
    </row>
    <row r="11" spans="2:21" x14ac:dyDescent="0.25">
      <c r="B11" s="9" t="s">
        <v>80</v>
      </c>
      <c r="C11" s="13">
        <v>3.14</v>
      </c>
    </row>
    <row r="12" spans="2:21" x14ac:dyDescent="0.25">
      <c r="B12" s="9" t="s">
        <v>11</v>
      </c>
      <c r="C12" s="13" t="s">
        <v>10</v>
      </c>
      <c r="D12" s="17"/>
      <c r="E12" s="9" t="s">
        <v>19</v>
      </c>
      <c r="F12" s="4">
        <v>4</v>
      </c>
      <c r="G12" s="4">
        <v>3</v>
      </c>
      <c r="H12" s="4">
        <v>2</v>
      </c>
      <c r="I12" s="4">
        <v>1</v>
      </c>
      <c r="J12" s="4">
        <v>2</v>
      </c>
      <c r="K12" s="4">
        <v>3</v>
      </c>
      <c r="L12" s="4">
        <v>2</v>
      </c>
      <c r="M12" s="4">
        <v>3</v>
      </c>
      <c r="N12" s="4">
        <v>1</v>
      </c>
      <c r="O12" s="4">
        <v>1</v>
      </c>
    </row>
    <row r="13" spans="2:21" x14ac:dyDescent="0.25">
      <c r="B13" s="9" t="s">
        <v>12</v>
      </c>
      <c r="C13" s="13" t="s">
        <v>13</v>
      </c>
      <c r="E13" s="10" t="s">
        <v>0</v>
      </c>
      <c r="F13" s="11">
        <f>SUM(F12:O12)</f>
        <v>22</v>
      </c>
      <c r="G13" s="1"/>
      <c r="H13" s="1"/>
      <c r="I13" s="1"/>
      <c r="J13" s="1"/>
      <c r="K13" s="1"/>
      <c r="L13" s="1"/>
      <c r="M13" s="1"/>
      <c r="N13" s="1"/>
      <c r="O13" s="1"/>
    </row>
    <row r="14" spans="2:21" x14ac:dyDescent="0.25">
      <c r="B14" s="9" t="s">
        <v>15</v>
      </c>
      <c r="C14" s="4">
        <v>300</v>
      </c>
    </row>
    <row r="15" spans="2:21" x14ac:dyDescent="0.25">
      <c r="E15" s="9" t="s">
        <v>20</v>
      </c>
      <c r="F15" s="13">
        <v>4</v>
      </c>
      <c r="G15" s="13">
        <v>4</v>
      </c>
      <c r="H15" s="13">
        <v>4</v>
      </c>
      <c r="I15" s="13">
        <v>2</v>
      </c>
      <c r="J15" s="13">
        <v>1</v>
      </c>
      <c r="K15" s="13">
        <v>2</v>
      </c>
      <c r="L15" s="13">
        <v>1</v>
      </c>
      <c r="M15" s="13">
        <v>2</v>
      </c>
      <c r="N15" s="13">
        <v>2</v>
      </c>
      <c r="O15" s="1"/>
    </row>
    <row r="16" spans="2:21" x14ac:dyDescent="0.25">
      <c r="E16" s="9" t="s">
        <v>21</v>
      </c>
      <c r="F16" s="12">
        <f>SUM(F15:N15)</f>
        <v>22</v>
      </c>
    </row>
    <row r="18" spans="2:40" x14ac:dyDescent="0.25">
      <c r="B18" s="9" t="s">
        <v>17</v>
      </c>
      <c r="C18" s="7" t="s">
        <v>16</v>
      </c>
      <c r="D18" s="2">
        <v>0.04</v>
      </c>
    </row>
    <row r="20" spans="2:40" x14ac:dyDescent="0.25">
      <c r="B20" s="9" t="s">
        <v>81</v>
      </c>
      <c r="C20" s="16">
        <f>(C9*C10)*0.8</f>
        <v>2.2287600000000003</v>
      </c>
    </row>
    <row r="22" spans="2:40" x14ac:dyDescent="0.25">
      <c r="B22" s="9" t="s">
        <v>82</v>
      </c>
      <c r="C22" s="13">
        <v>0.38</v>
      </c>
      <c r="U22" s="270" t="s">
        <v>23</v>
      </c>
      <c r="V22" s="271"/>
      <c r="W22" s="271"/>
      <c r="X22" s="271"/>
      <c r="Y22" s="271"/>
      <c r="Z22" s="271"/>
      <c r="AA22" s="271"/>
      <c r="AB22" s="271"/>
      <c r="AC22" s="271"/>
      <c r="AD22" s="271"/>
      <c r="AE22" s="271"/>
      <c r="AF22" s="271"/>
      <c r="AG22" s="271"/>
      <c r="AH22" s="271"/>
      <c r="AI22" s="271"/>
      <c r="AJ22" s="271"/>
      <c r="AK22" s="271"/>
      <c r="AL22" s="271"/>
      <c r="AM22" s="271"/>
      <c r="AN22" s="29"/>
    </row>
    <row r="23" spans="2:40" x14ac:dyDescent="0.25">
      <c r="R23" s="18"/>
      <c r="S23" s="18"/>
      <c r="U23" s="12" t="s">
        <v>24</v>
      </c>
      <c r="V23" s="24" t="s">
        <v>25</v>
      </c>
      <c r="W23" s="24" t="s">
        <v>26</v>
      </c>
      <c r="X23" s="25" t="s">
        <v>86</v>
      </c>
      <c r="Y23" s="26" t="s">
        <v>27</v>
      </c>
      <c r="Z23" s="6" t="s">
        <v>29</v>
      </c>
      <c r="AA23" s="6" t="s">
        <v>46</v>
      </c>
      <c r="AB23" s="6" t="s">
        <v>76</v>
      </c>
      <c r="AC23" s="30" t="s">
        <v>28</v>
      </c>
      <c r="AD23" s="30" t="s">
        <v>30</v>
      </c>
      <c r="AE23" s="30" t="s">
        <v>45</v>
      </c>
      <c r="AF23" s="20" t="s">
        <v>88</v>
      </c>
      <c r="AG23" s="20" t="s">
        <v>77</v>
      </c>
      <c r="AH23" s="20" t="s">
        <v>31</v>
      </c>
      <c r="AI23" s="20" t="s">
        <v>84</v>
      </c>
      <c r="AJ23" s="20" t="s">
        <v>33</v>
      </c>
      <c r="AK23" s="33" t="s">
        <v>85</v>
      </c>
      <c r="AL23" s="33" t="s">
        <v>32</v>
      </c>
      <c r="AM23" s="33" t="s">
        <v>87</v>
      </c>
    </row>
    <row r="24" spans="2:40" x14ac:dyDescent="0.25">
      <c r="B24" s="9" t="s">
        <v>83</v>
      </c>
      <c r="C24" s="13">
        <v>1.2</v>
      </c>
      <c r="R24" s="18"/>
      <c r="S24" s="18"/>
      <c r="U24" s="12" t="s">
        <v>34</v>
      </c>
      <c r="V24" s="24">
        <v>0</v>
      </c>
      <c r="W24" s="24">
        <v>0</v>
      </c>
      <c r="X24" s="27">
        <f>0</f>
        <v>0</v>
      </c>
      <c r="Y24" s="28">
        <v>0</v>
      </c>
      <c r="Z24" s="6">
        <v>0</v>
      </c>
      <c r="AA24" s="6">
        <v>0</v>
      </c>
      <c r="AB24" s="6">
        <v>0</v>
      </c>
      <c r="AC24" s="31">
        <v>0</v>
      </c>
      <c r="AD24" s="31">
        <v>0</v>
      </c>
      <c r="AE24" s="32">
        <f t="shared" ref="AE24:AE63" si="0">(9.81/100)*AD24</f>
        <v>0</v>
      </c>
      <c r="AF24" s="20">
        <v>0.04</v>
      </c>
      <c r="AG24" s="21">
        <f t="shared" ref="AG24:AG63" si="1">$C$7*9.81*AF24</f>
        <v>272.71800000000002</v>
      </c>
      <c r="AH24" s="20">
        <v>0</v>
      </c>
      <c r="AI24" s="20">
        <v>0</v>
      </c>
      <c r="AJ24" s="21">
        <f t="shared" ref="AJ24:AJ63" si="2">AG24+AH24+AI24</f>
        <v>272.71800000000002</v>
      </c>
      <c r="AK24" s="34">
        <f t="shared" ref="AK24:AK63" si="3">AJ24*AC24</f>
        <v>0</v>
      </c>
      <c r="AL24" s="34">
        <f>59656-AK24</f>
        <v>59656</v>
      </c>
      <c r="AM24" s="35">
        <v>0</v>
      </c>
    </row>
    <row r="25" spans="2:40" x14ac:dyDescent="0.25">
      <c r="R25" s="18"/>
      <c r="S25" s="19"/>
      <c r="U25" s="22" t="s">
        <v>75</v>
      </c>
      <c r="V25" s="24">
        <v>22</v>
      </c>
      <c r="W25" s="24">
        <f>W24+V25</f>
        <v>22</v>
      </c>
      <c r="X25" s="27">
        <f>X24+Y25</f>
        <v>5</v>
      </c>
      <c r="Y25" s="28">
        <v>5</v>
      </c>
      <c r="Z25" s="6">
        <v>0</v>
      </c>
      <c r="AA25" s="6">
        <v>0</v>
      </c>
      <c r="AB25" s="6">
        <f>AB24+AA25</f>
        <v>0</v>
      </c>
      <c r="AC25" s="31">
        <f t="shared" ref="AC25:AC63" si="4">V25/Y25</f>
        <v>4.4000000000000004</v>
      </c>
      <c r="AD25" s="31">
        <f t="shared" ref="AD25:AD63" si="5">(AC25-AC24)/Y25</f>
        <v>0.88000000000000012</v>
      </c>
      <c r="AE25" s="32">
        <f t="shared" si="0"/>
        <v>8.6328000000000016E-2</v>
      </c>
      <c r="AF25" s="20">
        <v>0.04</v>
      </c>
      <c r="AG25" s="21">
        <f t="shared" si="1"/>
        <v>272.71800000000002</v>
      </c>
      <c r="AH25" s="21">
        <f>0.5*$C$20*$C$22*$C$24*(AC25*AC25)</f>
        <v>9.8379249408000025</v>
      </c>
      <c r="AI25" s="20">
        <f t="shared" ref="AI25:AI63" si="6">$C$7*9.81*-SIN(Z25)</f>
        <v>0</v>
      </c>
      <c r="AJ25" s="21">
        <f t="shared" si="2"/>
        <v>282.55592494080003</v>
      </c>
      <c r="AK25" s="34">
        <f t="shared" si="3"/>
        <v>1243.2460697395202</v>
      </c>
      <c r="AL25" s="34">
        <f t="shared" ref="AL25:AL63" si="7">59656-AK25</f>
        <v>58412.753930260478</v>
      </c>
      <c r="AM25" s="35">
        <f t="shared" ref="AM25:AM63" si="8">AK25/X25</f>
        <v>248.64921394790403</v>
      </c>
    </row>
    <row r="26" spans="2:40" x14ac:dyDescent="0.25">
      <c r="R26" s="18"/>
      <c r="S26" s="19"/>
      <c r="U26" s="23" t="s">
        <v>35</v>
      </c>
      <c r="V26" s="24">
        <v>20</v>
      </c>
      <c r="W26" s="24">
        <f t="shared" ref="W26:W63" si="9">W25+V26</f>
        <v>42</v>
      </c>
      <c r="X26" s="27">
        <f t="shared" ref="X26:X63" si="10">X25+Y26</f>
        <v>9</v>
      </c>
      <c r="Y26" s="28">
        <v>4</v>
      </c>
      <c r="Z26" s="6">
        <v>7.62</v>
      </c>
      <c r="AA26" s="6">
        <v>4</v>
      </c>
      <c r="AB26" s="6">
        <f t="shared" ref="AB26:AB63" si="11">AB25+AA26</f>
        <v>4</v>
      </c>
      <c r="AC26" s="31">
        <f t="shared" si="4"/>
        <v>5</v>
      </c>
      <c r="AD26" s="31">
        <f t="shared" si="5"/>
        <v>0.14999999999999991</v>
      </c>
      <c r="AE26" s="32">
        <f t="shared" si="0"/>
        <v>1.4714999999999992E-2</v>
      </c>
      <c r="AF26" s="20">
        <v>0.04</v>
      </c>
      <c r="AG26" s="21">
        <f t="shared" si="1"/>
        <v>272.71800000000002</v>
      </c>
      <c r="AH26" s="21">
        <f t="shared" ref="AH26:AH63" si="12">0.5*$C$20*$C$22*$C$24*(AC26*AC26)</f>
        <v>12.703932000000002</v>
      </c>
      <c r="AI26" s="21">
        <f t="shared" si="6"/>
        <v>-6632.1673831533844</v>
      </c>
      <c r="AJ26" s="21">
        <f t="shared" si="2"/>
        <v>-6346.7454511533842</v>
      </c>
      <c r="AK26" s="34">
        <f t="shared" si="3"/>
        <v>-31733.72725576692</v>
      </c>
      <c r="AL26" s="34">
        <f t="shared" si="7"/>
        <v>91389.72725576692</v>
      </c>
      <c r="AM26" s="35">
        <f t="shared" si="8"/>
        <v>-3525.9696950852135</v>
      </c>
    </row>
    <row r="27" spans="2:40" x14ac:dyDescent="0.25">
      <c r="B27" s="15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5"/>
      <c r="R27" s="18"/>
      <c r="S27" s="19"/>
      <c r="U27" s="23" t="s">
        <v>36</v>
      </c>
      <c r="V27" s="24">
        <v>135</v>
      </c>
      <c r="W27" s="24">
        <f t="shared" si="9"/>
        <v>177</v>
      </c>
      <c r="X27" s="27">
        <f t="shared" si="10"/>
        <v>18</v>
      </c>
      <c r="Y27" s="28">
        <v>9</v>
      </c>
      <c r="Z27" s="6">
        <v>0</v>
      </c>
      <c r="AA27" s="6">
        <v>0</v>
      </c>
      <c r="AB27" s="6">
        <f t="shared" si="11"/>
        <v>4</v>
      </c>
      <c r="AC27" s="31">
        <f t="shared" si="4"/>
        <v>15</v>
      </c>
      <c r="AD27" s="31">
        <f t="shared" si="5"/>
        <v>1.1111111111111112</v>
      </c>
      <c r="AE27" s="32">
        <f t="shared" si="0"/>
        <v>0.10900000000000001</v>
      </c>
      <c r="AF27" s="20">
        <v>0.04</v>
      </c>
      <c r="AG27" s="21">
        <f t="shared" si="1"/>
        <v>272.71800000000002</v>
      </c>
      <c r="AH27" s="21">
        <f t="shared" si="12"/>
        <v>114.33538800000001</v>
      </c>
      <c r="AI27" s="21">
        <f t="shared" si="6"/>
        <v>0</v>
      </c>
      <c r="AJ27" s="21">
        <f t="shared" si="2"/>
        <v>387.05338800000004</v>
      </c>
      <c r="AK27" s="34">
        <f t="shared" si="3"/>
        <v>5805.8008200000004</v>
      </c>
      <c r="AL27" s="34">
        <f t="shared" si="7"/>
        <v>53850.199179999996</v>
      </c>
      <c r="AM27" s="35">
        <f t="shared" si="8"/>
        <v>322.54449</v>
      </c>
    </row>
    <row r="28" spans="2:40" x14ac:dyDescent="0.25">
      <c r="B28" s="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5"/>
      <c r="R28" s="18"/>
      <c r="S28" s="19"/>
      <c r="U28" s="22" t="s">
        <v>37</v>
      </c>
      <c r="V28" s="24">
        <v>28</v>
      </c>
      <c r="W28" s="24">
        <f t="shared" si="9"/>
        <v>205</v>
      </c>
      <c r="X28" s="27">
        <f t="shared" si="10"/>
        <v>24</v>
      </c>
      <c r="Y28" s="28">
        <v>6</v>
      </c>
      <c r="Z28" s="6">
        <v>-7.92</v>
      </c>
      <c r="AA28" s="6">
        <v>-4</v>
      </c>
      <c r="AB28" s="6">
        <f t="shared" si="11"/>
        <v>0</v>
      </c>
      <c r="AC28" s="31">
        <f t="shared" si="4"/>
        <v>4.666666666666667</v>
      </c>
      <c r="AD28" s="31">
        <f t="shared" si="5"/>
        <v>-1.7222222222222221</v>
      </c>
      <c r="AE28" s="32">
        <f t="shared" si="0"/>
        <v>-0.16894999999999999</v>
      </c>
      <c r="AF28" s="20">
        <v>0.04</v>
      </c>
      <c r="AG28" s="21">
        <f t="shared" si="1"/>
        <v>272.71800000000002</v>
      </c>
      <c r="AH28" s="21">
        <f t="shared" si="12"/>
        <v>11.066536320000003</v>
      </c>
      <c r="AI28" s="21">
        <f t="shared" si="6"/>
        <v>6803.0976349049088</v>
      </c>
      <c r="AJ28" s="21">
        <f t="shared" si="2"/>
        <v>7086.8821712249091</v>
      </c>
      <c r="AK28" s="34">
        <f t="shared" si="3"/>
        <v>33072.116799049581</v>
      </c>
      <c r="AL28" s="34">
        <f t="shared" si="7"/>
        <v>26583.883200950419</v>
      </c>
      <c r="AM28" s="35">
        <f t="shared" si="8"/>
        <v>1378.0048666270659</v>
      </c>
    </row>
    <row r="29" spans="2:40" x14ac:dyDescent="0.2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R29" s="18"/>
      <c r="S29" s="19"/>
      <c r="U29" s="22" t="s">
        <v>38</v>
      </c>
      <c r="V29" s="24">
        <v>42</v>
      </c>
      <c r="W29" s="24">
        <f t="shared" si="9"/>
        <v>247</v>
      </c>
      <c r="X29" s="27">
        <f t="shared" si="10"/>
        <v>31</v>
      </c>
      <c r="Y29" s="28">
        <v>7</v>
      </c>
      <c r="Z29" s="6">
        <v>0</v>
      </c>
      <c r="AA29" s="6">
        <v>0</v>
      </c>
      <c r="AB29" s="6">
        <f t="shared" si="11"/>
        <v>0</v>
      </c>
      <c r="AC29" s="31">
        <f t="shared" si="4"/>
        <v>6</v>
      </c>
      <c r="AD29" s="31">
        <f t="shared" si="5"/>
        <v>0.19047619047619044</v>
      </c>
      <c r="AE29" s="32">
        <f t="shared" si="0"/>
        <v>1.8685714285714285E-2</v>
      </c>
      <c r="AF29" s="20">
        <v>0.04</v>
      </c>
      <c r="AG29" s="21">
        <f t="shared" si="1"/>
        <v>272.71800000000002</v>
      </c>
      <c r="AH29" s="21">
        <f t="shared" si="12"/>
        <v>18.293662080000001</v>
      </c>
      <c r="AI29" s="21">
        <f t="shared" si="6"/>
        <v>0</v>
      </c>
      <c r="AJ29" s="21">
        <f t="shared" si="2"/>
        <v>291.01166208000001</v>
      </c>
      <c r="AK29" s="34">
        <f t="shared" si="3"/>
        <v>1746.0699724800002</v>
      </c>
      <c r="AL29" s="34">
        <f t="shared" si="7"/>
        <v>57909.93002752</v>
      </c>
      <c r="AM29" s="35">
        <f t="shared" si="8"/>
        <v>56.324837821935489</v>
      </c>
    </row>
    <row r="30" spans="2:40" x14ac:dyDescent="0.25">
      <c r="B30" s="15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5"/>
      <c r="R30" s="18"/>
      <c r="S30" s="19"/>
      <c r="U30" s="22" t="s">
        <v>39</v>
      </c>
      <c r="V30" s="24">
        <v>21</v>
      </c>
      <c r="W30" s="24">
        <f t="shared" si="9"/>
        <v>268</v>
      </c>
      <c r="X30" s="27">
        <f t="shared" si="10"/>
        <v>36</v>
      </c>
      <c r="Y30" s="28">
        <v>5</v>
      </c>
      <c r="Z30" s="6">
        <v>8.0299999999999994</v>
      </c>
      <c r="AA30" s="6">
        <v>3</v>
      </c>
      <c r="AB30" s="6">
        <f t="shared" si="11"/>
        <v>3</v>
      </c>
      <c r="AC30" s="31">
        <f t="shared" si="4"/>
        <v>4.2</v>
      </c>
      <c r="AD30" s="31">
        <f t="shared" si="5"/>
        <v>-0.36</v>
      </c>
      <c r="AE30" s="32">
        <f t="shared" si="0"/>
        <v>-3.5316E-2</v>
      </c>
      <c r="AF30" s="20">
        <v>0.04</v>
      </c>
      <c r="AG30" s="21">
        <f t="shared" si="1"/>
        <v>272.71800000000002</v>
      </c>
      <c r="AH30" s="21">
        <f t="shared" si="12"/>
        <v>8.9638944192000007</v>
      </c>
      <c r="AI30" s="21">
        <f t="shared" si="6"/>
        <v>-6712.6039626279944</v>
      </c>
      <c r="AJ30" s="21">
        <f t="shared" si="2"/>
        <v>-6430.9220682087944</v>
      </c>
      <c r="AK30" s="34">
        <f t="shared" si="3"/>
        <v>-27009.872686476938</v>
      </c>
      <c r="AL30" s="34">
        <f t="shared" si="7"/>
        <v>86665.872686476941</v>
      </c>
      <c r="AM30" s="35">
        <f t="shared" si="8"/>
        <v>-750.2742412910261</v>
      </c>
    </row>
    <row r="31" spans="2:40" x14ac:dyDescent="0.25">
      <c r="B31" s="15"/>
      <c r="C31" s="17"/>
      <c r="D31" s="15"/>
      <c r="E31" s="15"/>
      <c r="F31" s="15"/>
      <c r="G31" s="15"/>
      <c r="H31" s="15"/>
      <c r="I31" s="15"/>
      <c r="J31" s="15"/>
      <c r="K31" s="15"/>
      <c r="L31" s="15"/>
      <c r="M31" s="15"/>
      <c r="R31" s="18"/>
      <c r="S31" s="19"/>
      <c r="U31" s="22" t="s">
        <v>40</v>
      </c>
      <c r="V31" s="24">
        <v>68</v>
      </c>
      <c r="W31" s="24">
        <f t="shared" si="9"/>
        <v>336</v>
      </c>
      <c r="X31" s="27">
        <f t="shared" si="10"/>
        <v>43</v>
      </c>
      <c r="Y31" s="28">
        <v>7</v>
      </c>
      <c r="Z31" s="6">
        <v>0</v>
      </c>
      <c r="AA31" s="6">
        <v>0</v>
      </c>
      <c r="AB31" s="6">
        <f t="shared" si="11"/>
        <v>3</v>
      </c>
      <c r="AC31" s="31">
        <f t="shared" si="4"/>
        <v>9.7142857142857135</v>
      </c>
      <c r="AD31" s="31">
        <f t="shared" si="5"/>
        <v>0.78775510204081622</v>
      </c>
      <c r="AE31" s="32">
        <f t="shared" si="0"/>
        <v>7.7278775510204081E-2</v>
      </c>
      <c r="AF31" s="20">
        <v>0.04</v>
      </c>
      <c r="AG31" s="21">
        <f t="shared" si="1"/>
        <v>272.71800000000002</v>
      </c>
      <c r="AH31" s="21">
        <f t="shared" si="12"/>
        <v>47.953454341224486</v>
      </c>
      <c r="AI31" s="21">
        <f t="shared" si="6"/>
        <v>0</v>
      </c>
      <c r="AJ31" s="21">
        <f t="shared" si="2"/>
        <v>320.67145434122449</v>
      </c>
      <c r="AK31" s="34">
        <f t="shared" si="3"/>
        <v>3115.0941278861806</v>
      </c>
      <c r="AL31" s="34">
        <f t="shared" si="7"/>
        <v>56540.905872113821</v>
      </c>
      <c r="AM31" s="35">
        <f t="shared" si="8"/>
        <v>72.444049485725131</v>
      </c>
    </row>
    <row r="32" spans="2:40" x14ac:dyDescent="0.25">
      <c r="R32" s="18"/>
      <c r="S32" s="19"/>
      <c r="U32" s="22" t="s">
        <v>41</v>
      </c>
      <c r="V32" s="24">
        <v>28</v>
      </c>
      <c r="W32" s="24">
        <f t="shared" si="9"/>
        <v>364</v>
      </c>
      <c r="X32" s="27">
        <f t="shared" si="10"/>
        <v>49</v>
      </c>
      <c r="Y32" s="28">
        <v>6</v>
      </c>
      <c r="Z32" s="6">
        <v>-7.46</v>
      </c>
      <c r="AA32" s="6">
        <v>-4</v>
      </c>
      <c r="AB32" s="6">
        <f t="shared" si="11"/>
        <v>-1</v>
      </c>
      <c r="AC32" s="31">
        <f t="shared" si="4"/>
        <v>4.666666666666667</v>
      </c>
      <c r="AD32" s="31">
        <f t="shared" si="5"/>
        <v>-0.84126984126984106</v>
      </c>
      <c r="AE32" s="32">
        <f t="shared" si="0"/>
        <v>-8.2528571428571409E-2</v>
      </c>
      <c r="AF32" s="20">
        <v>0.04</v>
      </c>
      <c r="AG32" s="21">
        <f t="shared" si="1"/>
        <v>272.71800000000002</v>
      </c>
      <c r="AH32" s="21">
        <f t="shared" si="12"/>
        <v>11.066536320000003</v>
      </c>
      <c r="AI32" s="21">
        <f t="shared" si="6"/>
        <v>6295.6129505784247</v>
      </c>
      <c r="AJ32" s="21">
        <f t="shared" si="2"/>
        <v>6579.3974868984251</v>
      </c>
      <c r="AK32" s="34">
        <f t="shared" si="3"/>
        <v>30703.85493885932</v>
      </c>
      <c r="AL32" s="34">
        <f t="shared" si="7"/>
        <v>28952.14506114068</v>
      </c>
      <c r="AM32" s="35">
        <f t="shared" si="8"/>
        <v>626.60928446651678</v>
      </c>
    </row>
    <row r="33" spans="18:39" x14ac:dyDescent="0.25">
      <c r="R33" s="18"/>
      <c r="S33" s="18"/>
      <c r="U33" s="22" t="s">
        <v>42</v>
      </c>
      <c r="V33" s="24">
        <v>16</v>
      </c>
      <c r="W33" s="24">
        <f t="shared" si="9"/>
        <v>380</v>
      </c>
      <c r="X33" s="27">
        <f t="shared" si="10"/>
        <v>54</v>
      </c>
      <c r="Y33" s="28">
        <v>5</v>
      </c>
      <c r="Z33" s="6">
        <v>0</v>
      </c>
      <c r="AA33" s="6">
        <v>0</v>
      </c>
      <c r="AB33" s="6">
        <f t="shared" si="11"/>
        <v>-1</v>
      </c>
      <c r="AC33" s="31">
        <f t="shared" si="4"/>
        <v>3.2</v>
      </c>
      <c r="AD33" s="31">
        <f t="shared" si="5"/>
        <v>-0.29333333333333333</v>
      </c>
      <c r="AE33" s="32">
        <f t="shared" si="0"/>
        <v>-2.8776000000000003E-2</v>
      </c>
      <c r="AF33" s="20">
        <v>0.04</v>
      </c>
      <c r="AG33" s="21">
        <f t="shared" si="1"/>
        <v>272.71800000000002</v>
      </c>
      <c r="AH33" s="21">
        <f t="shared" si="12"/>
        <v>5.2035305472000015</v>
      </c>
      <c r="AI33" s="21">
        <f t="shared" si="6"/>
        <v>0</v>
      </c>
      <c r="AJ33" s="21">
        <f t="shared" si="2"/>
        <v>277.92153054720001</v>
      </c>
      <c r="AK33" s="34">
        <f t="shared" si="3"/>
        <v>889.34889775104011</v>
      </c>
      <c r="AL33" s="34">
        <f t="shared" si="7"/>
        <v>58766.651102248958</v>
      </c>
      <c r="AM33" s="35">
        <f t="shared" si="8"/>
        <v>16.469424032426669</v>
      </c>
    </row>
    <row r="34" spans="18:39" x14ac:dyDescent="0.25">
      <c r="R34" s="18"/>
      <c r="S34" s="18"/>
      <c r="U34" s="22" t="s">
        <v>43</v>
      </c>
      <c r="V34" s="24">
        <v>23</v>
      </c>
      <c r="W34" s="24">
        <f t="shared" si="9"/>
        <v>403</v>
      </c>
      <c r="X34" s="27">
        <f t="shared" si="10"/>
        <v>59</v>
      </c>
      <c r="Y34" s="28">
        <v>5</v>
      </c>
      <c r="Z34" s="6">
        <v>5.09</v>
      </c>
      <c r="AA34" s="6">
        <v>2</v>
      </c>
      <c r="AB34" s="6">
        <f t="shared" si="11"/>
        <v>1</v>
      </c>
      <c r="AC34" s="31">
        <f t="shared" si="4"/>
        <v>4.5999999999999996</v>
      </c>
      <c r="AD34" s="31">
        <f t="shared" si="5"/>
        <v>0.27999999999999992</v>
      </c>
      <c r="AE34" s="32">
        <f t="shared" si="0"/>
        <v>2.7467999999999992E-2</v>
      </c>
      <c r="AF34" s="20">
        <v>0.04</v>
      </c>
      <c r="AG34" s="21">
        <f t="shared" si="1"/>
        <v>272.71800000000002</v>
      </c>
      <c r="AH34" s="21">
        <f t="shared" si="12"/>
        <v>10.752608044799999</v>
      </c>
      <c r="AI34" s="21">
        <f t="shared" si="6"/>
        <v>6337.6125121016403</v>
      </c>
      <c r="AJ34" s="21">
        <f t="shared" si="2"/>
        <v>6621.0831201464407</v>
      </c>
      <c r="AK34" s="34">
        <f t="shared" si="3"/>
        <v>30456.982352673625</v>
      </c>
      <c r="AL34" s="34">
        <f t="shared" si="7"/>
        <v>29199.017647326375</v>
      </c>
      <c r="AM34" s="35">
        <f t="shared" si="8"/>
        <v>516.22003987582411</v>
      </c>
    </row>
    <row r="35" spans="18:39" x14ac:dyDescent="0.25">
      <c r="R35" s="18"/>
      <c r="S35" s="18"/>
      <c r="U35" s="22" t="s">
        <v>44</v>
      </c>
      <c r="V35" s="24">
        <v>64</v>
      </c>
      <c r="W35" s="24">
        <f t="shared" si="9"/>
        <v>467</v>
      </c>
      <c r="X35" s="27">
        <f t="shared" si="10"/>
        <v>66</v>
      </c>
      <c r="Y35" s="28">
        <v>7</v>
      </c>
      <c r="Z35" s="6">
        <v>0</v>
      </c>
      <c r="AA35" s="6">
        <v>0</v>
      </c>
      <c r="AB35" s="6">
        <f t="shared" si="11"/>
        <v>1</v>
      </c>
      <c r="AC35" s="31">
        <f t="shared" si="4"/>
        <v>9.1428571428571423</v>
      </c>
      <c r="AD35" s="31">
        <f t="shared" si="5"/>
        <v>0.6489795918367347</v>
      </c>
      <c r="AE35" s="32">
        <f t="shared" si="0"/>
        <v>6.3664897959183675E-2</v>
      </c>
      <c r="AF35" s="20">
        <v>0.04</v>
      </c>
      <c r="AG35" s="21">
        <f t="shared" si="1"/>
        <v>272.71800000000002</v>
      </c>
      <c r="AH35" s="21">
        <f t="shared" si="12"/>
        <v>42.477800385306125</v>
      </c>
      <c r="AI35" s="21">
        <f t="shared" si="6"/>
        <v>0</v>
      </c>
      <c r="AJ35" s="21">
        <f t="shared" si="2"/>
        <v>315.19580038530614</v>
      </c>
      <c r="AK35" s="34">
        <f t="shared" si="3"/>
        <v>2881.7901749513703</v>
      </c>
      <c r="AL35" s="34">
        <f t="shared" si="7"/>
        <v>56774.209825048631</v>
      </c>
      <c r="AM35" s="35">
        <f t="shared" si="8"/>
        <v>43.663487499263184</v>
      </c>
    </row>
    <row r="36" spans="18:39" x14ac:dyDescent="0.25">
      <c r="R36" s="18"/>
      <c r="S36" s="18"/>
      <c r="U36" s="22" t="s">
        <v>47</v>
      </c>
      <c r="V36" s="24">
        <v>14</v>
      </c>
      <c r="W36" s="24">
        <f t="shared" si="9"/>
        <v>481</v>
      </c>
      <c r="X36" s="27">
        <f t="shared" si="10"/>
        <v>69</v>
      </c>
      <c r="Y36" s="28">
        <v>3</v>
      </c>
      <c r="Z36" s="6">
        <v>4.3</v>
      </c>
      <c r="AA36" s="6">
        <v>1</v>
      </c>
      <c r="AB36" s="6">
        <f t="shared" si="11"/>
        <v>2</v>
      </c>
      <c r="AC36" s="31">
        <f t="shared" si="4"/>
        <v>4.666666666666667</v>
      </c>
      <c r="AD36" s="31">
        <f t="shared" si="5"/>
        <v>-1.4920634920634919</v>
      </c>
      <c r="AE36" s="32">
        <f t="shared" si="0"/>
        <v>-0.14637142857142857</v>
      </c>
      <c r="AF36" s="20">
        <v>0.04</v>
      </c>
      <c r="AG36" s="21">
        <f t="shared" si="1"/>
        <v>272.71800000000002</v>
      </c>
      <c r="AH36" s="21">
        <f t="shared" si="12"/>
        <v>11.066536320000003</v>
      </c>
      <c r="AI36" s="21">
        <f t="shared" si="6"/>
        <v>6246.3735484609469</v>
      </c>
      <c r="AJ36" s="21">
        <f t="shared" si="2"/>
        <v>6530.1580847809473</v>
      </c>
      <c r="AK36" s="34">
        <f t="shared" si="3"/>
        <v>30474.07106231109</v>
      </c>
      <c r="AL36" s="34">
        <f t="shared" si="7"/>
        <v>29181.92893768891</v>
      </c>
      <c r="AM36" s="35">
        <f t="shared" si="8"/>
        <v>441.65320380161</v>
      </c>
    </row>
    <row r="37" spans="18:39" x14ac:dyDescent="0.25">
      <c r="R37" s="18"/>
      <c r="S37" s="18"/>
      <c r="U37" s="22" t="s">
        <v>48</v>
      </c>
      <c r="V37" s="24">
        <v>39</v>
      </c>
      <c r="W37" s="24">
        <f t="shared" si="9"/>
        <v>520</v>
      </c>
      <c r="X37" s="27">
        <f t="shared" si="10"/>
        <v>74</v>
      </c>
      <c r="Y37" s="28">
        <v>5</v>
      </c>
      <c r="Z37" s="6">
        <v>0</v>
      </c>
      <c r="AA37" s="6">
        <v>0</v>
      </c>
      <c r="AB37" s="6">
        <f t="shared" si="11"/>
        <v>2</v>
      </c>
      <c r="AC37" s="31">
        <f t="shared" si="4"/>
        <v>7.8</v>
      </c>
      <c r="AD37" s="31">
        <f t="shared" si="5"/>
        <v>0.62666666666666659</v>
      </c>
      <c r="AE37" s="32">
        <f t="shared" si="0"/>
        <v>6.1475999999999996E-2</v>
      </c>
      <c r="AF37" s="20">
        <v>0.04</v>
      </c>
      <c r="AG37" s="21">
        <f t="shared" si="1"/>
        <v>272.71800000000002</v>
      </c>
      <c r="AH37" s="21">
        <f t="shared" si="12"/>
        <v>30.916288915199999</v>
      </c>
      <c r="AI37" s="21">
        <f t="shared" si="6"/>
        <v>0</v>
      </c>
      <c r="AJ37" s="21">
        <f t="shared" si="2"/>
        <v>303.63428891520005</v>
      </c>
      <c r="AK37" s="34">
        <f t="shared" si="3"/>
        <v>2368.3474535385603</v>
      </c>
      <c r="AL37" s="34">
        <f t="shared" si="7"/>
        <v>57287.652546461439</v>
      </c>
      <c r="AM37" s="35">
        <f t="shared" si="8"/>
        <v>32.00469531808865</v>
      </c>
    </row>
    <row r="38" spans="18:39" x14ac:dyDescent="0.25">
      <c r="R38" s="18"/>
      <c r="S38" s="18"/>
      <c r="U38" s="22" t="s">
        <v>49</v>
      </c>
      <c r="V38" s="24">
        <v>17</v>
      </c>
      <c r="W38" s="24">
        <f t="shared" si="9"/>
        <v>537</v>
      </c>
      <c r="X38" s="27">
        <f t="shared" si="10"/>
        <v>78</v>
      </c>
      <c r="Y38" s="28">
        <v>4</v>
      </c>
      <c r="Z38" s="6">
        <v>6.81</v>
      </c>
      <c r="AA38" s="6">
        <v>2</v>
      </c>
      <c r="AB38" s="6">
        <f t="shared" si="11"/>
        <v>4</v>
      </c>
      <c r="AC38" s="31">
        <f t="shared" si="4"/>
        <v>4.25</v>
      </c>
      <c r="AD38" s="31">
        <f t="shared" si="5"/>
        <v>-0.88749999999999996</v>
      </c>
      <c r="AE38" s="32">
        <f t="shared" si="0"/>
        <v>-8.7063749999999995E-2</v>
      </c>
      <c r="AF38" s="20">
        <v>0.04</v>
      </c>
      <c r="AG38" s="21">
        <f t="shared" si="1"/>
        <v>272.71800000000002</v>
      </c>
      <c r="AH38" s="21">
        <f t="shared" si="12"/>
        <v>9.1785908700000007</v>
      </c>
      <c r="AI38" s="21">
        <f t="shared" si="6"/>
        <v>-3427.9457800731739</v>
      </c>
      <c r="AJ38" s="21">
        <f t="shared" si="2"/>
        <v>-3146.0491892031737</v>
      </c>
      <c r="AK38" s="34">
        <f t="shared" si="3"/>
        <v>-13370.709054113488</v>
      </c>
      <c r="AL38" s="34">
        <f t="shared" si="7"/>
        <v>73026.709054113482</v>
      </c>
      <c r="AM38" s="35">
        <f t="shared" si="8"/>
        <v>-171.41934684760881</v>
      </c>
    </row>
    <row r="39" spans="18:39" x14ac:dyDescent="0.25">
      <c r="U39" s="22" t="s">
        <v>50</v>
      </c>
      <c r="V39" s="24">
        <v>46</v>
      </c>
      <c r="W39" s="24">
        <f t="shared" si="9"/>
        <v>583</v>
      </c>
      <c r="X39" s="27">
        <f t="shared" si="10"/>
        <v>83</v>
      </c>
      <c r="Y39" s="28">
        <v>5</v>
      </c>
      <c r="Z39" s="6">
        <v>0</v>
      </c>
      <c r="AA39" s="6">
        <v>0</v>
      </c>
      <c r="AB39" s="6">
        <f t="shared" si="11"/>
        <v>4</v>
      </c>
      <c r="AC39" s="31">
        <f t="shared" si="4"/>
        <v>9.1999999999999993</v>
      </c>
      <c r="AD39" s="31">
        <f t="shared" si="5"/>
        <v>0.98999999999999988</v>
      </c>
      <c r="AE39" s="32">
        <f t="shared" si="0"/>
        <v>9.7118999999999997E-2</v>
      </c>
      <c r="AF39" s="20">
        <v>0.04</v>
      </c>
      <c r="AG39" s="21">
        <f t="shared" si="1"/>
        <v>272.71800000000002</v>
      </c>
      <c r="AH39" s="21">
        <f t="shared" si="12"/>
        <v>43.010432179199995</v>
      </c>
      <c r="AI39" s="21">
        <f t="shared" si="6"/>
        <v>0</v>
      </c>
      <c r="AJ39" s="21">
        <f t="shared" si="2"/>
        <v>315.72843217920001</v>
      </c>
      <c r="AK39" s="34">
        <f t="shared" si="3"/>
        <v>2904.7015760486397</v>
      </c>
      <c r="AL39" s="34">
        <f t="shared" si="7"/>
        <v>56751.298423951361</v>
      </c>
      <c r="AM39" s="35">
        <f t="shared" si="8"/>
        <v>34.996404530706499</v>
      </c>
    </row>
    <row r="40" spans="18:39" x14ac:dyDescent="0.25">
      <c r="U40" s="22" t="s">
        <v>51</v>
      </c>
      <c r="V40" s="24">
        <v>28</v>
      </c>
      <c r="W40" s="24">
        <f t="shared" si="9"/>
        <v>611</v>
      </c>
      <c r="X40" s="27">
        <f t="shared" si="10"/>
        <v>87</v>
      </c>
      <c r="Y40" s="28">
        <v>4</v>
      </c>
      <c r="Z40" s="6">
        <v>-8.07</v>
      </c>
      <c r="AA40" s="6">
        <v>-4</v>
      </c>
      <c r="AB40" s="6">
        <f t="shared" si="11"/>
        <v>0</v>
      </c>
      <c r="AC40" s="31">
        <f t="shared" si="4"/>
        <v>7</v>
      </c>
      <c r="AD40" s="31">
        <f t="shared" si="5"/>
        <v>-0.54999999999999982</v>
      </c>
      <c r="AE40" s="32">
        <f t="shared" si="0"/>
        <v>-5.3954999999999989E-2</v>
      </c>
      <c r="AF40" s="20">
        <v>0.04</v>
      </c>
      <c r="AG40" s="21">
        <f t="shared" si="1"/>
        <v>272.71800000000002</v>
      </c>
      <c r="AH40" s="21">
        <f t="shared" si="12"/>
        <v>24.899706720000001</v>
      </c>
      <c r="AI40" s="21">
        <f t="shared" si="6"/>
        <v>6659.4914460174541</v>
      </c>
      <c r="AJ40" s="21">
        <f t="shared" si="2"/>
        <v>6957.1091527374538</v>
      </c>
      <c r="AK40" s="34">
        <f t="shared" si="3"/>
        <v>48699.764069162178</v>
      </c>
      <c r="AL40" s="34">
        <f t="shared" si="7"/>
        <v>10956.235930837822</v>
      </c>
      <c r="AM40" s="35">
        <f t="shared" si="8"/>
        <v>559.76740309381819</v>
      </c>
    </row>
    <row r="41" spans="18:39" x14ac:dyDescent="0.25">
      <c r="U41" s="22" t="s">
        <v>52</v>
      </c>
      <c r="V41" s="24">
        <v>80</v>
      </c>
      <c r="W41" s="24">
        <f t="shared" si="9"/>
        <v>691</v>
      </c>
      <c r="X41" s="27">
        <f t="shared" si="10"/>
        <v>94</v>
      </c>
      <c r="Y41" s="28">
        <v>7</v>
      </c>
      <c r="Z41" s="6">
        <v>0</v>
      </c>
      <c r="AA41" s="6">
        <v>0</v>
      </c>
      <c r="AB41" s="6">
        <f t="shared" si="11"/>
        <v>0</v>
      </c>
      <c r="AC41" s="31">
        <f t="shared" si="4"/>
        <v>11.428571428571429</v>
      </c>
      <c r="AD41" s="31">
        <f t="shared" si="5"/>
        <v>0.63265306122448983</v>
      </c>
      <c r="AE41" s="32">
        <f t="shared" si="0"/>
        <v>6.206326530612246E-2</v>
      </c>
      <c r="AF41" s="20">
        <v>0.04</v>
      </c>
      <c r="AG41" s="21">
        <f t="shared" si="1"/>
        <v>272.71800000000002</v>
      </c>
      <c r="AH41" s="21">
        <f t="shared" si="12"/>
        <v>66.371563102040824</v>
      </c>
      <c r="AI41" s="21">
        <f t="shared" si="6"/>
        <v>0</v>
      </c>
      <c r="AJ41" s="21">
        <f t="shared" si="2"/>
        <v>339.08956310204087</v>
      </c>
      <c r="AK41" s="34">
        <f t="shared" si="3"/>
        <v>3875.3092925947531</v>
      </c>
      <c r="AL41" s="34">
        <f t="shared" si="7"/>
        <v>55780.690707405243</v>
      </c>
      <c r="AM41" s="35">
        <f t="shared" si="8"/>
        <v>41.226694602071838</v>
      </c>
    </row>
    <row r="42" spans="18:39" x14ac:dyDescent="0.25">
      <c r="U42" s="22" t="s">
        <v>53</v>
      </c>
      <c r="V42" s="24">
        <v>24</v>
      </c>
      <c r="W42" s="24">
        <f t="shared" si="9"/>
        <v>715</v>
      </c>
      <c r="X42" s="27">
        <f t="shared" si="10"/>
        <v>98</v>
      </c>
      <c r="Y42" s="28">
        <v>4</v>
      </c>
      <c r="Z42" s="6">
        <v>6.93</v>
      </c>
      <c r="AA42" s="6">
        <v>3</v>
      </c>
      <c r="AB42" s="6">
        <f t="shared" si="11"/>
        <v>3</v>
      </c>
      <c r="AC42" s="31">
        <f t="shared" si="4"/>
        <v>6</v>
      </c>
      <c r="AD42" s="31">
        <f t="shared" si="5"/>
        <v>-1.3571428571428572</v>
      </c>
      <c r="AE42" s="32">
        <f t="shared" si="0"/>
        <v>-0.1331357142857143</v>
      </c>
      <c r="AF42" s="20">
        <v>0.04</v>
      </c>
      <c r="AG42" s="21">
        <f t="shared" si="1"/>
        <v>272.71800000000002</v>
      </c>
      <c r="AH42" s="21">
        <f t="shared" si="12"/>
        <v>18.293662080000001</v>
      </c>
      <c r="AI42" s="21">
        <f t="shared" si="6"/>
        <v>-4108.820989122587</v>
      </c>
      <c r="AJ42" s="21">
        <f t="shared" si="2"/>
        <v>-3817.809327042587</v>
      </c>
      <c r="AK42" s="34">
        <f t="shared" si="3"/>
        <v>-22906.855962255522</v>
      </c>
      <c r="AL42" s="34">
        <f t="shared" si="7"/>
        <v>82562.855962255519</v>
      </c>
      <c r="AM42" s="35">
        <f t="shared" si="8"/>
        <v>-233.74342818628085</v>
      </c>
    </row>
    <row r="43" spans="18:39" x14ac:dyDescent="0.25">
      <c r="U43" s="22" t="s">
        <v>54</v>
      </c>
      <c r="V43" s="24">
        <v>49</v>
      </c>
      <c r="W43" s="24">
        <f t="shared" si="9"/>
        <v>764</v>
      </c>
      <c r="X43" s="27">
        <f t="shared" si="10"/>
        <v>104</v>
      </c>
      <c r="Y43" s="28">
        <v>6</v>
      </c>
      <c r="Z43" s="6">
        <v>0</v>
      </c>
      <c r="AA43" s="6">
        <v>0</v>
      </c>
      <c r="AB43" s="6">
        <f t="shared" si="11"/>
        <v>3</v>
      </c>
      <c r="AC43" s="31">
        <f t="shared" si="4"/>
        <v>8.1666666666666661</v>
      </c>
      <c r="AD43" s="31">
        <f t="shared" si="5"/>
        <v>0.36111111111111099</v>
      </c>
      <c r="AE43" s="32">
        <f t="shared" si="0"/>
        <v>3.5424999999999991E-2</v>
      </c>
      <c r="AF43" s="20">
        <v>0.04</v>
      </c>
      <c r="AG43" s="21">
        <f t="shared" si="1"/>
        <v>272.71800000000002</v>
      </c>
      <c r="AH43" s="21">
        <f t="shared" si="12"/>
        <v>33.891267479999996</v>
      </c>
      <c r="AI43" s="21">
        <f t="shared" si="6"/>
        <v>0</v>
      </c>
      <c r="AJ43" s="21">
        <f t="shared" si="2"/>
        <v>306.60926748000003</v>
      </c>
      <c r="AK43" s="34">
        <f t="shared" si="3"/>
        <v>2503.9756844200001</v>
      </c>
      <c r="AL43" s="34">
        <f t="shared" si="7"/>
        <v>57152.024315579998</v>
      </c>
      <c r="AM43" s="35">
        <f t="shared" si="8"/>
        <v>24.076689273269231</v>
      </c>
    </row>
    <row r="44" spans="18:39" x14ac:dyDescent="0.25">
      <c r="U44" s="22" t="s">
        <v>55</v>
      </c>
      <c r="V44" s="24">
        <v>20</v>
      </c>
      <c r="W44" s="24">
        <f t="shared" si="9"/>
        <v>784</v>
      </c>
      <c r="X44" s="27">
        <f t="shared" si="10"/>
        <v>108</v>
      </c>
      <c r="Y44" s="28">
        <v>4</v>
      </c>
      <c r="Z44" s="6">
        <v>5.73</v>
      </c>
      <c r="AA44" s="6">
        <v>2</v>
      </c>
      <c r="AB44" s="6">
        <f t="shared" si="11"/>
        <v>5</v>
      </c>
      <c r="AC44" s="31">
        <f t="shared" si="4"/>
        <v>5</v>
      </c>
      <c r="AD44" s="31">
        <f t="shared" si="5"/>
        <v>-0.79166666666666652</v>
      </c>
      <c r="AE44" s="32">
        <f t="shared" si="0"/>
        <v>-7.7662499999999995E-2</v>
      </c>
      <c r="AF44" s="20">
        <v>0.04</v>
      </c>
      <c r="AG44" s="21">
        <f t="shared" si="1"/>
        <v>272.71800000000002</v>
      </c>
      <c r="AH44" s="21">
        <f t="shared" si="12"/>
        <v>12.703932000000002</v>
      </c>
      <c r="AI44" s="21">
        <f t="shared" si="6"/>
        <v>3582.1517834837941</v>
      </c>
      <c r="AJ44" s="21">
        <f t="shared" si="2"/>
        <v>3867.5737154837943</v>
      </c>
      <c r="AK44" s="34">
        <f t="shared" si="3"/>
        <v>19337.868577418973</v>
      </c>
      <c r="AL44" s="34">
        <f t="shared" si="7"/>
        <v>40318.131422581027</v>
      </c>
      <c r="AM44" s="35">
        <f t="shared" si="8"/>
        <v>179.05433867980531</v>
      </c>
    </row>
    <row r="45" spans="18:39" x14ac:dyDescent="0.25">
      <c r="U45" s="22" t="s">
        <v>56</v>
      </c>
      <c r="V45" s="24">
        <v>70</v>
      </c>
      <c r="W45" s="24">
        <f t="shared" si="9"/>
        <v>854</v>
      </c>
      <c r="X45" s="27">
        <f t="shared" si="10"/>
        <v>114</v>
      </c>
      <c r="Y45" s="28">
        <v>6</v>
      </c>
      <c r="Z45" s="6">
        <v>0</v>
      </c>
      <c r="AA45" s="6">
        <v>0</v>
      </c>
      <c r="AB45" s="6">
        <f t="shared" si="11"/>
        <v>5</v>
      </c>
      <c r="AC45" s="31">
        <f t="shared" si="4"/>
        <v>11.666666666666666</v>
      </c>
      <c r="AD45" s="31">
        <f t="shared" si="5"/>
        <v>1.1111111111111109</v>
      </c>
      <c r="AE45" s="32">
        <f t="shared" si="0"/>
        <v>0.10899999999999999</v>
      </c>
      <c r="AF45" s="20">
        <v>0.04</v>
      </c>
      <c r="AG45" s="21">
        <f t="shared" si="1"/>
        <v>272.71800000000002</v>
      </c>
      <c r="AH45" s="21">
        <f t="shared" si="12"/>
        <v>69.165851999999987</v>
      </c>
      <c r="AI45" s="21">
        <f t="shared" si="6"/>
        <v>0</v>
      </c>
      <c r="AJ45" s="21">
        <f t="shared" si="2"/>
        <v>341.88385199999999</v>
      </c>
      <c r="AK45" s="34">
        <f t="shared" si="3"/>
        <v>3988.6449399999997</v>
      </c>
      <c r="AL45" s="34">
        <f t="shared" si="7"/>
        <v>55667.355060000002</v>
      </c>
      <c r="AM45" s="35">
        <f t="shared" si="8"/>
        <v>34.988113508771924</v>
      </c>
    </row>
    <row r="46" spans="18:39" x14ac:dyDescent="0.25">
      <c r="U46" s="22" t="s">
        <v>57</v>
      </c>
      <c r="V46" s="24">
        <v>20</v>
      </c>
      <c r="W46" s="24">
        <f t="shared" si="9"/>
        <v>874</v>
      </c>
      <c r="X46" s="27">
        <f t="shared" si="10"/>
        <v>118</v>
      </c>
      <c r="Y46" s="28">
        <v>4</v>
      </c>
      <c r="Z46" s="6">
        <v>-5.72</v>
      </c>
      <c r="AA46" s="6">
        <v>-2</v>
      </c>
      <c r="AB46" s="6">
        <f t="shared" si="11"/>
        <v>3</v>
      </c>
      <c r="AC46" s="31">
        <f t="shared" si="4"/>
        <v>5</v>
      </c>
      <c r="AD46" s="31">
        <f t="shared" si="5"/>
        <v>-1.6666666666666665</v>
      </c>
      <c r="AE46" s="32">
        <f t="shared" si="0"/>
        <v>-0.16350000000000001</v>
      </c>
      <c r="AF46" s="20">
        <v>0.04</v>
      </c>
      <c r="AG46" s="21">
        <f t="shared" si="1"/>
        <v>272.71800000000002</v>
      </c>
      <c r="AH46" s="21">
        <f t="shared" si="12"/>
        <v>12.703932000000002</v>
      </c>
      <c r="AI46" s="21">
        <f t="shared" si="6"/>
        <v>-3639.9825981449112</v>
      </c>
      <c r="AJ46" s="21">
        <f t="shared" si="2"/>
        <v>-3354.560666144911</v>
      </c>
      <c r="AK46" s="34">
        <f t="shared" si="3"/>
        <v>-16772.803330724557</v>
      </c>
      <c r="AL46" s="34">
        <f t="shared" si="7"/>
        <v>76428.803330724564</v>
      </c>
      <c r="AM46" s="35">
        <f t="shared" si="8"/>
        <v>-142.14240110783524</v>
      </c>
    </row>
    <row r="47" spans="18:39" x14ac:dyDescent="0.25">
      <c r="U47" s="22" t="s">
        <v>58</v>
      </c>
      <c r="V47" s="24">
        <v>54</v>
      </c>
      <c r="W47" s="24">
        <f t="shared" si="9"/>
        <v>928</v>
      </c>
      <c r="X47" s="27">
        <f t="shared" si="10"/>
        <v>123</v>
      </c>
      <c r="Y47" s="28">
        <v>5</v>
      </c>
      <c r="Z47" s="6">
        <v>0</v>
      </c>
      <c r="AA47" s="6">
        <v>0</v>
      </c>
      <c r="AB47" s="6">
        <f t="shared" si="11"/>
        <v>3</v>
      </c>
      <c r="AC47" s="31">
        <f t="shared" si="4"/>
        <v>10.8</v>
      </c>
      <c r="AD47" s="31">
        <f t="shared" si="5"/>
        <v>1.1600000000000001</v>
      </c>
      <c r="AE47" s="32">
        <f t="shared" si="0"/>
        <v>0.11379600000000002</v>
      </c>
      <c r="AF47" s="20">
        <v>0.04</v>
      </c>
      <c r="AG47" s="21">
        <f t="shared" si="1"/>
        <v>272.71800000000002</v>
      </c>
      <c r="AH47" s="21">
        <f t="shared" si="12"/>
        <v>59.271465139200011</v>
      </c>
      <c r="AI47" s="21">
        <f t="shared" si="6"/>
        <v>0</v>
      </c>
      <c r="AJ47" s="21">
        <f t="shared" si="2"/>
        <v>331.98946513920004</v>
      </c>
      <c r="AK47" s="34">
        <f t="shared" si="3"/>
        <v>3585.4862235033606</v>
      </c>
      <c r="AL47" s="34">
        <f t="shared" si="7"/>
        <v>56070.513776496642</v>
      </c>
      <c r="AM47" s="35">
        <f t="shared" si="8"/>
        <v>29.150294500027321</v>
      </c>
    </row>
    <row r="48" spans="18:39" x14ac:dyDescent="0.25">
      <c r="U48" s="22" t="s">
        <v>59</v>
      </c>
      <c r="V48" s="24">
        <v>15</v>
      </c>
      <c r="W48" s="24">
        <f t="shared" si="9"/>
        <v>943</v>
      </c>
      <c r="X48" s="27">
        <f t="shared" si="10"/>
        <v>126</v>
      </c>
      <c r="Y48" s="28">
        <v>3</v>
      </c>
      <c r="Z48" s="6">
        <v>-4.12</v>
      </c>
      <c r="AA48" s="6">
        <v>-1</v>
      </c>
      <c r="AB48" s="6">
        <f t="shared" si="11"/>
        <v>2</v>
      </c>
      <c r="AC48" s="31">
        <f t="shared" si="4"/>
        <v>5</v>
      </c>
      <c r="AD48" s="31">
        <f t="shared" si="5"/>
        <v>-1.9333333333333336</v>
      </c>
      <c r="AE48" s="32">
        <f t="shared" si="0"/>
        <v>-0.18966000000000002</v>
      </c>
      <c r="AF48" s="20">
        <v>0.04</v>
      </c>
      <c r="AG48" s="21">
        <f t="shared" si="1"/>
        <v>272.71800000000002</v>
      </c>
      <c r="AH48" s="21">
        <f t="shared" si="12"/>
        <v>12.703932000000002</v>
      </c>
      <c r="AI48" s="21">
        <f t="shared" si="6"/>
        <v>-5656.2338652236467</v>
      </c>
      <c r="AJ48" s="21">
        <f t="shared" si="2"/>
        <v>-5370.8119332236465</v>
      </c>
      <c r="AK48" s="34">
        <f t="shared" si="3"/>
        <v>-26854.059666118232</v>
      </c>
      <c r="AL48" s="34">
        <f t="shared" si="7"/>
        <v>86510.059666118235</v>
      </c>
      <c r="AM48" s="35">
        <f t="shared" si="8"/>
        <v>-213.127457667605</v>
      </c>
    </row>
    <row r="49" spans="21:39" x14ac:dyDescent="0.25">
      <c r="U49" s="22" t="s">
        <v>60</v>
      </c>
      <c r="V49" s="24">
        <v>12</v>
      </c>
      <c r="W49" s="24">
        <f t="shared" si="9"/>
        <v>955</v>
      </c>
      <c r="X49" s="27">
        <f t="shared" si="10"/>
        <v>129</v>
      </c>
      <c r="Y49" s="28">
        <v>3</v>
      </c>
      <c r="Z49" s="6">
        <v>0</v>
      </c>
      <c r="AA49" s="6">
        <v>0</v>
      </c>
      <c r="AB49" s="6">
        <f t="shared" si="11"/>
        <v>2</v>
      </c>
      <c r="AC49" s="31">
        <f t="shared" si="4"/>
        <v>4</v>
      </c>
      <c r="AD49" s="31">
        <f t="shared" si="5"/>
        <v>-0.33333333333333331</v>
      </c>
      <c r="AE49" s="32">
        <f t="shared" si="0"/>
        <v>-3.27E-2</v>
      </c>
      <c r="AF49" s="20">
        <v>0.04</v>
      </c>
      <c r="AG49" s="21">
        <f t="shared" si="1"/>
        <v>272.71800000000002</v>
      </c>
      <c r="AH49" s="21">
        <f t="shared" si="12"/>
        <v>8.1305164800000007</v>
      </c>
      <c r="AI49" s="21">
        <f t="shared" si="6"/>
        <v>0</v>
      </c>
      <c r="AJ49" s="21">
        <f t="shared" si="2"/>
        <v>280.84851648</v>
      </c>
      <c r="AK49" s="34">
        <f t="shared" si="3"/>
        <v>1123.39406592</v>
      </c>
      <c r="AL49" s="34">
        <f t="shared" si="7"/>
        <v>58532.605934079998</v>
      </c>
      <c r="AM49" s="35">
        <f t="shared" si="8"/>
        <v>8.7084811311627899</v>
      </c>
    </row>
    <row r="50" spans="21:39" x14ac:dyDescent="0.25">
      <c r="U50" s="22" t="s">
        <v>61</v>
      </c>
      <c r="V50" s="24">
        <v>23</v>
      </c>
      <c r="W50" s="24">
        <f t="shared" si="9"/>
        <v>978</v>
      </c>
      <c r="X50" s="27">
        <f t="shared" si="10"/>
        <v>133</v>
      </c>
      <c r="Y50" s="28">
        <v>4</v>
      </c>
      <c r="Z50" s="6">
        <v>-5.31</v>
      </c>
      <c r="AA50" s="6">
        <v>-2</v>
      </c>
      <c r="AB50" s="6">
        <f t="shared" si="11"/>
        <v>0</v>
      </c>
      <c r="AC50" s="31">
        <f t="shared" si="4"/>
        <v>5.75</v>
      </c>
      <c r="AD50" s="31">
        <f t="shared" si="5"/>
        <v>0.4375</v>
      </c>
      <c r="AE50" s="32">
        <f t="shared" si="0"/>
        <v>4.2918750000000006E-2</v>
      </c>
      <c r="AF50" s="20">
        <v>0.04</v>
      </c>
      <c r="AG50" s="21">
        <f t="shared" si="1"/>
        <v>272.71800000000002</v>
      </c>
      <c r="AH50" s="21">
        <f t="shared" si="12"/>
        <v>16.800950070000003</v>
      </c>
      <c r="AI50" s="21">
        <f t="shared" si="6"/>
        <v>-5636.2777570771123</v>
      </c>
      <c r="AJ50" s="21">
        <f t="shared" si="2"/>
        <v>-5346.7588070071124</v>
      </c>
      <c r="AK50" s="34">
        <f t="shared" si="3"/>
        <v>-30743.863140290898</v>
      </c>
      <c r="AL50" s="34">
        <f t="shared" si="7"/>
        <v>90399.863140290894</v>
      </c>
      <c r="AM50" s="35">
        <f t="shared" si="8"/>
        <v>-231.15686571647291</v>
      </c>
    </row>
    <row r="51" spans="21:39" x14ac:dyDescent="0.25">
      <c r="U51" s="22" t="s">
        <v>62</v>
      </c>
      <c r="V51" s="24">
        <v>132</v>
      </c>
      <c r="W51" s="24">
        <f t="shared" si="9"/>
        <v>1110</v>
      </c>
      <c r="X51" s="27">
        <f t="shared" si="10"/>
        <v>139</v>
      </c>
      <c r="Y51" s="28">
        <v>6</v>
      </c>
      <c r="Z51" s="6">
        <v>0</v>
      </c>
      <c r="AA51" s="6">
        <v>0</v>
      </c>
      <c r="AB51" s="6">
        <f t="shared" si="11"/>
        <v>0</v>
      </c>
      <c r="AC51" s="31">
        <f t="shared" si="4"/>
        <v>22</v>
      </c>
      <c r="AD51" s="31">
        <f t="shared" si="5"/>
        <v>2.7083333333333335</v>
      </c>
      <c r="AE51" s="32">
        <f t="shared" si="0"/>
        <v>0.26568750000000002</v>
      </c>
      <c r="AF51" s="20">
        <v>0.04</v>
      </c>
      <c r="AG51" s="21">
        <f t="shared" si="1"/>
        <v>272.71800000000002</v>
      </c>
      <c r="AH51" s="21">
        <f t="shared" si="12"/>
        <v>245.94812352000002</v>
      </c>
      <c r="AI51" s="21">
        <f t="shared" si="6"/>
        <v>0</v>
      </c>
      <c r="AJ51" s="21">
        <f t="shared" si="2"/>
        <v>518.66612352000004</v>
      </c>
      <c r="AK51" s="34">
        <f t="shared" si="3"/>
        <v>11410.65471744</v>
      </c>
      <c r="AL51" s="34">
        <f t="shared" si="7"/>
        <v>48245.345282559996</v>
      </c>
      <c r="AM51" s="35">
        <f t="shared" si="8"/>
        <v>82.091041132661871</v>
      </c>
    </row>
    <row r="52" spans="21:39" x14ac:dyDescent="0.25">
      <c r="U52" s="22" t="s">
        <v>63</v>
      </c>
      <c r="V52" s="24">
        <v>14</v>
      </c>
      <c r="W52" s="24">
        <f t="shared" si="9"/>
        <v>1124</v>
      </c>
      <c r="X52" s="27">
        <f t="shared" si="10"/>
        <v>142</v>
      </c>
      <c r="Y52" s="28">
        <v>3</v>
      </c>
      <c r="Z52" s="6">
        <v>-3.73</v>
      </c>
      <c r="AA52" s="6">
        <v>-1</v>
      </c>
      <c r="AB52" s="6">
        <f t="shared" si="11"/>
        <v>-1</v>
      </c>
      <c r="AC52" s="31">
        <f t="shared" si="4"/>
        <v>4.666666666666667</v>
      </c>
      <c r="AD52" s="31">
        <f t="shared" si="5"/>
        <v>-5.7777777777777777</v>
      </c>
      <c r="AE52" s="32">
        <f t="shared" si="0"/>
        <v>-0.56680000000000008</v>
      </c>
      <c r="AF52" s="20">
        <v>0.04</v>
      </c>
      <c r="AG52" s="21">
        <f t="shared" si="1"/>
        <v>272.71800000000002</v>
      </c>
      <c r="AH52" s="21">
        <f t="shared" si="12"/>
        <v>11.066536320000003</v>
      </c>
      <c r="AI52" s="21">
        <f t="shared" si="6"/>
        <v>-3784.213949619812</v>
      </c>
      <c r="AJ52" s="21">
        <f t="shared" si="2"/>
        <v>-3500.429413299812</v>
      </c>
      <c r="AK52" s="34">
        <f t="shared" si="3"/>
        <v>-16335.33726206579</v>
      </c>
      <c r="AL52" s="34">
        <f t="shared" si="7"/>
        <v>75991.33726206579</v>
      </c>
      <c r="AM52" s="35">
        <f t="shared" si="8"/>
        <v>-115.03758635257599</v>
      </c>
    </row>
    <row r="53" spans="21:39" x14ac:dyDescent="0.25">
      <c r="U53" s="22" t="s">
        <v>64</v>
      </c>
      <c r="V53" s="24">
        <v>5</v>
      </c>
      <c r="W53" s="24">
        <f t="shared" si="9"/>
        <v>1129</v>
      </c>
      <c r="X53" s="27">
        <f t="shared" si="10"/>
        <v>143</v>
      </c>
      <c r="Y53" s="28">
        <v>1</v>
      </c>
      <c r="Z53" s="6">
        <v>0</v>
      </c>
      <c r="AA53" s="6">
        <v>0</v>
      </c>
      <c r="AB53" s="6">
        <f t="shared" si="11"/>
        <v>-1</v>
      </c>
      <c r="AC53" s="31">
        <f t="shared" si="4"/>
        <v>5</v>
      </c>
      <c r="AD53" s="31">
        <f t="shared" si="5"/>
        <v>0.33333333333333304</v>
      </c>
      <c r="AE53" s="32">
        <f t="shared" si="0"/>
        <v>3.2699999999999972E-2</v>
      </c>
      <c r="AF53" s="20">
        <v>0.04</v>
      </c>
      <c r="AG53" s="21">
        <f t="shared" si="1"/>
        <v>272.71800000000002</v>
      </c>
      <c r="AH53" s="21">
        <f t="shared" si="12"/>
        <v>12.703932000000002</v>
      </c>
      <c r="AI53" s="21">
        <f t="shared" si="6"/>
        <v>0</v>
      </c>
      <c r="AJ53" s="21">
        <f t="shared" si="2"/>
        <v>285.42193200000003</v>
      </c>
      <c r="AK53" s="34">
        <f t="shared" si="3"/>
        <v>1427.1096600000001</v>
      </c>
      <c r="AL53" s="34">
        <f t="shared" si="7"/>
        <v>58228.890339999998</v>
      </c>
      <c r="AM53" s="35">
        <f t="shared" si="8"/>
        <v>9.9797878321678333</v>
      </c>
    </row>
    <row r="54" spans="21:39" x14ac:dyDescent="0.25">
      <c r="U54" s="22" t="s">
        <v>65</v>
      </c>
      <c r="V54" s="24">
        <v>17</v>
      </c>
      <c r="W54" s="24">
        <f t="shared" si="9"/>
        <v>1146</v>
      </c>
      <c r="X54" s="27">
        <f t="shared" si="10"/>
        <v>147</v>
      </c>
      <c r="Y54" s="28">
        <v>4</v>
      </c>
      <c r="Z54" s="6">
        <v>9.0299999999999994</v>
      </c>
      <c r="AA54" s="6">
        <v>3</v>
      </c>
      <c r="AB54" s="6">
        <f t="shared" si="11"/>
        <v>2</v>
      </c>
      <c r="AC54" s="31">
        <f t="shared" si="4"/>
        <v>4.25</v>
      </c>
      <c r="AD54" s="31">
        <f t="shared" si="5"/>
        <v>-0.1875</v>
      </c>
      <c r="AE54" s="32">
        <f t="shared" si="0"/>
        <v>-1.839375E-2</v>
      </c>
      <c r="AF54" s="20">
        <v>0.04</v>
      </c>
      <c r="AG54" s="21">
        <f t="shared" si="1"/>
        <v>272.71800000000002</v>
      </c>
      <c r="AH54" s="21">
        <f t="shared" si="12"/>
        <v>9.1785908700000007</v>
      </c>
      <c r="AI54" s="21">
        <f t="shared" si="6"/>
        <v>-2622.2056456842988</v>
      </c>
      <c r="AJ54" s="21">
        <f t="shared" si="2"/>
        <v>-2340.3090548142986</v>
      </c>
      <c r="AK54" s="34">
        <f t="shared" si="3"/>
        <v>-9946.3134829607698</v>
      </c>
      <c r="AL54" s="34">
        <f t="shared" si="7"/>
        <v>69602.313482960773</v>
      </c>
      <c r="AM54" s="35">
        <f t="shared" si="8"/>
        <v>-67.661996482726323</v>
      </c>
    </row>
    <row r="55" spans="21:39" x14ac:dyDescent="0.25">
      <c r="U55" s="22" t="s">
        <v>66</v>
      </c>
      <c r="V55" s="24">
        <v>20</v>
      </c>
      <c r="W55" s="24">
        <f t="shared" si="9"/>
        <v>1166</v>
      </c>
      <c r="X55" s="27">
        <f t="shared" si="10"/>
        <v>150</v>
      </c>
      <c r="Y55" s="28">
        <v>3</v>
      </c>
      <c r="Z55" s="6">
        <v>0</v>
      </c>
      <c r="AA55" s="6">
        <v>0</v>
      </c>
      <c r="AB55" s="6">
        <f t="shared" si="11"/>
        <v>2</v>
      </c>
      <c r="AC55" s="31">
        <f t="shared" si="4"/>
        <v>6.666666666666667</v>
      </c>
      <c r="AD55" s="31">
        <f t="shared" si="5"/>
        <v>0.80555555555555569</v>
      </c>
      <c r="AE55" s="32">
        <f t="shared" si="0"/>
        <v>7.9025000000000012E-2</v>
      </c>
      <c r="AF55" s="20">
        <v>0.04</v>
      </c>
      <c r="AG55" s="21">
        <f t="shared" si="1"/>
        <v>272.71800000000002</v>
      </c>
      <c r="AH55" s="21">
        <f t="shared" si="12"/>
        <v>22.584768000000004</v>
      </c>
      <c r="AI55" s="21">
        <f t="shared" si="6"/>
        <v>0</v>
      </c>
      <c r="AJ55" s="21">
        <f t="shared" si="2"/>
        <v>295.30276800000001</v>
      </c>
      <c r="AK55" s="34">
        <f t="shared" si="3"/>
        <v>1968.6851200000001</v>
      </c>
      <c r="AL55" s="34">
        <f t="shared" si="7"/>
        <v>57687.314879999998</v>
      </c>
      <c r="AM55" s="35">
        <f t="shared" si="8"/>
        <v>13.124567466666667</v>
      </c>
    </row>
    <row r="56" spans="21:39" x14ac:dyDescent="0.25">
      <c r="U56" s="22" t="s">
        <v>67</v>
      </c>
      <c r="V56" s="24">
        <v>9</v>
      </c>
      <c r="W56" s="24">
        <f t="shared" si="9"/>
        <v>1175</v>
      </c>
      <c r="X56" s="27">
        <f t="shared" si="10"/>
        <v>154</v>
      </c>
      <c r="Y56" s="28">
        <v>4</v>
      </c>
      <c r="Z56" s="6">
        <v>6.59</v>
      </c>
      <c r="AA56" s="6">
        <v>1</v>
      </c>
      <c r="AB56" s="6">
        <f t="shared" si="11"/>
        <v>3</v>
      </c>
      <c r="AC56" s="31">
        <f t="shared" si="4"/>
        <v>2.25</v>
      </c>
      <c r="AD56" s="31">
        <f t="shared" si="5"/>
        <v>-1.1041666666666667</v>
      </c>
      <c r="AE56" s="32">
        <f t="shared" si="0"/>
        <v>-0.10831875000000002</v>
      </c>
      <c r="AF56" s="20">
        <v>0.04</v>
      </c>
      <c r="AG56" s="21">
        <f t="shared" si="1"/>
        <v>272.71800000000002</v>
      </c>
      <c r="AH56" s="21">
        <f t="shared" si="12"/>
        <v>2.5725462300000004</v>
      </c>
      <c r="AI56" s="21">
        <f t="shared" si="6"/>
        <v>-2059.18193334331</v>
      </c>
      <c r="AJ56" s="21">
        <f t="shared" si="2"/>
        <v>-1783.89138711331</v>
      </c>
      <c r="AK56" s="34">
        <f t="shared" si="3"/>
        <v>-4013.7556210049474</v>
      </c>
      <c r="AL56" s="34">
        <f t="shared" si="7"/>
        <v>63669.755621004944</v>
      </c>
      <c r="AM56" s="35">
        <f t="shared" si="8"/>
        <v>-26.063348188343813</v>
      </c>
    </row>
    <row r="57" spans="21:39" x14ac:dyDescent="0.25">
      <c r="U57" s="22" t="s">
        <v>68</v>
      </c>
      <c r="V57" s="24">
        <v>28</v>
      </c>
      <c r="W57" s="24">
        <f t="shared" si="9"/>
        <v>1203</v>
      </c>
      <c r="X57" s="27">
        <f t="shared" si="10"/>
        <v>158</v>
      </c>
      <c r="Y57" s="28">
        <v>4</v>
      </c>
      <c r="Z57" s="6">
        <v>0</v>
      </c>
      <c r="AA57" s="6">
        <v>0</v>
      </c>
      <c r="AB57" s="6">
        <f t="shared" si="11"/>
        <v>3</v>
      </c>
      <c r="AC57" s="31">
        <f t="shared" si="4"/>
        <v>7</v>
      </c>
      <c r="AD57" s="31">
        <f t="shared" si="5"/>
        <v>1.1875</v>
      </c>
      <c r="AE57" s="32">
        <f t="shared" si="0"/>
        <v>0.11649375000000001</v>
      </c>
      <c r="AF57" s="20">
        <v>0.04</v>
      </c>
      <c r="AG57" s="21">
        <f t="shared" si="1"/>
        <v>272.71800000000002</v>
      </c>
      <c r="AH57" s="21">
        <f t="shared" si="12"/>
        <v>24.899706720000001</v>
      </c>
      <c r="AI57" s="21">
        <f t="shared" si="6"/>
        <v>0</v>
      </c>
      <c r="AJ57" s="21">
        <f t="shared" si="2"/>
        <v>297.61770672</v>
      </c>
      <c r="AK57" s="34">
        <f t="shared" si="3"/>
        <v>2083.3239470399999</v>
      </c>
      <c r="AL57" s="34">
        <f t="shared" si="7"/>
        <v>57572.67605296</v>
      </c>
      <c r="AM57" s="35">
        <f t="shared" si="8"/>
        <v>13.185594601518988</v>
      </c>
    </row>
    <row r="58" spans="21:39" x14ac:dyDescent="0.25">
      <c r="U58" s="22" t="s">
        <v>69</v>
      </c>
      <c r="V58" s="24">
        <v>14</v>
      </c>
      <c r="W58" s="24">
        <f t="shared" si="9"/>
        <v>1217</v>
      </c>
      <c r="X58" s="27">
        <f t="shared" si="10"/>
        <v>163</v>
      </c>
      <c r="Y58" s="28">
        <v>5</v>
      </c>
      <c r="Z58" s="6">
        <v>3.72</v>
      </c>
      <c r="AA58" s="6">
        <v>1</v>
      </c>
      <c r="AB58" s="6">
        <f t="shared" si="11"/>
        <v>4</v>
      </c>
      <c r="AC58" s="31">
        <f t="shared" si="4"/>
        <v>2.8</v>
      </c>
      <c r="AD58" s="31">
        <f t="shared" si="5"/>
        <v>-0.84000000000000008</v>
      </c>
      <c r="AE58" s="32">
        <f t="shared" si="0"/>
        <v>-8.2404000000000019E-2</v>
      </c>
      <c r="AF58" s="20">
        <v>0.04</v>
      </c>
      <c r="AG58" s="21">
        <f t="shared" si="1"/>
        <v>272.71800000000002</v>
      </c>
      <c r="AH58" s="21">
        <f t="shared" si="12"/>
        <v>3.9839530751999996</v>
      </c>
      <c r="AI58" s="21">
        <f t="shared" si="6"/>
        <v>3727.3122243660468</v>
      </c>
      <c r="AJ58" s="21">
        <f t="shared" si="2"/>
        <v>4004.0141774412468</v>
      </c>
      <c r="AK58" s="34">
        <f t="shared" si="3"/>
        <v>11211.23969683549</v>
      </c>
      <c r="AL58" s="34">
        <f t="shared" si="7"/>
        <v>48444.760303164512</v>
      </c>
      <c r="AM58" s="35">
        <f t="shared" si="8"/>
        <v>68.780611637027548</v>
      </c>
    </row>
    <row r="59" spans="21:39" x14ac:dyDescent="0.25">
      <c r="U59" s="22" t="s">
        <v>70</v>
      </c>
      <c r="V59" s="24">
        <v>59</v>
      </c>
      <c r="W59" s="24">
        <f t="shared" si="9"/>
        <v>1276</v>
      </c>
      <c r="X59" s="27">
        <f t="shared" si="10"/>
        <v>166</v>
      </c>
      <c r="Y59" s="28">
        <v>3</v>
      </c>
      <c r="Z59" s="6">
        <v>0</v>
      </c>
      <c r="AA59" s="6">
        <v>0</v>
      </c>
      <c r="AB59" s="6">
        <f t="shared" si="11"/>
        <v>4</v>
      </c>
      <c r="AC59" s="31">
        <f t="shared" si="4"/>
        <v>19.666666666666668</v>
      </c>
      <c r="AD59" s="31">
        <f t="shared" si="5"/>
        <v>5.6222222222222227</v>
      </c>
      <c r="AE59" s="32">
        <f t="shared" si="0"/>
        <v>0.55154000000000003</v>
      </c>
      <c r="AF59" s="20">
        <v>0.04</v>
      </c>
      <c r="AG59" s="21">
        <f t="shared" si="1"/>
        <v>272.71800000000002</v>
      </c>
      <c r="AH59" s="21">
        <f t="shared" si="12"/>
        <v>196.54394352000006</v>
      </c>
      <c r="AI59" s="21">
        <f t="shared" si="6"/>
        <v>0</v>
      </c>
      <c r="AJ59" s="21">
        <f t="shared" si="2"/>
        <v>469.26194352000005</v>
      </c>
      <c r="AK59" s="34">
        <f t="shared" si="3"/>
        <v>9228.8182225600012</v>
      </c>
      <c r="AL59" s="34">
        <f t="shared" si="7"/>
        <v>50427.181777439997</v>
      </c>
      <c r="AM59" s="35">
        <f t="shared" si="8"/>
        <v>55.595290497349403</v>
      </c>
    </row>
    <row r="60" spans="21:39" x14ac:dyDescent="0.25">
      <c r="U60" s="22" t="s">
        <v>71</v>
      </c>
      <c r="V60" s="24">
        <v>9</v>
      </c>
      <c r="W60" s="24">
        <f t="shared" si="9"/>
        <v>1285</v>
      </c>
      <c r="X60" s="27">
        <f t="shared" si="10"/>
        <v>170</v>
      </c>
      <c r="Y60" s="28">
        <v>4</v>
      </c>
      <c r="Z60" s="6">
        <v>-12.9</v>
      </c>
      <c r="AA60" s="6">
        <v>-2</v>
      </c>
      <c r="AB60" s="6">
        <f t="shared" si="11"/>
        <v>2</v>
      </c>
      <c r="AC60" s="31">
        <f t="shared" si="4"/>
        <v>2.25</v>
      </c>
      <c r="AD60" s="31">
        <f t="shared" si="5"/>
        <v>-4.354166666666667</v>
      </c>
      <c r="AE60" s="32">
        <f t="shared" si="0"/>
        <v>-0.42714375000000004</v>
      </c>
      <c r="AF60" s="20">
        <v>0.04</v>
      </c>
      <c r="AG60" s="21">
        <f t="shared" si="1"/>
        <v>272.71800000000002</v>
      </c>
      <c r="AH60" s="21">
        <f t="shared" si="12"/>
        <v>2.5725462300000004</v>
      </c>
      <c r="AI60" s="21">
        <f t="shared" si="6"/>
        <v>2232.7043523188345</v>
      </c>
      <c r="AJ60" s="21">
        <f t="shared" si="2"/>
        <v>2507.9948985488345</v>
      </c>
      <c r="AK60" s="34">
        <f t="shared" si="3"/>
        <v>5642.9885217348774</v>
      </c>
      <c r="AL60" s="34">
        <f t="shared" si="7"/>
        <v>54013.011478265122</v>
      </c>
      <c r="AM60" s="35">
        <f t="shared" si="8"/>
        <v>33.194050127852222</v>
      </c>
    </row>
    <row r="61" spans="21:39" x14ac:dyDescent="0.25">
      <c r="U61" s="22" t="s">
        <v>72</v>
      </c>
      <c r="V61" s="24">
        <v>4</v>
      </c>
      <c r="W61" s="24">
        <f t="shared" si="9"/>
        <v>1289</v>
      </c>
      <c r="X61" s="27">
        <f t="shared" si="10"/>
        <v>175</v>
      </c>
      <c r="Y61" s="28">
        <v>5</v>
      </c>
      <c r="Z61" s="6">
        <v>0</v>
      </c>
      <c r="AA61" s="6">
        <v>0</v>
      </c>
      <c r="AB61" s="6">
        <f t="shared" si="11"/>
        <v>2</v>
      </c>
      <c r="AC61" s="31">
        <f t="shared" si="4"/>
        <v>0.8</v>
      </c>
      <c r="AD61" s="31">
        <f t="shared" si="5"/>
        <v>-0.28999999999999998</v>
      </c>
      <c r="AE61" s="32">
        <f t="shared" si="0"/>
        <v>-2.8448999999999999E-2</v>
      </c>
      <c r="AF61" s="20">
        <v>0.04</v>
      </c>
      <c r="AG61" s="21">
        <f t="shared" si="1"/>
        <v>272.71800000000002</v>
      </c>
      <c r="AH61" s="21">
        <f t="shared" si="12"/>
        <v>0.3252206592000001</v>
      </c>
      <c r="AI61" s="21">
        <f t="shared" si="6"/>
        <v>0</v>
      </c>
      <c r="AJ61" s="21">
        <f t="shared" si="2"/>
        <v>273.04322065920002</v>
      </c>
      <c r="AK61" s="34">
        <f t="shared" si="3"/>
        <v>218.43457652736004</v>
      </c>
      <c r="AL61" s="34">
        <f t="shared" si="7"/>
        <v>59437.565423472639</v>
      </c>
      <c r="AM61" s="35">
        <f t="shared" si="8"/>
        <v>1.248197580156343</v>
      </c>
    </row>
    <row r="62" spans="21:39" x14ac:dyDescent="0.25">
      <c r="U62" s="22" t="s">
        <v>73</v>
      </c>
      <c r="V62" s="24">
        <v>11</v>
      </c>
      <c r="W62" s="24">
        <f t="shared" si="9"/>
        <v>1300</v>
      </c>
      <c r="X62" s="27">
        <f t="shared" si="10"/>
        <v>180</v>
      </c>
      <c r="Y62" s="28">
        <v>5</v>
      </c>
      <c r="Z62" s="6">
        <v>-8.49</v>
      </c>
      <c r="AA62" s="6">
        <v>-2</v>
      </c>
      <c r="AB62" s="6">
        <f t="shared" si="11"/>
        <v>0</v>
      </c>
      <c r="AC62" s="31">
        <f t="shared" si="4"/>
        <v>2.2000000000000002</v>
      </c>
      <c r="AD62" s="31">
        <f t="shared" si="5"/>
        <v>0.28000000000000003</v>
      </c>
      <c r="AE62" s="32">
        <f t="shared" si="0"/>
        <v>2.7468000000000003E-2</v>
      </c>
      <c r="AF62" s="20">
        <v>0.04</v>
      </c>
      <c r="AG62" s="21">
        <f t="shared" si="1"/>
        <v>272.71800000000002</v>
      </c>
      <c r="AH62" s="21">
        <f t="shared" si="12"/>
        <v>2.4594812352000006</v>
      </c>
      <c r="AI62" s="21">
        <f t="shared" si="6"/>
        <v>5484.8171959605397</v>
      </c>
      <c r="AJ62" s="21">
        <f t="shared" si="2"/>
        <v>5759.9946771957393</v>
      </c>
      <c r="AK62" s="34">
        <f t="shared" si="3"/>
        <v>12671.988289830628</v>
      </c>
      <c r="AL62" s="34">
        <f t="shared" si="7"/>
        <v>46984.011710169376</v>
      </c>
      <c r="AM62" s="35">
        <f t="shared" si="8"/>
        <v>70.399934943503482</v>
      </c>
    </row>
    <row r="63" spans="21:39" x14ac:dyDescent="0.25">
      <c r="U63" s="22" t="s">
        <v>74</v>
      </c>
      <c r="V63" s="24">
        <v>50</v>
      </c>
      <c r="W63" s="24">
        <f t="shared" si="9"/>
        <v>1350</v>
      </c>
      <c r="X63" s="27">
        <f t="shared" si="10"/>
        <v>183</v>
      </c>
      <c r="Y63" s="28">
        <v>3</v>
      </c>
      <c r="Z63" s="6">
        <v>0</v>
      </c>
      <c r="AA63" s="6">
        <v>0</v>
      </c>
      <c r="AB63" s="6">
        <f t="shared" si="11"/>
        <v>0</v>
      </c>
      <c r="AC63" s="31">
        <f t="shared" si="4"/>
        <v>16.666666666666668</v>
      </c>
      <c r="AD63" s="31">
        <f t="shared" si="5"/>
        <v>4.8222222222222229</v>
      </c>
      <c r="AE63" s="32">
        <f t="shared" si="0"/>
        <v>0.47306000000000009</v>
      </c>
      <c r="AF63" s="20">
        <v>0.04</v>
      </c>
      <c r="AG63" s="21">
        <f t="shared" si="1"/>
        <v>272.71800000000002</v>
      </c>
      <c r="AH63" s="21">
        <f t="shared" si="12"/>
        <v>141.15480000000005</v>
      </c>
      <c r="AI63" s="21">
        <f t="shared" si="6"/>
        <v>0</v>
      </c>
      <c r="AJ63" s="21">
        <f t="shared" si="2"/>
        <v>413.8728000000001</v>
      </c>
      <c r="AK63" s="34">
        <f t="shared" si="3"/>
        <v>6897.8800000000019</v>
      </c>
      <c r="AL63" s="34">
        <f t="shared" si="7"/>
        <v>52758.119999999995</v>
      </c>
      <c r="AM63" s="35">
        <f t="shared" si="8"/>
        <v>37.693333333333342</v>
      </c>
    </row>
  </sheetData>
  <mergeCells count="2">
    <mergeCell ref="U22:AM22"/>
    <mergeCell ref="E4:H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F2D3F-4647-4FCD-946B-DD38DF2C51F5}">
  <dimension ref="A2:AQ210"/>
  <sheetViews>
    <sheetView topLeftCell="S1" zoomScale="60" zoomScaleNormal="60" workbookViewId="0">
      <selection activeCell="Q7" sqref="Q7"/>
    </sheetView>
  </sheetViews>
  <sheetFormatPr defaultRowHeight="15" x14ac:dyDescent="0.25"/>
  <cols>
    <col min="2" max="2" width="30" bestFit="1" customWidth="1"/>
    <col min="3" max="3" width="20.7109375" customWidth="1"/>
    <col min="4" max="4" width="9.7109375" customWidth="1"/>
    <col min="5" max="5" width="19.85546875" bestFit="1" customWidth="1"/>
    <col min="6" max="6" width="23" bestFit="1" customWidth="1"/>
    <col min="7" max="7" width="10.5703125" bestFit="1" customWidth="1"/>
    <col min="8" max="8" width="23.140625" bestFit="1" customWidth="1"/>
    <col min="9" max="9" width="9.7109375" bestFit="1" customWidth="1"/>
    <col min="11" max="11" width="25.5703125" customWidth="1"/>
    <col min="12" max="12" width="10.5703125" bestFit="1" customWidth="1"/>
    <col min="14" max="14" width="19" customWidth="1"/>
    <col min="15" max="15" width="14.7109375" bestFit="1" customWidth="1"/>
    <col min="17" max="17" width="27.28515625" bestFit="1" customWidth="1"/>
    <col min="18" max="18" width="14.7109375" bestFit="1" customWidth="1"/>
    <col min="21" max="21" width="11.85546875" customWidth="1"/>
    <col min="22" max="22" width="16.7109375" customWidth="1"/>
    <col min="23" max="23" width="23" bestFit="1" customWidth="1"/>
    <col min="24" max="24" width="26.42578125" bestFit="1" customWidth="1"/>
    <col min="25" max="25" width="11.5703125" bestFit="1" customWidth="1"/>
    <col min="26" max="26" width="9.140625" bestFit="1" customWidth="1"/>
    <col min="27" max="27" width="17.7109375" bestFit="1" customWidth="1"/>
    <col min="28" max="28" width="30.7109375" bestFit="1" customWidth="1"/>
    <col min="29" max="29" width="9.7109375" customWidth="1"/>
    <col min="30" max="30" width="10.7109375" bestFit="1" customWidth="1"/>
    <col min="31" max="31" width="15.7109375" bestFit="1" customWidth="1"/>
    <col min="32" max="32" width="13.140625" bestFit="1" customWidth="1"/>
    <col min="33" max="33" width="9.7109375" bestFit="1" customWidth="1"/>
    <col min="34" max="34" width="19.42578125" bestFit="1" customWidth="1"/>
    <col min="35" max="35" width="19.140625" bestFit="1" customWidth="1"/>
    <col min="36" max="36" width="15.7109375" bestFit="1" customWidth="1"/>
    <col min="37" max="38" width="20.7109375" customWidth="1"/>
    <col min="39" max="39" width="19.5703125" bestFit="1" customWidth="1"/>
    <col min="40" max="40" width="21.5703125" bestFit="1" customWidth="1"/>
    <col min="41" max="41" width="23.5703125" bestFit="1" customWidth="1"/>
    <col min="42" max="42" width="38.5703125" bestFit="1" customWidth="1"/>
    <col min="43" max="43" width="18.140625" bestFit="1" customWidth="1"/>
    <col min="44" max="44" width="8.28515625" customWidth="1"/>
  </cols>
  <sheetData>
    <row r="2" spans="1:21" x14ac:dyDescent="0.25">
      <c r="B2" s="9" t="s">
        <v>1</v>
      </c>
      <c r="C2" s="13">
        <v>963</v>
      </c>
      <c r="D2" s="15"/>
      <c r="E2" s="270" t="s">
        <v>9</v>
      </c>
      <c r="F2" s="271"/>
      <c r="G2" s="271"/>
      <c r="H2" s="272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x14ac:dyDescent="0.25">
      <c r="B3" s="9" t="s">
        <v>2</v>
      </c>
      <c r="C3" s="13">
        <v>80</v>
      </c>
      <c r="D3" s="17"/>
      <c r="E3" s="5" t="s">
        <v>4</v>
      </c>
      <c r="F3" s="6" t="s">
        <v>14</v>
      </c>
      <c r="G3" s="7" t="s">
        <v>5</v>
      </c>
      <c r="H3" s="8">
        <v>80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ht="15.75" thickBot="1" x14ac:dyDescent="0.3">
      <c r="B4" s="9" t="s">
        <v>3</v>
      </c>
      <c r="C4" s="13">
        <v>82</v>
      </c>
      <c r="D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48"/>
      <c r="B5" s="43" t="s">
        <v>95</v>
      </c>
      <c r="C5" s="150">
        <v>59656</v>
      </c>
      <c r="D5" s="149"/>
      <c r="E5" s="14" t="s">
        <v>18</v>
      </c>
      <c r="F5" s="13">
        <v>60</v>
      </c>
      <c r="H5" s="7" t="s">
        <v>214</v>
      </c>
      <c r="I5" s="4">
        <f>0.16*C5</f>
        <v>9544.9600000000009</v>
      </c>
      <c r="J5" s="17"/>
      <c r="K5" s="254" t="s">
        <v>216</v>
      </c>
      <c r="L5" s="255">
        <f>0.005*I6</f>
        <v>250.55520000000001</v>
      </c>
      <c r="M5" s="256"/>
      <c r="N5" s="257" t="s">
        <v>218</v>
      </c>
      <c r="O5" s="258">
        <f>0.1*L6</f>
        <v>4986.0484800000004</v>
      </c>
      <c r="P5" s="256"/>
      <c r="Q5" s="259" t="s">
        <v>220</v>
      </c>
      <c r="R5" s="260">
        <f>0.01*O6</f>
        <v>448.74436320000001</v>
      </c>
      <c r="S5" s="17"/>
      <c r="T5" s="17"/>
      <c r="U5" s="17"/>
    </row>
    <row r="6" spans="1:21" ht="15.75" thickBot="1" x14ac:dyDescent="0.3">
      <c r="B6" s="9" t="s">
        <v>8</v>
      </c>
      <c r="C6" s="4">
        <v>695</v>
      </c>
      <c r="D6" s="15"/>
      <c r="H6" s="7" t="s">
        <v>215</v>
      </c>
      <c r="I6" s="252">
        <f>C5-I5</f>
        <v>50111.040000000001</v>
      </c>
      <c r="J6" s="15"/>
      <c r="K6" s="261" t="s">
        <v>217</v>
      </c>
      <c r="L6" s="262">
        <f>I6-L5</f>
        <v>49860.484799999998</v>
      </c>
      <c r="M6" s="263"/>
      <c r="N6" s="264" t="s">
        <v>219</v>
      </c>
      <c r="O6" s="265">
        <f>L6-O5</f>
        <v>44874.436320000001</v>
      </c>
      <c r="P6" s="266"/>
      <c r="Q6" s="267" t="s">
        <v>221</v>
      </c>
      <c r="R6" s="268">
        <f>O6-R5</f>
        <v>44425.691956800001</v>
      </c>
      <c r="S6" s="17"/>
      <c r="T6" s="17"/>
      <c r="U6" s="17"/>
    </row>
    <row r="7" spans="1:21" x14ac:dyDescent="0.25">
      <c r="B7" s="9" t="s">
        <v>6</v>
      </c>
      <c r="C7" s="4" t="s">
        <v>7</v>
      </c>
      <c r="D7" s="17"/>
      <c r="E7" s="7" t="s">
        <v>22</v>
      </c>
      <c r="F7" s="13">
        <v>7.3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x14ac:dyDescent="0.25">
      <c r="B8" s="9" t="s">
        <v>78</v>
      </c>
      <c r="C8" s="13">
        <v>1.845</v>
      </c>
      <c r="D8" s="17"/>
      <c r="E8" s="17"/>
      <c r="F8" s="17"/>
      <c r="G8" s="17"/>
      <c r="H8" s="17"/>
      <c r="I8" s="17"/>
      <c r="J8" s="17"/>
      <c r="K8" s="17"/>
      <c r="L8" s="17"/>
      <c r="M8" s="15"/>
      <c r="N8" s="17"/>
      <c r="O8" s="15"/>
      <c r="P8" s="15"/>
      <c r="Q8" s="15"/>
      <c r="R8" s="15"/>
      <c r="S8" s="15"/>
      <c r="T8" s="15"/>
      <c r="U8" s="15"/>
    </row>
    <row r="9" spans="1:21" x14ac:dyDescent="0.25">
      <c r="B9" s="9" t="s">
        <v>79</v>
      </c>
      <c r="C9" s="13">
        <v>1.51</v>
      </c>
    </row>
    <row r="10" spans="1:21" x14ac:dyDescent="0.25">
      <c r="B10" s="9" t="s">
        <v>80</v>
      </c>
      <c r="C10" s="13">
        <v>3.14</v>
      </c>
      <c r="D10" s="17"/>
      <c r="E10" s="9" t="s">
        <v>19</v>
      </c>
      <c r="F10" s="4">
        <v>4</v>
      </c>
      <c r="G10" s="4">
        <v>3</v>
      </c>
      <c r="H10" s="4">
        <v>2</v>
      </c>
      <c r="I10" s="4">
        <v>1</v>
      </c>
      <c r="J10" s="4">
        <v>2</v>
      </c>
      <c r="K10" s="4">
        <v>3</v>
      </c>
      <c r="L10" s="4">
        <v>2</v>
      </c>
      <c r="M10" s="4">
        <v>3</v>
      </c>
      <c r="N10" s="4">
        <v>1</v>
      </c>
      <c r="O10" s="4">
        <v>1</v>
      </c>
    </row>
    <row r="11" spans="1:21" x14ac:dyDescent="0.25">
      <c r="B11" s="9" t="s">
        <v>11</v>
      </c>
      <c r="C11" s="13" t="s">
        <v>10</v>
      </c>
      <c r="E11" s="10" t="s">
        <v>0</v>
      </c>
      <c r="F11" s="11">
        <f>SUM(F10:O10)</f>
        <v>22</v>
      </c>
      <c r="G11" s="1"/>
      <c r="H11" s="1"/>
      <c r="I11" s="1"/>
      <c r="J11" s="1"/>
      <c r="K11" s="1"/>
      <c r="L11" s="1"/>
      <c r="M11" s="1"/>
      <c r="N11" s="1"/>
      <c r="O11" s="1"/>
    </row>
    <row r="12" spans="1:21" x14ac:dyDescent="0.25">
      <c r="B12" s="9" t="s">
        <v>12</v>
      </c>
      <c r="C12" s="13" t="s">
        <v>13</v>
      </c>
    </row>
    <row r="13" spans="1:21" x14ac:dyDescent="0.25">
      <c r="B13" s="9" t="s">
        <v>15</v>
      </c>
      <c r="C13" s="4">
        <v>300</v>
      </c>
      <c r="E13" s="9" t="s">
        <v>20</v>
      </c>
      <c r="F13" s="13">
        <v>4</v>
      </c>
      <c r="G13" s="13">
        <v>4</v>
      </c>
      <c r="H13" s="13">
        <v>4</v>
      </c>
      <c r="I13" s="13">
        <v>2</v>
      </c>
      <c r="J13" s="13">
        <v>1</v>
      </c>
      <c r="K13" s="13">
        <v>2</v>
      </c>
      <c r="L13" s="13">
        <v>1</v>
      </c>
      <c r="M13" s="13">
        <v>2</v>
      </c>
      <c r="N13" s="13">
        <v>2</v>
      </c>
      <c r="O13" s="1"/>
    </row>
    <row r="14" spans="1:21" x14ac:dyDescent="0.25">
      <c r="E14" s="9" t="s">
        <v>21</v>
      </c>
      <c r="F14" s="12">
        <f>SUM(F13:N13)</f>
        <v>22</v>
      </c>
    </row>
    <row r="16" spans="1:21" x14ac:dyDescent="0.25">
      <c r="B16" s="9" t="s">
        <v>17</v>
      </c>
      <c r="C16" s="7" t="s">
        <v>16</v>
      </c>
      <c r="D16" s="147">
        <v>0.04</v>
      </c>
      <c r="F16" s="275" t="s">
        <v>120</v>
      </c>
      <c r="G16" s="275"/>
    </row>
    <row r="17" spans="2:43" x14ac:dyDescent="0.25">
      <c r="F17" s="7" t="s">
        <v>114</v>
      </c>
      <c r="G17" s="7">
        <v>355.6</v>
      </c>
    </row>
    <row r="18" spans="2:43" x14ac:dyDescent="0.25">
      <c r="B18" s="9" t="s">
        <v>81</v>
      </c>
      <c r="C18" s="16">
        <f>(C8*C9)*0.8</f>
        <v>2.2287600000000003</v>
      </c>
      <c r="F18" s="7" t="s">
        <v>115</v>
      </c>
      <c r="G18" s="7">
        <v>685.8</v>
      </c>
    </row>
    <row r="19" spans="2:43" ht="15.75" thickBot="1" x14ac:dyDescent="0.3">
      <c r="F19" s="7" t="s">
        <v>116</v>
      </c>
      <c r="G19" s="7">
        <v>228.6</v>
      </c>
    </row>
    <row r="20" spans="2:43" ht="15.75" thickBot="1" x14ac:dyDescent="0.3">
      <c r="B20" s="9" t="s">
        <v>82</v>
      </c>
      <c r="C20" s="13">
        <v>0.38</v>
      </c>
      <c r="U20" s="277"/>
      <c r="V20" s="278"/>
      <c r="W20" s="278"/>
      <c r="X20" s="278"/>
      <c r="Y20" s="278"/>
      <c r="Z20" s="278"/>
      <c r="AA20" s="278"/>
      <c r="AB20" s="278"/>
      <c r="AC20" s="278"/>
      <c r="AD20" s="278"/>
      <c r="AE20" s="278"/>
      <c r="AF20" s="278"/>
      <c r="AG20" s="278"/>
      <c r="AH20" s="278"/>
      <c r="AI20" s="278"/>
      <c r="AJ20" s="278"/>
      <c r="AK20" s="278"/>
      <c r="AL20" s="278"/>
      <c r="AM20" s="278"/>
      <c r="AN20" s="278"/>
      <c r="AO20" s="278"/>
      <c r="AP20" s="278"/>
      <c r="AQ20" s="181"/>
    </row>
    <row r="21" spans="2:43" ht="15.75" thickBot="1" x14ac:dyDescent="0.3">
      <c r="F21" s="276" t="s">
        <v>121</v>
      </c>
      <c r="G21" s="276"/>
      <c r="R21" s="18"/>
      <c r="S21" s="18"/>
      <c r="T21" s="131"/>
      <c r="U21" s="132" t="s">
        <v>24</v>
      </c>
      <c r="V21" s="133" t="s">
        <v>25</v>
      </c>
      <c r="W21" s="134" t="s">
        <v>26</v>
      </c>
      <c r="X21" s="135" t="s">
        <v>86</v>
      </c>
      <c r="Y21" s="135" t="s">
        <v>27</v>
      </c>
      <c r="Z21" s="136" t="s">
        <v>29</v>
      </c>
      <c r="AA21" s="137" t="s">
        <v>46</v>
      </c>
      <c r="AB21" s="138" t="s">
        <v>76</v>
      </c>
      <c r="AC21" s="139" t="s">
        <v>90</v>
      </c>
      <c r="AD21" s="140" t="s">
        <v>89</v>
      </c>
      <c r="AE21" s="141" t="s">
        <v>92</v>
      </c>
      <c r="AF21" s="139" t="s">
        <v>30</v>
      </c>
      <c r="AG21" s="139" t="s">
        <v>45</v>
      </c>
      <c r="AH21" s="127" t="s">
        <v>88</v>
      </c>
      <c r="AI21" s="127" t="s">
        <v>77</v>
      </c>
      <c r="AJ21" s="143" t="s">
        <v>31</v>
      </c>
      <c r="AK21" s="127" t="s">
        <v>84</v>
      </c>
      <c r="AL21" s="127" t="s">
        <v>129</v>
      </c>
      <c r="AM21" s="142" t="s">
        <v>33</v>
      </c>
      <c r="AN21" s="144" t="s">
        <v>85</v>
      </c>
      <c r="AO21" s="146" t="s">
        <v>32</v>
      </c>
      <c r="AP21" s="145" t="s">
        <v>87</v>
      </c>
      <c r="AQ21" s="179"/>
    </row>
    <row r="22" spans="2:43" ht="15.75" thickBot="1" x14ac:dyDescent="0.3">
      <c r="B22" s="9" t="s">
        <v>83</v>
      </c>
      <c r="C22" s="13">
        <v>1.2</v>
      </c>
      <c r="F22" s="159" t="s">
        <v>118</v>
      </c>
      <c r="G22" s="159">
        <v>355.6</v>
      </c>
      <c r="R22" s="18"/>
      <c r="S22" s="18"/>
      <c r="U22" s="70" t="s">
        <v>34</v>
      </c>
      <c r="V22" s="73">
        <v>0</v>
      </c>
      <c r="W22" s="53">
        <v>0</v>
      </c>
      <c r="X22" s="54">
        <f>0</f>
        <v>0</v>
      </c>
      <c r="Y22" s="55">
        <v>0</v>
      </c>
      <c r="Z22" s="79">
        <v>0</v>
      </c>
      <c r="AA22" s="87">
        <v>0</v>
      </c>
      <c r="AB22" s="67">
        <v>0</v>
      </c>
      <c r="AC22" s="68">
        <v>0</v>
      </c>
      <c r="AD22" s="68">
        <v>0</v>
      </c>
      <c r="AE22" s="68">
        <v>0</v>
      </c>
      <c r="AF22" s="122">
        <v>0</v>
      </c>
      <c r="AG22" s="124">
        <f t="shared" ref="AG22:AG205" si="0">(9.81/100)*AF22</f>
        <v>0</v>
      </c>
      <c r="AH22" s="125">
        <v>0.04</v>
      </c>
      <c r="AI22" s="161">
        <f t="shared" ref="AI22:AI86" si="1">$C$6*9.81*AH22</f>
        <v>272.71800000000002</v>
      </c>
      <c r="AJ22" s="127">
        <v>0</v>
      </c>
      <c r="AK22" s="127">
        <v>0</v>
      </c>
      <c r="AL22" s="128">
        <v>0</v>
      </c>
      <c r="AM22" s="126">
        <f>AI22+AJ22+AK22+AL22</f>
        <v>272.71800000000002</v>
      </c>
      <c r="AN22" s="129">
        <f t="shared" ref="AN22:AN53" si="2">AM22*AF22</f>
        <v>0</v>
      </c>
      <c r="AO22" s="129">
        <f>$C$5-AN22</f>
        <v>59656</v>
      </c>
      <c r="AP22" s="129">
        <v>0</v>
      </c>
      <c r="AQ22" s="180"/>
    </row>
    <row r="23" spans="2:43" x14ac:dyDescent="0.25">
      <c r="B23" s="15"/>
      <c r="C23" s="19"/>
      <c r="F23" s="159" t="s">
        <v>117</v>
      </c>
      <c r="G23" s="159">
        <v>685.8</v>
      </c>
      <c r="R23" s="18"/>
      <c r="S23" s="18"/>
      <c r="U23" s="279" t="s">
        <v>75</v>
      </c>
      <c r="V23" s="74">
        <v>4.4000000000000004</v>
      </c>
      <c r="W23" s="74">
        <f>W22+V23</f>
        <v>4.4000000000000004</v>
      </c>
      <c r="X23" s="44">
        <v>1</v>
      </c>
      <c r="Y23" s="51">
        <v>1</v>
      </c>
      <c r="Z23" s="80">
        <v>0</v>
      </c>
      <c r="AA23" s="88">
        <v>0</v>
      </c>
      <c r="AB23" s="57">
        <v>0</v>
      </c>
      <c r="AC23" s="58">
        <f>AC27/5</f>
        <v>0.88000000000000012</v>
      </c>
      <c r="AD23" s="282">
        <v>4.4000000000000004</v>
      </c>
      <c r="AE23" s="282">
        <v>0.88</v>
      </c>
      <c r="AF23" s="58">
        <f>AC23-AC22</f>
        <v>0.88000000000000012</v>
      </c>
      <c r="AG23" s="123">
        <f t="shared" si="0"/>
        <v>8.6328000000000016E-2</v>
      </c>
      <c r="AH23" s="59">
        <v>0.04</v>
      </c>
      <c r="AI23" s="60">
        <f t="shared" si="1"/>
        <v>272.71800000000002</v>
      </c>
      <c r="AJ23" s="60">
        <f>0.5*$C$18*$C$20*$C$22*(AC23*AC23)</f>
        <v>0.39351699763200015</v>
      </c>
      <c r="AK23" s="168">
        <f t="shared" ref="AK23:AK54" si="3">$C$6*9.81*-SIN(Z23)</f>
        <v>0</v>
      </c>
      <c r="AL23" s="172">
        <v>611.60000000000014</v>
      </c>
      <c r="AM23" s="169">
        <f>AI23+AJ23+AK23+AL23</f>
        <v>884.71151699763209</v>
      </c>
      <c r="AN23" s="166">
        <f t="shared" si="2"/>
        <v>778.54613495791637</v>
      </c>
      <c r="AO23" s="167">
        <f>$C$5-AN23</f>
        <v>58877.453865042087</v>
      </c>
      <c r="AP23" s="176">
        <f>AN23/$Y$23</f>
        <v>778.54613495791637</v>
      </c>
      <c r="AQ23" s="180"/>
    </row>
    <row r="24" spans="2:43" x14ac:dyDescent="0.25">
      <c r="B24" s="15"/>
      <c r="C24" s="19"/>
      <c r="F24" s="159" t="s">
        <v>119</v>
      </c>
      <c r="G24" s="159">
        <v>279.39999999999998</v>
      </c>
      <c r="R24" s="18"/>
      <c r="S24" s="18"/>
      <c r="U24" s="280"/>
      <c r="V24" s="72">
        <v>8.8000000000000007</v>
      </c>
      <c r="W24" s="74">
        <f>V24</f>
        <v>8.8000000000000007</v>
      </c>
      <c r="X24" s="37">
        <v>2</v>
      </c>
      <c r="Y24" s="47">
        <v>2</v>
      </c>
      <c r="Z24" s="80">
        <v>0</v>
      </c>
      <c r="AA24" s="89">
        <v>0</v>
      </c>
      <c r="AB24" s="38">
        <v>0</v>
      </c>
      <c r="AC24" s="40">
        <f>AC23*2</f>
        <v>1.7600000000000002</v>
      </c>
      <c r="AD24" s="283"/>
      <c r="AE24" s="283"/>
      <c r="AF24" s="58">
        <f t="shared" ref="AF24:AF87" si="4">AC24-AC23</f>
        <v>0.88000000000000012</v>
      </c>
      <c r="AG24" s="116">
        <f t="shared" si="0"/>
        <v>8.6328000000000016E-2</v>
      </c>
      <c r="AH24" s="39">
        <v>0.04</v>
      </c>
      <c r="AI24" s="41">
        <f t="shared" si="1"/>
        <v>272.71800000000002</v>
      </c>
      <c r="AJ24" s="41">
        <f t="shared" ref="AJ24:AJ26" si="5">0.5*$C$18*$C$20*$C$22*(AC24*AC24)</f>
        <v>1.5740679905280006</v>
      </c>
      <c r="AK24" s="168">
        <f t="shared" si="3"/>
        <v>0</v>
      </c>
      <c r="AL24" s="168">
        <v>611.60000000000014</v>
      </c>
      <c r="AM24" s="41">
        <f t="shared" ref="AM24:AM87" si="6">AI24+AJ24+AK24+AL24</f>
        <v>885.89206799052818</v>
      </c>
      <c r="AN24" s="42">
        <f t="shared" si="2"/>
        <v>779.58501983166491</v>
      </c>
      <c r="AO24" s="42">
        <f t="shared" ref="AO24:AO87" si="7">$C$5-AN24</f>
        <v>58876.414980168338</v>
      </c>
      <c r="AP24" s="176">
        <f>AN24/$Y$23</f>
        <v>779.58501983166491</v>
      </c>
      <c r="AQ24" s="180"/>
    </row>
    <row r="25" spans="2:43" x14ac:dyDescent="0.25">
      <c r="B25" s="274" t="s">
        <v>100</v>
      </c>
      <c r="C25" s="273" t="s">
        <v>101</v>
      </c>
      <c r="R25" s="18"/>
      <c r="S25" s="18"/>
      <c r="U25" s="280"/>
      <c r="V25" s="72">
        <v>13.2</v>
      </c>
      <c r="W25" s="74">
        <f>V25</f>
        <v>13.2</v>
      </c>
      <c r="X25" s="37">
        <v>3</v>
      </c>
      <c r="Y25" s="47">
        <v>3</v>
      </c>
      <c r="Z25" s="80">
        <v>0</v>
      </c>
      <c r="AA25" s="89">
        <v>0</v>
      </c>
      <c r="AB25" s="38">
        <v>0</v>
      </c>
      <c r="AC25" s="40">
        <f>AC23*3</f>
        <v>2.6400000000000006</v>
      </c>
      <c r="AD25" s="283"/>
      <c r="AE25" s="283"/>
      <c r="AF25" s="58">
        <f t="shared" si="4"/>
        <v>0.88000000000000034</v>
      </c>
      <c r="AG25" s="116">
        <f t="shared" si="0"/>
        <v>8.6328000000000044E-2</v>
      </c>
      <c r="AH25" s="39">
        <v>0.04</v>
      </c>
      <c r="AI25" s="41">
        <f t="shared" si="1"/>
        <v>272.71800000000002</v>
      </c>
      <c r="AJ25" s="41">
        <f t="shared" si="5"/>
        <v>3.5416529786880022</v>
      </c>
      <c r="AK25" s="168">
        <f t="shared" si="3"/>
        <v>0</v>
      </c>
      <c r="AL25" s="168">
        <v>611.60000000000025</v>
      </c>
      <c r="AM25" s="152">
        <f t="shared" si="6"/>
        <v>887.85965297868825</v>
      </c>
      <c r="AN25" s="42">
        <f t="shared" si="2"/>
        <v>781.31649462124597</v>
      </c>
      <c r="AO25" s="42">
        <f t="shared" si="7"/>
        <v>58874.683505378751</v>
      </c>
      <c r="AP25" s="176">
        <f t="shared" ref="AP25:AP88" si="8">AN25/$Y$23</f>
        <v>781.31649462124597</v>
      </c>
      <c r="AQ25" s="180"/>
    </row>
    <row r="26" spans="2:43" x14ac:dyDescent="0.25">
      <c r="B26" s="274"/>
      <c r="C26" s="273"/>
      <c r="F26" s="285" t="s">
        <v>139</v>
      </c>
      <c r="G26" s="285"/>
      <c r="H26" s="285"/>
      <c r="I26" s="285"/>
      <c r="J26" s="189"/>
      <c r="K26" s="285" t="s">
        <v>140</v>
      </c>
      <c r="L26" s="285"/>
      <c r="M26" s="285"/>
      <c r="N26" s="285"/>
      <c r="R26" s="18"/>
      <c r="S26" s="18"/>
      <c r="U26" s="280"/>
      <c r="V26" s="72">
        <v>17.600000000000001</v>
      </c>
      <c r="W26" s="74">
        <f>V26</f>
        <v>17.600000000000001</v>
      </c>
      <c r="X26" s="37">
        <v>4</v>
      </c>
      <c r="Y26" s="47">
        <v>4</v>
      </c>
      <c r="Z26" s="80">
        <v>0</v>
      </c>
      <c r="AA26" s="89">
        <v>0</v>
      </c>
      <c r="AB26" s="56">
        <v>0</v>
      </c>
      <c r="AC26" s="40">
        <f>AC23*4</f>
        <v>3.5200000000000005</v>
      </c>
      <c r="AD26" s="283"/>
      <c r="AE26" s="283"/>
      <c r="AF26" s="58">
        <f t="shared" si="4"/>
        <v>0.87999999999999989</v>
      </c>
      <c r="AG26" s="116">
        <f t="shared" si="0"/>
        <v>8.6328000000000002E-2</v>
      </c>
      <c r="AH26" s="39">
        <v>0.04</v>
      </c>
      <c r="AI26" s="41">
        <f t="shared" si="1"/>
        <v>272.71800000000002</v>
      </c>
      <c r="AJ26" s="41">
        <f t="shared" si="5"/>
        <v>6.2962719621120025</v>
      </c>
      <c r="AK26" s="168">
        <f t="shared" si="3"/>
        <v>0</v>
      </c>
      <c r="AL26" s="168">
        <v>611.59999999999991</v>
      </c>
      <c r="AM26" s="41">
        <f t="shared" si="6"/>
        <v>890.61427196211196</v>
      </c>
      <c r="AN26" s="42">
        <f t="shared" si="2"/>
        <v>783.7405593266584</v>
      </c>
      <c r="AO26" s="42">
        <f t="shared" si="7"/>
        <v>58872.259440673341</v>
      </c>
      <c r="AP26" s="176">
        <f t="shared" si="8"/>
        <v>783.7405593266584</v>
      </c>
      <c r="AQ26" s="180"/>
    </row>
    <row r="27" spans="2:43" ht="15.75" thickBot="1" x14ac:dyDescent="0.3">
      <c r="B27" s="38" t="s">
        <v>102</v>
      </c>
      <c r="C27" s="158" t="s">
        <v>103</v>
      </c>
      <c r="F27" s="159" t="s">
        <v>132</v>
      </c>
      <c r="G27" s="182">
        <v>59656</v>
      </c>
      <c r="H27" s="192" t="s">
        <v>136</v>
      </c>
      <c r="I27" s="89" t="s">
        <v>137</v>
      </c>
      <c r="J27" s="18"/>
      <c r="K27" s="159" t="s">
        <v>132</v>
      </c>
      <c r="L27" s="182">
        <v>59656</v>
      </c>
      <c r="M27" s="188" t="s">
        <v>136</v>
      </c>
      <c r="N27" s="187" t="s">
        <v>137</v>
      </c>
      <c r="R27" s="18"/>
      <c r="S27" s="19"/>
      <c r="U27" s="281"/>
      <c r="V27" s="75">
        <v>22</v>
      </c>
      <c r="W27" s="48">
        <f>W22+V27</f>
        <v>22</v>
      </c>
      <c r="X27" s="49">
        <f>X22+Y27</f>
        <v>5</v>
      </c>
      <c r="Y27" s="50">
        <v>5</v>
      </c>
      <c r="Z27" s="81">
        <v>0</v>
      </c>
      <c r="AA27" s="94">
        <v>0</v>
      </c>
      <c r="AB27" s="56">
        <f>AB22+AA27</f>
        <v>0</v>
      </c>
      <c r="AC27" s="102">
        <f>V27/Y27</f>
        <v>4.4000000000000004</v>
      </c>
      <c r="AD27" s="284"/>
      <c r="AE27" s="284"/>
      <c r="AF27" s="109">
        <f t="shared" si="4"/>
        <v>0.87999999999999989</v>
      </c>
      <c r="AG27" s="115">
        <f t="shared" si="0"/>
        <v>8.6328000000000002E-2</v>
      </c>
      <c r="AH27" s="118">
        <v>0.04</v>
      </c>
      <c r="AI27" s="121">
        <f t="shared" si="1"/>
        <v>272.71800000000002</v>
      </c>
      <c r="AJ27" s="119">
        <f>0.5*$C$18*$C$20*$C$22*(AC27*AC27)</f>
        <v>9.8379249408000025</v>
      </c>
      <c r="AK27" s="168">
        <f t="shared" si="3"/>
        <v>0</v>
      </c>
      <c r="AL27" s="168">
        <v>611.59999999999991</v>
      </c>
      <c r="AM27" s="66">
        <f t="shared" si="6"/>
        <v>894.15592494079988</v>
      </c>
      <c r="AN27" s="164">
        <f t="shared" si="2"/>
        <v>786.8572139479038</v>
      </c>
      <c r="AO27" s="164">
        <f>$C$5-AN27</f>
        <v>58869.142786052093</v>
      </c>
      <c r="AP27" s="177">
        <f t="shared" si="8"/>
        <v>786.8572139479038</v>
      </c>
      <c r="AQ27" s="180"/>
    </row>
    <row r="28" spans="2:43" x14ac:dyDescent="0.25">
      <c r="B28" s="38" t="s">
        <v>98</v>
      </c>
      <c r="C28" s="158">
        <v>5</v>
      </c>
      <c r="F28" s="159" t="s">
        <v>138</v>
      </c>
      <c r="G28" s="182">
        <f>G27+I28</f>
        <v>61445.68</v>
      </c>
      <c r="H28" s="191">
        <v>0.03</v>
      </c>
      <c r="I28" s="182">
        <f>0.03*G27</f>
        <v>1789.6799999999998</v>
      </c>
      <c r="J28" s="18"/>
      <c r="K28" s="159" t="s">
        <v>133</v>
      </c>
      <c r="L28" s="182">
        <f>L27+N28</f>
        <v>63235.360000000001</v>
      </c>
      <c r="M28" s="191">
        <v>0.06</v>
      </c>
      <c r="N28" s="182">
        <f>0.06*L27</f>
        <v>3579.3599999999997</v>
      </c>
      <c r="R28" s="18"/>
      <c r="S28" s="92"/>
      <c r="U28" s="289" t="s">
        <v>35</v>
      </c>
      <c r="V28" s="71">
        <v>5</v>
      </c>
      <c r="W28" s="71">
        <f>W27+V28</f>
        <v>27</v>
      </c>
      <c r="X28" s="45">
        <v>6</v>
      </c>
      <c r="Y28" s="46">
        <v>1</v>
      </c>
      <c r="Z28" s="82">
        <v>1.91</v>
      </c>
      <c r="AA28" s="95">
        <v>1</v>
      </c>
      <c r="AB28" s="91">
        <f>$AB$27+AA28</f>
        <v>1</v>
      </c>
      <c r="AC28" s="103">
        <f>AC27+AE28</f>
        <v>4.5500000000000007</v>
      </c>
      <c r="AD28" s="282">
        <f>AC31-AC27</f>
        <v>0.59999999999999964</v>
      </c>
      <c r="AE28" s="282">
        <f>AD28/4</f>
        <v>0.14999999999999991</v>
      </c>
      <c r="AF28" s="62">
        <f t="shared" si="4"/>
        <v>0.15000000000000036</v>
      </c>
      <c r="AG28" s="114">
        <f t="shared" si="0"/>
        <v>1.4715000000000035E-2</v>
      </c>
      <c r="AH28" s="117">
        <v>0.04</v>
      </c>
      <c r="AI28" s="151">
        <f t="shared" si="1"/>
        <v>272.71800000000002</v>
      </c>
      <c r="AJ28" s="121">
        <f t="shared" ref="AJ28:AJ91" si="9">0.5*$C$18*$C$20*$C$22*(AC28*AC28)</f>
        <v>10.520126089200005</v>
      </c>
      <c r="AK28" s="165">
        <f t="shared" si="3"/>
        <v>-6429.4627405387282</v>
      </c>
      <c r="AL28" s="165">
        <v>104.25000000000024</v>
      </c>
      <c r="AM28" s="169">
        <f t="shared" si="6"/>
        <v>-6041.9746144495284</v>
      </c>
      <c r="AN28" s="61">
        <f t="shared" si="2"/>
        <v>-906.2961921674314</v>
      </c>
      <c r="AO28" s="61">
        <f t="shared" si="7"/>
        <v>60562.296192167429</v>
      </c>
      <c r="AP28" s="176">
        <f t="shared" si="8"/>
        <v>-906.2961921674314</v>
      </c>
      <c r="AQ28" s="180"/>
    </row>
    <row r="29" spans="2:43" ht="16.5" x14ac:dyDescent="0.3">
      <c r="B29" s="274" t="s">
        <v>99</v>
      </c>
      <c r="C29" s="156" t="s">
        <v>105</v>
      </c>
      <c r="D29" s="157" t="s">
        <v>109</v>
      </c>
      <c r="F29" s="159" t="s">
        <v>134</v>
      </c>
      <c r="G29" s="182">
        <f>G28+I29</f>
        <v>71276.988800000006</v>
      </c>
      <c r="H29" s="191">
        <v>0.16</v>
      </c>
      <c r="I29" s="182">
        <f>0.16*G28</f>
        <v>9831.3088000000007</v>
      </c>
      <c r="J29" s="18"/>
      <c r="K29" s="159" t="s">
        <v>145</v>
      </c>
      <c r="L29" s="194">
        <f>L28+N29</f>
        <v>63551.536800000002</v>
      </c>
      <c r="M29" s="196">
        <v>5.0000000000000001E-3</v>
      </c>
      <c r="N29" s="194">
        <f>0.005*L28</f>
        <v>316.17680000000001</v>
      </c>
      <c r="R29" s="18"/>
      <c r="U29" s="290"/>
      <c r="V29" s="72">
        <v>10</v>
      </c>
      <c r="W29" s="72">
        <f>W27+V29</f>
        <v>32</v>
      </c>
      <c r="X29" s="37">
        <v>7</v>
      </c>
      <c r="Y29" s="47">
        <v>2</v>
      </c>
      <c r="Z29" s="83">
        <f>3.81</f>
        <v>3.81</v>
      </c>
      <c r="AA29" s="96">
        <v>2</v>
      </c>
      <c r="AB29" s="89">
        <f t="shared" ref="AB29:AB30" si="10">$AB$27+AA29</f>
        <v>2</v>
      </c>
      <c r="AC29" s="104">
        <f>AC28+AE28</f>
        <v>4.7000000000000011</v>
      </c>
      <c r="AD29" s="283"/>
      <c r="AE29" s="283"/>
      <c r="AF29" s="58">
        <f t="shared" si="4"/>
        <v>0.15000000000000036</v>
      </c>
      <c r="AG29" s="116">
        <f t="shared" si="0"/>
        <v>1.4715000000000035E-2</v>
      </c>
      <c r="AH29" s="39">
        <v>0.04</v>
      </c>
      <c r="AI29" s="41">
        <f>$C$6*9.81*AH29</f>
        <v>272.71800000000002</v>
      </c>
      <c r="AJ29" s="41">
        <f t="shared" si="9"/>
        <v>11.225194315200007</v>
      </c>
      <c r="AK29" s="168">
        <f t="shared" si="3"/>
        <v>4225.33481278828</v>
      </c>
      <c r="AL29" s="172">
        <v>104.25000000000024</v>
      </c>
      <c r="AM29" s="41">
        <f t="shared" si="6"/>
        <v>4613.5280071034804</v>
      </c>
      <c r="AN29" s="42">
        <f t="shared" si="2"/>
        <v>692.02920106552369</v>
      </c>
      <c r="AO29" s="42">
        <f t="shared" si="7"/>
        <v>58963.970798934475</v>
      </c>
      <c r="AP29" s="176">
        <f t="shared" si="8"/>
        <v>692.02920106552369</v>
      </c>
      <c r="AQ29" s="180"/>
    </row>
    <row r="30" spans="2:43" ht="16.5" x14ac:dyDescent="0.3">
      <c r="B30" s="274"/>
      <c r="C30" s="156" t="s">
        <v>106</v>
      </c>
      <c r="D30" s="157" t="s">
        <v>110</v>
      </c>
      <c r="F30" s="159" t="s">
        <v>135</v>
      </c>
      <c r="G30" s="286">
        <f>G29+I30</f>
        <v>82897.977600000013</v>
      </c>
      <c r="H30" s="287"/>
      <c r="I30" s="182">
        <f>I28+I29</f>
        <v>11620.988800000001</v>
      </c>
      <c r="K30" s="159" t="s">
        <v>134</v>
      </c>
      <c r="L30" s="194">
        <f>L29+N30</f>
        <v>73719.782688000007</v>
      </c>
      <c r="M30" s="196">
        <v>0.16</v>
      </c>
      <c r="N30" s="194">
        <f>0.16*L29</f>
        <v>10168.245888000001</v>
      </c>
      <c r="R30" s="18"/>
      <c r="S30" s="19"/>
      <c r="U30" s="290"/>
      <c r="V30" s="72">
        <v>15</v>
      </c>
      <c r="W30" s="72">
        <f>W27+V30</f>
        <v>37</v>
      </c>
      <c r="X30" s="37">
        <v>8</v>
      </c>
      <c r="Y30" s="47">
        <v>3</v>
      </c>
      <c r="Z30" s="83">
        <f>5.72</f>
        <v>5.72</v>
      </c>
      <c r="AA30" s="96">
        <v>3</v>
      </c>
      <c r="AB30" s="89">
        <f t="shared" si="10"/>
        <v>3</v>
      </c>
      <c r="AC30" s="104">
        <f>AC29+AE28</f>
        <v>4.8500000000000014</v>
      </c>
      <c r="AD30" s="283"/>
      <c r="AE30" s="283"/>
      <c r="AF30" s="58">
        <f t="shared" si="4"/>
        <v>0.15000000000000036</v>
      </c>
      <c r="AG30" s="116">
        <f t="shared" si="0"/>
        <v>1.4715000000000035E-2</v>
      </c>
      <c r="AH30" s="39">
        <v>0.04</v>
      </c>
      <c r="AI30" s="41">
        <f t="shared" si="1"/>
        <v>272.71800000000002</v>
      </c>
      <c r="AJ30" s="41">
        <f t="shared" si="9"/>
        <v>11.953129618800009</v>
      </c>
      <c r="AK30" s="41">
        <f t="shared" si="3"/>
        <v>3639.9825981449112</v>
      </c>
      <c r="AL30" s="41">
        <v>104.25000000000024</v>
      </c>
      <c r="AM30" s="41">
        <f t="shared" si="6"/>
        <v>4028.9037277637117</v>
      </c>
      <c r="AN30" s="42">
        <f t="shared" si="2"/>
        <v>604.33555916455816</v>
      </c>
      <c r="AO30" s="42">
        <f t="shared" si="7"/>
        <v>59051.66444083544</v>
      </c>
      <c r="AP30" s="176">
        <f t="shared" si="8"/>
        <v>604.33555916455816</v>
      </c>
      <c r="AQ30" s="180"/>
    </row>
    <row r="31" spans="2:43" ht="17.25" thickBot="1" x14ac:dyDescent="0.35">
      <c r="B31" s="274"/>
      <c r="C31" s="156" t="s">
        <v>107</v>
      </c>
      <c r="D31" s="157" t="s">
        <v>111</v>
      </c>
      <c r="K31" s="159" t="s">
        <v>146</v>
      </c>
      <c r="L31" s="286">
        <v>11620.988800000001</v>
      </c>
      <c r="M31" s="288"/>
      <c r="N31" s="287"/>
      <c r="R31" s="18"/>
      <c r="S31" s="19"/>
      <c r="U31" s="291"/>
      <c r="V31" s="75">
        <v>20</v>
      </c>
      <c r="W31" s="48">
        <f>W27+V31</f>
        <v>42</v>
      </c>
      <c r="X31" s="49">
        <f>X27+Y31</f>
        <v>9</v>
      </c>
      <c r="Y31" s="50">
        <v>4</v>
      </c>
      <c r="Z31" s="81">
        <v>7.62</v>
      </c>
      <c r="AA31" s="97">
        <v>4</v>
      </c>
      <c r="AB31" s="56">
        <f>AB27+AA31</f>
        <v>4</v>
      </c>
      <c r="AC31" s="102">
        <f>V31/Y31</f>
        <v>5</v>
      </c>
      <c r="AD31" s="284"/>
      <c r="AE31" s="284"/>
      <c r="AF31" s="109">
        <f t="shared" si="4"/>
        <v>0.14999999999999858</v>
      </c>
      <c r="AG31" s="115">
        <f t="shared" si="0"/>
        <v>1.4714999999999862E-2</v>
      </c>
      <c r="AH31" s="118">
        <v>0.04</v>
      </c>
      <c r="AI31" s="121">
        <f t="shared" si="1"/>
        <v>272.71800000000002</v>
      </c>
      <c r="AJ31" s="119">
        <f t="shared" si="9"/>
        <v>12.703932000000002</v>
      </c>
      <c r="AK31" s="170">
        <f t="shared" si="3"/>
        <v>-6632.1673831533844</v>
      </c>
      <c r="AL31" s="170">
        <v>104.24999999999901</v>
      </c>
      <c r="AM31" s="152">
        <f t="shared" si="6"/>
        <v>-6242.4954511533851</v>
      </c>
      <c r="AN31" s="164">
        <f t="shared" si="2"/>
        <v>-936.37431767299893</v>
      </c>
      <c r="AO31" s="164">
        <f t="shared" si="7"/>
        <v>60592.374317672999</v>
      </c>
      <c r="AP31" s="177">
        <f t="shared" si="8"/>
        <v>-936.37431767299893</v>
      </c>
      <c r="AQ31" s="180"/>
    </row>
    <row r="32" spans="2:43" ht="16.5" x14ac:dyDescent="0.3">
      <c r="B32" s="274"/>
      <c r="C32" s="156" t="s">
        <v>108</v>
      </c>
      <c r="D32" s="157" t="s">
        <v>112</v>
      </c>
      <c r="F32" s="159" t="s">
        <v>141</v>
      </c>
      <c r="G32" s="183">
        <f>G30-G27</f>
        <v>23241.977600000013</v>
      </c>
      <c r="K32" s="159" t="s">
        <v>135</v>
      </c>
      <c r="L32" s="286">
        <f>L30+L31</f>
        <v>85340.771488000013</v>
      </c>
      <c r="M32" s="288"/>
      <c r="N32" s="287"/>
      <c r="R32" s="18"/>
      <c r="S32" s="19"/>
      <c r="U32" s="289" t="s">
        <v>36</v>
      </c>
      <c r="V32" s="71">
        <v>15</v>
      </c>
      <c r="W32" s="71">
        <f>$W$31+V32</f>
        <v>57</v>
      </c>
      <c r="X32" s="45">
        <v>10</v>
      </c>
      <c r="Y32" s="46">
        <v>1</v>
      </c>
      <c r="Z32" s="84">
        <v>6.7733333333333334</v>
      </c>
      <c r="AA32" s="95">
        <f>AA39*8</f>
        <v>3.5555555555555554</v>
      </c>
      <c r="AB32" s="91">
        <f>$AB$31+AA32</f>
        <v>7.5555555555555554</v>
      </c>
      <c r="AC32" s="103">
        <f>AC31+AE32</f>
        <v>6.1111111111111107</v>
      </c>
      <c r="AD32" s="282">
        <f>AC40-AC31</f>
        <v>10</v>
      </c>
      <c r="AE32" s="282">
        <f>AD32/9</f>
        <v>1.1111111111111112</v>
      </c>
      <c r="AF32" s="62">
        <f t="shared" si="4"/>
        <v>1.1111111111111107</v>
      </c>
      <c r="AG32" s="114">
        <f t="shared" si="0"/>
        <v>0.10899999999999997</v>
      </c>
      <c r="AH32" s="117">
        <v>0.04</v>
      </c>
      <c r="AI32" s="151">
        <f t="shared" si="1"/>
        <v>272.71800000000002</v>
      </c>
      <c r="AJ32" s="121">
        <f t="shared" si="9"/>
        <v>18.977478666666666</v>
      </c>
      <c r="AK32" s="172">
        <f t="shared" si="3"/>
        <v>-3209.5942202266574</v>
      </c>
      <c r="AL32" s="172">
        <v>772.22222222222194</v>
      </c>
      <c r="AM32" s="169">
        <f t="shared" si="6"/>
        <v>-2145.6765193377687</v>
      </c>
      <c r="AN32" s="61">
        <f t="shared" si="2"/>
        <v>-2384.085021486409</v>
      </c>
      <c r="AO32" s="61">
        <f t="shared" si="7"/>
        <v>62040.085021486411</v>
      </c>
      <c r="AP32" s="176">
        <f t="shared" si="8"/>
        <v>-2384.085021486409</v>
      </c>
      <c r="AQ32" s="180"/>
    </row>
    <row r="33" spans="2:43" ht="16.5" x14ac:dyDescent="0.3">
      <c r="B33" s="274"/>
      <c r="C33" s="156" t="s">
        <v>104</v>
      </c>
      <c r="D33" s="157" t="s">
        <v>113</v>
      </c>
      <c r="U33" s="290"/>
      <c r="V33" s="72">
        <v>30</v>
      </c>
      <c r="W33" s="77">
        <f t="shared" ref="W33:W39" si="11">$W$31+V33</f>
        <v>72</v>
      </c>
      <c r="X33" s="37">
        <v>11</v>
      </c>
      <c r="Y33" s="47">
        <v>2</v>
      </c>
      <c r="Z33" s="83">
        <v>5.9266666666666667</v>
      </c>
      <c r="AA33" s="98">
        <f>AA39*7</f>
        <v>3.1111111111111107</v>
      </c>
      <c r="AB33" s="89">
        <f t="shared" ref="AB33:AB40" si="12">$AB$31+AA33</f>
        <v>7.1111111111111107</v>
      </c>
      <c r="AC33" s="104">
        <f>AC32+$AE$32</f>
        <v>7.2222222222222214</v>
      </c>
      <c r="AD33" s="283"/>
      <c r="AE33" s="283"/>
      <c r="AF33" s="58">
        <f t="shared" si="4"/>
        <v>1.1111111111111107</v>
      </c>
      <c r="AG33" s="116">
        <f t="shared" si="0"/>
        <v>0.10899999999999997</v>
      </c>
      <c r="AH33" s="39">
        <v>0.04</v>
      </c>
      <c r="AI33" s="41">
        <f t="shared" si="1"/>
        <v>272.71800000000002</v>
      </c>
      <c r="AJ33" s="41">
        <f t="shared" si="9"/>
        <v>26.505734666666662</v>
      </c>
      <c r="AK33" s="168">
        <f t="shared" si="3"/>
        <v>2379.5594000577266</v>
      </c>
      <c r="AL33" s="168">
        <v>772.22222222222194</v>
      </c>
      <c r="AM33" s="41">
        <f t="shared" si="6"/>
        <v>3451.0053569466154</v>
      </c>
      <c r="AN33" s="42">
        <f t="shared" si="2"/>
        <v>3834.4503966073489</v>
      </c>
      <c r="AO33" s="42">
        <f t="shared" si="7"/>
        <v>55821.549603392654</v>
      </c>
      <c r="AP33" s="176">
        <f t="shared" si="8"/>
        <v>3834.4503966073489</v>
      </c>
      <c r="AQ33" s="180"/>
    </row>
    <row r="34" spans="2:43" x14ac:dyDescent="0.25">
      <c r="F34" s="159" t="s">
        <v>147</v>
      </c>
      <c r="G34" s="2">
        <v>34.44</v>
      </c>
      <c r="K34" s="159" t="s">
        <v>141</v>
      </c>
      <c r="L34" s="183">
        <f>L32-L27</f>
        <v>25684.771488000013</v>
      </c>
      <c r="U34" s="290"/>
      <c r="V34" s="72">
        <v>45</v>
      </c>
      <c r="W34" s="76">
        <f t="shared" si="11"/>
        <v>87</v>
      </c>
      <c r="X34" s="37">
        <v>12</v>
      </c>
      <c r="Y34" s="47">
        <v>3</v>
      </c>
      <c r="Z34" s="83">
        <v>5.08</v>
      </c>
      <c r="AA34" s="98">
        <f>AA39*6</f>
        <v>2.6666666666666665</v>
      </c>
      <c r="AB34" s="89">
        <f t="shared" si="12"/>
        <v>6.6666666666666661</v>
      </c>
      <c r="AC34" s="104">
        <f t="shared" ref="AC34:AC39" si="13">AC33+$AE$32</f>
        <v>8.3333333333333321</v>
      </c>
      <c r="AD34" s="283"/>
      <c r="AE34" s="283"/>
      <c r="AF34" s="58">
        <f t="shared" si="4"/>
        <v>1.1111111111111107</v>
      </c>
      <c r="AG34" s="116">
        <f t="shared" si="0"/>
        <v>0.10899999999999997</v>
      </c>
      <c r="AH34" s="39">
        <v>0.04</v>
      </c>
      <c r="AI34" s="41">
        <f t="shared" si="1"/>
        <v>272.71800000000002</v>
      </c>
      <c r="AJ34" s="41">
        <f t="shared" si="9"/>
        <v>35.288699999999992</v>
      </c>
      <c r="AK34" s="168">
        <f t="shared" si="3"/>
        <v>6362.4330548570324</v>
      </c>
      <c r="AL34" s="168">
        <v>772.22222222222194</v>
      </c>
      <c r="AM34" s="41">
        <f t="shared" si="6"/>
        <v>7442.661977079254</v>
      </c>
      <c r="AN34" s="42">
        <f t="shared" si="2"/>
        <v>8269.6244189769459</v>
      </c>
      <c r="AO34" s="42">
        <f t="shared" si="7"/>
        <v>51386.37558102305</v>
      </c>
      <c r="AP34" s="176">
        <f t="shared" si="8"/>
        <v>8269.6244189769459</v>
      </c>
      <c r="AQ34" s="180"/>
    </row>
    <row r="35" spans="2:43" x14ac:dyDescent="0.25">
      <c r="B35" s="7" t="s">
        <v>124</v>
      </c>
      <c r="C35" s="160">
        <f>AP207</f>
        <v>43425.690931164325</v>
      </c>
      <c r="F35" s="159" t="s">
        <v>148</v>
      </c>
      <c r="G35" s="2">
        <f>C3+G34</f>
        <v>114.44</v>
      </c>
      <c r="U35" s="290"/>
      <c r="V35" s="72">
        <v>60</v>
      </c>
      <c r="W35" s="72">
        <f t="shared" si="11"/>
        <v>102</v>
      </c>
      <c r="X35" s="37">
        <v>13</v>
      </c>
      <c r="Y35" s="47">
        <v>4</v>
      </c>
      <c r="Z35" s="83">
        <v>4.2333333333333334</v>
      </c>
      <c r="AA35" s="98">
        <f>AA39*5</f>
        <v>2.2222222222222223</v>
      </c>
      <c r="AB35" s="89">
        <f t="shared" si="12"/>
        <v>6.2222222222222223</v>
      </c>
      <c r="AC35" s="104">
        <f t="shared" si="13"/>
        <v>9.4444444444444429</v>
      </c>
      <c r="AD35" s="283"/>
      <c r="AE35" s="283"/>
      <c r="AF35" s="58">
        <f t="shared" si="4"/>
        <v>1.1111111111111107</v>
      </c>
      <c r="AG35" s="116">
        <f t="shared" si="0"/>
        <v>0.10899999999999997</v>
      </c>
      <c r="AH35" s="39">
        <v>0.04</v>
      </c>
      <c r="AI35" s="41">
        <f t="shared" si="1"/>
        <v>272.71800000000002</v>
      </c>
      <c r="AJ35" s="41">
        <f t="shared" si="9"/>
        <v>45.326374666666659</v>
      </c>
      <c r="AK35" s="168">
        <f t="shared" si="3"/>
        <v>6050.4575255977506</v>
      </c>
      <c r="AL35" s="168">
        <v>772.22222222222194</v>
      </c>
      <c r="AM35" s="41">
        <f t="shared" si="6"/>
        <v>7140.7241224866393</v>
      </c>
      <c r="AN35" s="42">
        <f t="shared" si="2"/>
        <v>7934.1379138740413</v>
      </c>
      <c r="AO35" s="42">
        <f t="shared" si="7"/>
        <v>51721.862086125955</v>
      </c>
      <c r="AP35" s="176">
        <f t="shared" si="8"/>
        <v>7934.1379138740413</v>
      </c>
      <c r="AQ35" s="180"/>
    </row>
    <row r="36" spans="2:43" x14ac:dyDescent="0.25">
      <c r="B36" s="7" t="s">
        <v>122</v>
      </c>
      <c r="C36" s="7">
        <f>(27*25.4)/2</f>
        <v>342.9</v>
      </c>
      <c r="U36" s="290"/>
      <c r="V36" s="72">
        <v>75</v>
      </c>
      <c r="W36" s="72">
        <f t="shared" si="11"/>
        <v>117</v>
      </c>
      <c r="X36" s="37">
        <v>14</v>
      </c>
      <c r="Y36" s="47">
        <v>5</v>
      </c>
      <c r="Z36" s="83">
        <v>3.3866666666666667</v>
      </c>
      <c r="AA36" s="98">
        <f>AA39*4</f>
        <v>1.7777777777777777</v>
      </c>
      <c r="AB36" s="89">
        <f t="shared" si="12"/>
        <v>5.7777777777777777</v>
      </c>
      <c r="AC36" s="104">
        <f t="shared" si="13"/>
        <v>10.555555555555554</v>
      </c>
      <c r="AD36" s="283"/>
      <c r="AE36" s="283"/>
      <c r="AF36" s="58">
        <f t="shared" si="4"/>
        <v>1.1111111111111107</v>
      </c>
      <c r="AG36" s="116">
        <f t="shared" si="0"/>
        <v>0.10899999999999997</v>
      </c>
      <c r="AH36" s="39">
        <v>0.04</v>
      </c>
      <c r="AI36" s="41">
        <f t="shared" si="1"/>
        <v>272.71800000000002</v>
      </c>
      <c r="AJ36" s="41">
        <f t="shared" si="9"/>
        <v>56.61875866666665</v>
      </c>
      <c r="AK36" s="168">
        <f t="shared" si="3"/>
        <v>1654.2264382925898</v>
      </c>
      <c r="AL36" s="168">
        <v>772.22222222222194</v>
      </c>
      <c r="AM36" s="41">
        <f t="shared" si="6"/>
        <v>2755.7854191814786</v>
      </c>
      <c r="AN36" s="42">
        <f t="shared" si="2"/>
        <v>3061.9837990905307</v>
      </c>
      <c r="AO36" s="42">
        <f t="shared" si="7"/>
        <v>56594.016200909471</v>
      </c>
      <c r="AP36" s="176">
        <f t="shared" si="8"/>
        <v>3061.9837990905307</v>
      </c>
      <c r="AQ36" s="180"/>
    </row>
    <row r="37" spans="2:43" x14ac:dyDescent="0.25">
      <c r="B37" s="7" t="s">
        <v>123</v>
      </c>
      <c r="C37" s="7">
        <f>(27*25.4)/2</f>
        <v>342.9</v>
      </c>
      <c r="S37" s="110"/>
      <c r="U37" s="290"/>
      <c r="V37" s="72">
        <v>90</v>
      </c>
      <c r="W37" s="74">
        <f t="shared" si="11"/>
        <v>132</v>
      </c>
      <c r="X37" s="37">
        <v>15</v>
      </c>
      <c r="Y37" s="47">
        <v>6</v>
      </c>
      <c r="Z37" s="83">
        <v>2.54</v>
      </c>
      <c r="AA37" s="98">
        <f>AA39*3</f>
        <v>1.3333333333333333</v>
      </c>
      <c r="AB37" s="89">
        <f t="shared" si="12"/>
        <v>5.333333333333333</v>
      </c>
      <c r="AC37" s="104">
        <f t="shared" si="13"/>
        <v>11.666666666666664</v>
      </c>
      <c r="AD37" s="283"/>
      <c r="AE37" s="283"/>
      <c r="AF37" s="58">
        <f t="shared" si="4"/>
        <v>1.1111111111111107</v>
      </c>
      <c r="AG37" s="116">
        <f t="shared" si="0"/>
        <v>0.10899999999999997</v>
      </c>
      <c r="AH37" s="39">
        <v>0.04</v>
      </c>
      <c r="AI37" s="41">
        <f t="shared" si="1"/>
        <v>272.71800000000002</v>
      </c>
      <c r="AJ37" s="41">
        <f t="shared" si="9"/>
        <v>69.165851999999973</v>
      </c>
      <c r="AK37" s="41">
        <f t="shared" si="3"/>
        <v>-3858.6612813877337</v>
      </c>
      <c r="AL37" s="41">
        <v>772.22222222222194</v>
      </c>
      <c r="AM37" s="152">
        <f t="shared" si="6"/>
        <v>-2744.555207165512</v>
      </c>
      <c r="AN37" s="42">
        <f t="shared" si="2"/>
        <v>-3049.5057857394568</v>
      </c>
      <c r="AO37" s="42">
        <f t="shared" si="7"/>
        <v>62705.505785739457</v>
      </c>
      <c r="AP37" s="176">
        <f t="shared" si="8"/>
        <v>-3049.5057857394568</v>
      </c>
      <c r="AQ37" s="180"/>
    </row>
    <row r="38" spans="2:43" x14ac:dyDescent="0.25">
      <c r="U38" s="290"/>
      <c r="V38" s="72">
        <v>105</v>
      </c>
      <c r="W38" s="72">
        <f t="shared" si="11"/>
        <v>147</v>
      </c>
      <c r="X38" s="37">
        <v>16</v>
      </c>
      <c r="Y38" s="47">
        <v>7</v>
      </c>
      <c r="Z38" s="83">
        <v>1.6933333333333334</v>
      </c>
      <c r="AA38" s="98">
        <f>AA39*2</f>
        <v>0.88888888888888884</v>
      </c>
      <c r="AB38" s="89">
        <f t="shared" si="12"/>
        <v>4.8888888888888893</v>
      </c>
      <c r="AC38" s="104">
        <f t="shared" si="13"/>
        <v>12.777777777777775</v>
      </c>
      <c r="AD38" s="283"/>
      <c r="AE38" s="283"/>
      <c r="AF38" s="58">
        <f t="shared" si="4"/>
        <v>1.1111111111111107</v>
      </c>
      <c r="AG38" s="116">
        <f t="shared" si="0"/>
        <v>0.10899999999999997</v>
      </c>
      <c r="AH38" s="39">
        <v>0.04</v>
      </c>
      <c r="AI38" s="41">
        <f t="shared" si="1"/>
        <v>272.71800000000002</v>
      </c>
      <c r="AJ38" s="41">
        <f t="shared" si="9"/>
        <v>82.967654666666633</v>
      </c>
      <c r="AK38" s="41">
        <f t="shared" si="3"/>
        <v>-6766.8271732642488</v>
      </c>
      <c r="AL38" s="41">
        <v>772.22222222222194</v>
      </c>
      <c r="AM38" s="41">
        <f t="shared" si="6"/>
        <v>-5638.9192963753603</v>
      </c>
      <c r="AN38" s="42">
        <f t="shared" si="2"/>
        <v>-6265.465884861509</v>
      </c>
      <c r="AO38" s="42">
        <f t="shared" si="7"/>
        <v>65921.465884861507</v>
      </c>
      <c r="AP38" s="176">
        <f t="shared" si="8"/>
        <v>-6265.465884861509</v>
      </c>
      <c r="AQ38" s="180"/>
    </row>
    <row r="39" spans="2:43" x14ac:dyDescent="0.25">
      <c r="B39" s="7" t="s">
        <v>126</v>
      </c>
      <c r="C39" s="182">
        <f>(2*3.14)*(G18/2)</f>
        <v>2153.4119999999998</v>
      </c>
      <c r="U39" s="290"/>
      <c r="V39" s="72">
        <v>120</v>
      </c>
      <c r="W39" s="74">
        <f t="shared" si="11"/>
        <v>162</v>
      </c>
      <c r="X39" s="37">
        <v>17</v>
      </c>
      <c r="Y39" s="47">
        <v>8</v>
      </c>
      <c r="Z39" s="83">
        <v>0.84666666666666668</v>
      </c>
      <c r="AA39" s="98">
        <f>AA31/9</f>
        <v>0.44444444444444442</v>
      </c>
      <c r="AB39" s="89">
        <f t="shared" si="12"/>
        <v>4.4444444444444446</v>
      </c>
      <c r="AC39" s="104">
        <f t="shared" si="13"/>
        <v>13.888888888888886</v>
      </c>
      <c r="AD39" s="283"/>
      <c r="AE39" s="283"/>
      <c r="AF39" s="58">
        <f t="shared" si="4"/>
        <v>1.1111111111111107</v>
      </c>
      <c r="AG39" s="116">
        <f t="shared" si="0"/>
        <v>0.10899999999999997</v>
      </c>
      <c r="AH39" s="39">
        <v>0.04</v>
      </c>
      <c r="AI39" s="41">
        <f t="shared" si="1"/>
        <v>272.71800000000002</v>
      </c>
      <c r="AJ39" s="41">
        <f t="shared" si="9"/>
        <v>98.02416666666663</v>
      </c>
      <c r="AK39" s="41">
        <f t="shared" si="3"/>
        <v>-5107.1647024402155</v>
      </c>
      <c r="AL39" s="41">
        <v>772.22222222222194</v>
      </c>
      <c r="AM39" s="152">
        <f t="shared" si="6"/>
        <v>-3964.2003135513269</v>
      </c>
      <c r="AN39" s="42">
        <f t="shared" si="2"/>
        <v>-4404.667015057028</v>
      </c>
      <c r="AO39" s="42">
        <f t="shared" si="7"/>
        <v>64060.667015057028</v>
      </c>
      <c r="AP39" s="176">
        <f t="shared" si="8"/>
        <v>-4404.667015057028</v>
      </c>
      <c r="AQ39" s="180"/>
    </row>
    <row r="40" spans="2:43" ht="15.75" thickBot="1" x14ac:dyDescent="0.3">
      <c r="B40" s="7" t="s">
        <v>125</v>
      </c>
      <c r="C40" s="184">
        <f>C39/10</f>
        <v>215.34119999999999</v>
      </c>
      <c r="D40" s="17"/>
      <c r="E40" s="17"/>
      <c r="F40" s="17"/>
      <c r="G40" s="17"/>
      <c r="H40" s="17"/>
      <c r="I40" s="17"/>
      <c r="J40" s="17"/>
      <c r="K40" s="17"/>
      <c r="L40" s="17"/>
      <c r="M40" s="15"/>
      <c r="U40" s="291"/>
      <c r="V40" s="75">
        <v>135</v>
      </c>
      <c r="W40" s="48">
        <f>W31+V40</f>
        <v>177</v>
      </c>
      <c r="X40" s="49">
        <f>X31+Y40</f>
        <v>18</v>
      </c>
      <c r="Y40" s="50">
        <v>9</v>
      </c>
      <c r="Z40" s="81">
        <v>0</v>
      </c>
      <c r="AA40" s="94">
        <v>0</v>
      </c>
      <c r="AB40" s="93">
        <f t="shared" si="12"/>
        <v>4</v>
      </c>
      <c r="AC40" s="102">
        <f>V40/Y40</f>
        <v>15</v>
      </c>
      <c r="AD40" s="284"/>
      <c r="AE40" s="284"/>
      <c r="AF40" s="64">
        <f t="shared" si="4"/>
        <v>1.1111111111111143</v>
      </c>
      <c r="AG40" s="115">
        <f t="shared" si="0"/>
        <v>0.10900000000000032</v>
      </c>
      <c r="AH40" s="118">
        <v>0.04</v>
      </c>
      <c r="AI40" s="66">
        <f t="shared" si="1"/>
        <v>272.71800000000002</v>
      </c>
      <c r="AJ40" s="119">
        <f t="shared" si="9"/>
        <v>114.33538800000001</v>
      </c>
      <c r="AK40" s="121">
        <f t="shared" si="3"/>
        <v>0</v>
      </c>
      <c r="AL40" s="171">
        <v>772.22222222222445</v>
      </c>
      <c r="AM40" s="66">
        <f t="shared" si="6"/>
        <v>1159.2756102222245</v>
      </c>
      <c r="AN40" s="164">
        <f t="shared" si="2"/>
        <v>1288.0840113580309</v>
      </c>
      <c r="AO40" s="164">
        <f t="shared" si="7"/>
        <v>58367.915988641966</v>
      </c>
      <c r="AP40" s="177">
        <f t="shared" si="8"/>
        <v>1288.0840113580309</v>
      </c>
      <c r="AQ40" s="180"/>
    </row>
    <row r="41" spans="2:43" x14ac:dyDescent="0.25">
      <c r="B41" s="7" t="s">
        <v>127</v>
      </c>
      <c r="C41" s="184">
        <f>C40/100</f>
        <v>2.1534119999999999</v>
      </c>
      <c r="D41" s="17"/>
      <c r="E41" s="17"/>
      <c r="F41" s="17"/>
      <c r="G41" s="17"/>
      <c r="H41" s="17"/>
      <c r="I41" s="17"/>
      <c r="J41" s="17"/>
      <c r="K41" s="17"/>
      <c r="L41" s="17"/>
      <c r="M41" s="15"/>
      <c r="Q41" s="18"/>
      <c r="S41" s="19"/>
      <c r="U41" s="279" t="s">
        <v>37</v>
      </c>
      <c r="V41" s="71">
        <v>4.67</v>
      </c>
      <c r="W41" s="71">
        <f>$W$40+V41</f>
        <v>181.67</v>
      </c>
      <c r="X41" s="45">
        <v>19</v>
      </c>
      <c r="Y41" s="46">
        <v>1</v>
      </c>
      <c r="Z41" s="84">
        <v>-1.32</v>
      </c>
      <c r="AA41" s="99">
        <f>AA46/6</f>
        <v>-0.66666666666666663</v>
      </c>
      <c r="AB41" s="91">
        <f>$AB$40+AA41</f>
        <v>3.3333333333333335</v>
      </c>
      <c r="AC41" s="111">
        <f>AC40+$AE$41</f>
        <v>13.277777777777779</v>
      </c>
      <c r="AD41" s="282">
        <f>AC46-AC40</f>
        <v>-10.333333333333332</v>
      </c>
      <c r="AE41" s="282">
        <f>AD41/6</f>
        <v>-1.7222222222222221</v>
      </c>
      <c r="AF41" s="58">
        <f t="shared" si="4"/>
        <v>-1.7222222222222214</v>
      </c>
      <c r="AG41" s="114">
        <f t="shared" si="0"/>
        <v>-0.16894999999999993</v>
      </c>
      <c r="AH41" s="117">
        <v>0.04</v>
      </c>
      <c r="AI41" s="60">
        <f t="shared" si="1"/>
        <v>272.71800000000002</v>
      </c>
      <c r="AJ41" s="121">
        <f t="shared" si="9"/>
        <v>89.587814786666684</v>
      </c>
      <c r="AK41" s="151">
        <f t="shared" si="3"/>
        <v>6604.6511168513271</v>
      </c>
      <c r="AL41" s="174">
        <v>-1196.9444444444439</v>
      </c>
      <c r="AM41" s="151">
        <f t="shared" si="6"/>
        <v>5770.0124871935495</v>
      </c>
      <c r="AN41" s="61">
        <f t="shared" si="2"/>
        <v>-9937.2437279444421</v>
      </c>
      <c r="AO41" s="61">
        <f t="shared" si="7"/>
        <v>69593.243727944442</v>
      </c>
      <c r="AP41" s="176">
        <f t="shared" si="8"/>
        <v>-9937.2437279444421</v>
      </c>
      <c r="AQ41" s="180"/>
    </row>
    <row r="42" spans="2:43" x14ac:dyDescent="0.25">
      <c r="B42" s="7" t="s">
        <v>128</v>
      </c>
      <c r="C42" s="184">
        <f>60/C41</f>
        <v>27.862759193317398</v>
      </c>
      <c r="D42" s="17"/>
      <c r="E42" s="17"/>
      <c r="F42" s="17"/>
      <c r="G42" s="17"/>
      <c r="H42" s="17"/>
      <c r="I42" s="17"/>
      <c r="J42" s="17"/>
      <c r="K42" s="17"/>
      <c r="L42" s="17"/>
      <c r="M42" s="15"/>
      <c r="Q42" s="18"/>
      <c r="U42" s="280"/>
      <c r="V42" s="72">
        <v>9.33</v>
      </c>
      <c r="W42" s="77">
        <f t="shared" ref="W42:W45" si="14">$W$40+V42</f>
        <v>186.33</v>
      </c>
      <c r="X42" s="37">
        <v>20</v>
      </c>
      <c r="Y42" s="47">
        <v>2</v>
      </c>
      <c r="Z42" s="83">
        <v>-2.64</v>
      </c>
      <c r="AA42" s="98">
        <f>AA41*2</f>
        <v>-1.3333333333333333</v>
      </c>
      <c r="AB42" s="89">
        <f t="shared" ref="AB42:AB46" si="15">$AB$40+AA42</f>
        <v>2.666666666666667</v>
      </c>
      <c r="AC42" s="40">
        <f t="shared" ref="AC42:AC45" si="16">AC41+$AE$41</f>
        <v>11.555555555555557</v>
      </c>
      <c r="AD42" s="283"/>
      <c r="AE42" s="283"/>
      <c r="AF42" s="58">
        <f t="shared" si="4"/>
        <v>-1.7222222222222214</v>
      </c>
      <c r="AG42" s="116">
        <f t="shared" si="0"/>
        <v>-0.16894999999999993</v>
      </c>
      <c r="AH42" s="39">
        <v>0.04</v>
      </c>
      <c r="AI42" s="41">
        <f t="shared" si="1"/>
        <v>272.71800000000002</v>
      </c>
      <c r="AJ42" s="41">
        <f t="shared" si="9"/>
        <v>67.854680746666688</v>
      </c>
      <c r="AK42" s="168">
        <f t="shared" si="3"/>
        <v>3278.2245478618547</v>
      </c>
      <c r="AL42" s="168">
        <v>-1196.9444444444439</v>
      </c>
      <c r="AM42" s="152">
        <f t="shared" si="6"/>
        <v>2421.8527841640775</v>
      </c>
      <c r="AN42" s="42">
        <f t="shared" si="2"/>
        <v>-4170.9686838381313</v>
      </c>
      <c r="AO42" s="42">
        <f t="shared" si="7"/>
        <v>63826.968683838131</v>
      </c>
      <c r="AP42" s="176">
        <f t="shared" si="8"/>
        <v>-4170.9686838381313</v>
      </c>
      <c r="AQ42" s="180"/>
    </row>
    <row r="43" spans="2:43" x14ac:dyDescent="0.25">
      <c r="B43" s="15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5"/>
      <c r="Q43" s="18"/>
      <c r="U43" s="280"/>
      <c r="V43" s="72">
        <v>14</v>
      </c>
      <c r="W43" s="76">
        <f t="shared" si="14"/>
        <v>191</v>
      </c>
      <c r="X43" s="37">
        <v>21</v>
      </c>
      <c r="Y43" s="47">
        <v>3</v>
      </c>
      <c r="Z43" s="83">
        <v>-3.96</v>
      </c>
      <c r="AA43" s="98">
        <f>AA41*3</f>
        <v>-2</v>
      </c>
      <c r="AB43" s="89">
        <f t="shared" si="15"/>
        <v>2</v>
      </c>
      <c r="AC43" s="40">
        <f t="shared" si="16"/>
        <v>9.8333333333333357</v>
      </c>
      <c r="AD43" s="283"/>
      <c r="AE43" s="283"/>
      <c r="AF43" s="58">
        <f t="shared" si="4"/>
        <v>-1.7222222222222214</v>
      </c>
      <c r="AG43" s="116">
        <f t="shared" si="0"/>
        <v>-0.16894999999999993</v>
      </c>
      <c r="AH43" s="39">
        <v>0.04</v>
      </c>
      <c r="AI43" s="41">
        <f t="shared" si="1"/>
        <v>272.71800000000002</v>
      </c>
      <c r="AJ43" s="41">
        <f t="shared" si="9"/>
        <v>49.135985880000028</v>
      </c>
      <c r="AK43" s="168">
        <f t="shared" si="3"/>
        <v>-4977.501401284303</v>
      </c>
      <c r="AL43" s="168">
        <v>-1196.9444444444439</v>
      </c>
      <c r="AM43" s="41">
        <f t="shared" si="6"/>
        <v>-5852.591859848746</v>
      </c>
      <c r="AN43" s="42">
        <f t="shared" si="2"/>
        <v>10079.463758628392</v>
      </c>
      <c r="AO43" s="42">
        <f t="shared" si="7"/>
        <v>49576.536241371607</v>
      </c>
      <c r="AP43" s="176">
        <f t="shared" si="8"/>
        <v>10079.463758628392</v>
      </c>
      <c r="AQ43" s="180"/>
    </row>
    <row r="44" spans="2:43" x14ac:dyDescent="0.25">
      <c r="B44" s="14" t="s">
        <v>131</v>
      </c>
      <c r="C44" s="183">
        <f>MAX(AM23:AM205)</f>
        <v>8977.8778917819218</v>
      </c>
      <c r="D44" s="17"/>
      <c r="E44" s="17"/>
      <c r="F44" s="17"/>
      <c r="G44" s="17"/>
      <c r="H44" s="17"/>
      <c r="I44" s="17"/>
      <c r="J44" s="17"/>
      <c r="K44" s="17"/>
      <c r="L44" s="17"/>
      <c r="M44" s="15"/>
      <c r="Q44" s="18"/>
      <c r="U44" s="280"/>
      <c r="V44" s="72">
        <v>18.670000000000002</v>
      </c>
      <c r="W44" s="72">
        <f t="shared" si="14"/>
        <v>195.67000000000002</v>
      </c>
      <c r="X44" s="37">
        <v>22</v>
      </c>
      <c r="Y44" s="47">
        <v>4</v>
      </c>
      <c r="Z44" s="83">
        <v>-5.28</v>
      </c>
      <c r="AA44" s="98">
        <f>AA41*4</f>
        <v>-2.6666666666666665</v>
      </c>
      <c r="AB44" s="89">
        <f t="shared" si="15"/>
        <v>1.3333333333333335</v>
      </c>
      <c r="AC44" s="40">
        <f t="shared" si="16"/>
        <v>8.1111111111111143</v>
      </c>
      <c r="AD44" s="283"/>
      <c r="AE44" s="283"/>
      <c r="AF44" s="58">
        <f t="shared" si="4"/>
        <v>-1.7222222222222214</v>
      </c>
      <c r="AG44" s="116">
        <f t="shared" si="0"/>
        <v>-0.16894999999999993</v>
      </c>
      <c r="AH44" s="39">
        <v>0.04</v>
      </c>
      <c r="AI44" s="41">
        <f t="shared" si="1"/>
        <v>272.71800000000002</v>
      </c>
      <c r="AJ44" s="41">
        <f t="shared" si="9"/>
        <v>33.431730186666691</v>
      </c>
      <c r="AK44" s="168">
        <f t="shared" si="3"/>
        <v>-5748.8118645899576</v>
      </c>
      <c r="AL44" s="168">
        <v>-1196.9444444444439</v>
      </c>
      <c r="AM44" s="41">
        <f t="shared" si="6"/>
        <v>-6639.6065788477354</v>
      </c>
      <c r="AN44" s="42">
        <f t="shared" si="2"/>
        <v>11434.877996904428</v>
      </c>
      <c r="AO44" s="42">
        <f t="shared" si="7"/>
        <v>48221.122003095574</v>
      </c>
      <c r="AP44" s="176">
        <f t="shared" si="8"/>
        <v>11434.877996904428</v>
      </c>
      <c r="AQ44" s="180"/>
    </row>
    <row r="45" spans="2:43" x14ac:dyDescent="0.25">
      <c r="B45" s="15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5"/>
      <c r="Q45" s="18"/>
      <c r="U45" s="280"/>
      <c r="V45" s="72">
        <v>23.33</v>
      </c>
      <c r="W45" s="74">
        <f t="shared" si="14"/>
        <v>200.32999999999998</v>
      </c>
      <c r="X45" s="37">
        <v>23</v>
      </c>
      <c r="Y45" s="47">
        <v>5</v>
      </c>
      <c r="Z45" s="83">
        <v>-6.6000000000000005</v>
      </c>
      <c r="AA45" s="98">
        <f>AA41*5</f>
        <v>-3.333333333333333</v>
      </c>
      <c r="AB45" s="89">
        <f t="shared" si="15"/>
        <v>0.66666666666666696</v>
      </c>
      <c r="AC45" s="40">
        <f t="shared" si="16"/>
        <v>6.3888888888888919</v>
      </c>
      <c r="AD45" s="283"/>
      <c r="AE45" s="283"/>
      <c r="AF45" s="58">
        <f t="shared" si="4"/>
        <v>-1.7222222222222223</v>
      </c>
      <c r="AG45" s="116">
        <f t="shared" si="0"/>
        <v>-0.16895000000000002</v>
      </c>
      <c r="AH45" s="39">
        <v>0.04</v>
      </c>
      <c r="AI45" s="41">
        <f t="shared" si="1"/>
        <v>272.71800000000002</v>
      </c>
      <c r="AJ45" s="41">
        <f t="shared" si="9"/>
        <v>20.74191366666669</v>
      </c>
      <c r="AK45" s="168">
        <f t="shared" si="3"/>
        <v>2124.0734393660405</v>
      </c>
      <c r="AL45" s="168">
        <v>-1196.9444444444446</v>
      </c>
      <c r="AM45" s="41">
        <f t="shared" si="6"/>
        <v>1220.5889085882625</v>
      </c>
      <c r="AN45" s="42">
        <f t="shared" si="2"/>
        <v>-2102.1253425686746</v>
      </c>
      <c r="AO45" s="42">
        <f t="shared" si="7"/>
        <v>61758.125342568674</v>
      </c>
      <c r="AP45" s="176">
        <f t="shared" si="8"/>
        <v>-2102.1253425686746</v>
      </c>
      <c r="AQ45" s="180"/>
    </row>
    <row r="46" spans="2:43" ht="15.75" thickBot="1" x14ac:dyDescent="0.3">
      <c r="B46" s="14" t="s">
        <v>142</v>
      </c>
      <c r="C46" s="4">
        <v>35.76</v>
      </c>
      <c r="D46" s="17"/>
      <c r="E46" s="17"/>
      <c r="F46" s="17"/>
      <c r="G46" s="17"/>
      <c r="H46" s="17"/>
      <c r="I46" s="17"/>
      <c r="J46" s="17"/>
      <c r="K46" s="17"/>
      <c r="L46" s="17"/>
      <c r="M46" s="15"/>
      <c r="Q46" s="18"/>
      <c r="U46" s="281"/>
      <c r="V46" s="75">
        <v>28</v>
      </c>
      <c r="W46" s="48">
        <f>W40+V46</f>
        <v>205</v>
      </c>
      <c r="X46" s="49">
        <f>X40+Y46</f>
        <v>24</v>
      </c>
      <c r="Y46" s="50">
        <v>6</v>
      </c>
      <c r="Z46" s="81">
        <v>-7.92</v>
      </c>
      <c r="AA46" s="94">
        <v>-4</v>
      </c>
      <c r="AB46" s="90">
        <f t="shared" si="15"/>
        <v>0</v>
      </c>
      <c r="AC46" s="102">
        <f>V46/Y46</f>
        <v>4.666666666666667</v>
      </c>
      <c r="AD46" s="284"/>
      <c r="AE46" s="284"/>
      <c r="AF46" s="109">
        <f t="shared" si="4"/>
        <v>-1.722222222222225</v>
      </c>
      <c r="AG46" s="115">
        <f t="shared" si="0"/>
        <v>-0.16895000000000029</v>
      </c>
      <c r="AH46" s="118">
        <v>0.04</v>
      </c>
      <c r="AI46" s="121">
        <f t="shared" si="1"/>
        <v>272.71800000000002</v>
      </c>
      <c r="AJ46" s="119">
        <f t="shared" si="9"/>
        <v>11.066536320000003</v>
      </c>
      <c r="AK46" s="121">
        <f t="shared" si="3"/>
        <v>6803.0976349049088</v>
      </c>
      <c r="AL46" s="66">
        <v>-1196.9444444444464</v>
      </c>
      <c r="AM46" s="66">
        <f t="shared" si="6"/>
        <v>5889.937726780463</v>
      </c>
      <c r="AN46" s="164">
        <f t="shared" si="2"/>
        <v>-10143.781640566369</v>
      </c>
      <c r="AO46" s="164">
        <f t="shared" si="7"/>
        <v>69799.781640566362</v>
      </c>
      <c r="AP46" s="177">
        <f t="shared" si="8"/>
        <v>-10143.781640566369</v>
      </c>
      <c r="AQ46" s="180"/>
    </row>
    <row r="47" spans="2:43" x14ac:dyDescent="0.25">
      <c r="B47" s="14" t="s">
        <v>143</v>
      </c>
      <c r="C47" s="4">
        <f>C46*60</f>
        <v>2145.6</v>
      </c>
      <c r="D47" s="17"/>
      <c r="E47" s="17"/>
      <c r="F47" s="17"/>
      <c r="G47" s="17"/>
      <c r="H47" s="17"/>
      <c r="I47" s="17"/>
      <c r="J47" s="17"/>
      <c r="K47" s="17"/>
      <c r="L47" s="17"/>
      <c r="M47" s="15"/>
      <c r="R47" s="18"/>
      <c r="S47" s="19"/>
      <c r="U47" s="279" t="s">
        <v>38</v>
      </c>
      <c r="V47" s="71">
        <v>6</v>
      </c>
      <c r="W47" s="78">
        <f>$W$46+V47</f>
        <v>211</v>
      </c>
      <c r="X47" s="45">
        <v>25</v>
      </c>
      <c r="Y47" s="46">
        <v>1</v>
      </c>
      <c r="Z47" s="84">
        <v>-6.7885714285714283</v>
      </c>
      <c r="AA47" s="95">
        <f>AA52*6</f>
        <v>-3.4285714285714284</v>
      </c>
      <c r="AB47" s="88">
        <f>$AB$46+AA47</f>
        <v>-3.4285714285714284</v>
      </c>
      <c r="AC47" s="111">
        <f>AC46+$AE$47</f>
        <v>4.8571428571428577</v>
      </c>
      <c r="AD47" s="282">
        <f>AC53-AC46</f>
        <v>1.333333333333333</v>
      </c>
      <c r="AE47" s="282">
        <f>AD47/7</f>
        <v>0.19047619047619044</v>
      </c>
      <c r="AF47" s="62">
        <f t="shared" si="4"/>
        <v>0.19047619047619069</v>
      </c>
      <c r="AG47" s="114">
        <f t="shared" si="0"/>
        <v>1.8685714285714309E-2</v>
      </c>
      <c r="AH47" s="117">
        <v>0.04</v>
      </c>
      <c r="AI47" s="151">
        <f t="shared" si="1"/>
        <v>272.71800000000002</v>
      </c>
      <c r="AJ47" s="121">
        <f t="shared" si="9"/>
        <v>11.988363585306125</v>
      </c>
      <c r="AK47" s="151">
        <f t="shared" si="3"/>
        <v>3300.8786379220028</v>
      </c>
      <c r="AL47" s="174">
        <v>132.38095238095252</v>
      </c>
      <c r="AM47" s="169">
        <f t="shared" si="6"/>
        <v>3717.9659538882615</v>
      </c>
      <c r="AN47" s="61">
        <f t="shared" si="2"/>
        <v>708.1839912168125</v>
      </c>
      <c r="AO47" s="61">
        <f t="shared" si="7"/>
        <v>58947.816008783186</v>
      </c>
      <c r="AP47" s="176">
        <f t="shared" si="8"/>
        <v>708.1839912168125</v>
      </c>
      <c r="AQ47" s="180"/>
    </row>
    <row r="48" spans="2:43" x14ac:dyDescent="0.25">
      <c r="B48" s="14" t="s">
        <v>144</v>
      </c>
      <c r="C48" s="182">
        <f>C47/C41</f>
        <v>996.37226875303008</v>
      </c>
      <c r="D48" s="17"/>
      <c r="E48" s="17"/>
      <c r="F48" s="17"/>
      <c r="G48" s="17"/>
      <c r="H48" s="17"/>
      <c r="I48" s="17"/>
      <c r="J48" s="17"/>
      <c r="K48" s="17"/>
      <c r="L48" s="17"/>
      <c r="M48" s="15"/>
      <c r="R48" s="18"/>
      <c r="S48" s="19"/>
      <c r="U48" s="280"/>
      <c r="V48" s="72">
        <v>12</v>
      </c>
      <c r="W48" s="76">
        <f t="shared" ref="W48:W52" si="17">$W$46+V48</f>
        <v>217</v>
      </c>
      <c r="X48" s="37">
        <v>26</v>
      </c>
      <c r="Y48" s="47">
        <v>2</v>
      </c>
      <c r="Z48" s="83">
        <v>-5.6571428571428575</v>
      </c>
      <c r="AA48" s="96">
        <f>AA52*5</f>
        <v>-2.8571428571428568</v>
      </c>
      <c r="AB48" s="89">
        <f t="shared" ref="AB48:AB53" si="18">$AB$46+AA48</f>
        <v>-2.8571428571428568</v>
      </c>
      <c r="AC48" s="40">
        <f t="shared" ref="AC48:AC52" si="19">AC47+$AE$47</f>
        <v>5.0476190476190483</v>
      </c>
      <c r="AD48" s="283"/>
      <c r="AE48" s="283"/>
      <c r="AF48" s="58">
        <f t="shared" si="4"/>
        <v>0.19047619047619069</v>
      </c>
      <c r="AG48" s="116">
        <f t="shared" si="0"/>
        <v>1.8685714285714309E-2</v>
      </c>
      <c r="AH48" s="39">
        <v>0.04</v>
      </c>
      <c r="AI48" s="41">
        <f t="shared" si="1"/>
        <v>272.71800000000002</v>
      </c>
      <c r="AJ48" s="41">
        <f t="shared" si="9"/>
        <v>12.947063941224496</v>
      </c>
      <c r="AK48" s="168">
        <f t="shared" si="3"/>
        <v>-3994.925600237751</v>
      </c>
      <c r="AL48" s="168">
        <v>132.38095238095252</v>
      </c>
      <c r="AM48" s="121">
        <f t="shared" si="6"/>
        <v>-3576.8795839155737</v>
      </c>
      <c r="AN48" s="42">
        <f t="shared" si="2"/>
        <v>-681.31039693630055</v>
      </c>
      <c r="AO48" s="42">
        <f t="shared" si="7"/>
        <v>60337.3103969363</v>
      </c>
      <c r="AP48" s="176">
        <f t="shared" si="8"/>
        <v>-681.31039693630055</v>
      </c>
      <c r="AQ48" s="180"/>
    </row>
    <row r="49" spans="2:43" x14ac:dyDescent="0.25">
      <c r="B49" s="15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5"/>
      <c r="R49" s="18"/>
      <c r="S49" s="19"/>
      <c r="U49" s="280"/>
      <c r="V49" s="72">
        <v>18</v>
      </c>
      <c r="W49" s="72">
        <f t="shared" si="17"/>
        <v>223</v>
      </c>
      <c r="X49" s="37">
        <v>27</v>
      </c>
      <c r="Y49" s="47">
        <v>3</v>
      </c>
      <c r="Z49" s="83">
        <v>-4.5257142857142858</v>
      </c>
      <c r="AA49" s="96">
        <f>AA52*4</f>
        <v>-2.2857142857142856</v>
      </c>
      <c r="AB49" s="89">
        <f t="shared" si="18"/>
        <v>-2.2857142857142856</v>
      </c>
      <c r="AC49" s="40">
        <f t="shared" si="19"/>
        <v>5.238095238095239</v>
      </c>
      <c r="AD49" s="283"/>
      <c r="AE49" s="283"/>
      <c r="AF49" s="58">
        <f t="shared" si="4"/>
        <v>0.19047619047619069</v>
      </c>
      <c r="AG49" s="116">
        <f t="shared" si="0"/>
        <v>1.8685714285714309E-2</v>
      </c>
      <c r="AH49" s="39">
        <v>0.04</v>
      </c>
      <c r="AI49" s="41">
        <f t="shared" si="1"/>
        <v>272.71800000000002</v>
      </c>
      <c r="AJ49" s="41">
        <f t="shared" si="9"/>
        <v>13.942637387755109</v>
      </c>
      <c r="AK49" s="168">
        <f t="shared" si="3"/>
        <v>-6699.500514619016</v>
      </c>
      <c r="AL49" s="168">
        <v>132.38095238095252</v>
      </c>
      <c r="AM49" s="41">
        <f t="shared" si="6"/>
        <v>-6280.4589248503089</v>
      </c>
      <c r="AN49" s="42">
        <f t="shared" si="2"/>
        <v>-1196.2778904476793</v>
      </c>
      <c r="AO49" s="42">
        <f t="shared" si="7"/>
        <v>60852.27789044768</v>
      </c>
      <c r="AP49" s="176">
        <f t="shared" si="8"/>
        <v>-1196.2778904476793</v>
      </c>
      <c r="AQ49" s="180"/>
    </row>
    <row r="50" spans="2:43" x14ac:dyDescent="0.25">
      <c r="B50" s="15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5"/>
      <c r="R50" s="18"/>
      <c r="S50" s="19"/>
      <c r="U50" s="280"/>
      <c r="V50" s="72">
        <v>24</v>
      </c>
      <c r="W50" s="72">
        <f t="shared" si="17"/>
        <v>229</v>
      </c>
      <c r="X50" s="37">
        <v>28</v>
      </c>
      <c r="Y50" s="47">
        <v>4</v>
      </c>
      <c r="Z50" s="83">
        <v>-3.3942857142857141</v>
      </c>
      <c r="AA50" s="96">
        <f>AA52*3</f>
        <v>-1.7142857142857142</v>
      </c>
      <c r="AB50" s="89">
        <f t="shared" si="18"/>
        <v>-1.7142857142857142</v>
      </c>
      <c r="AC50" s="40">
        <f t="shared" si="19"/>
        <v>5.4285714285714297</v>
      </c>
      <c r="AD50" s="283"/>
      <c r="AE50" s="283"/>
      <c r="AF50" s="58">
        <f t="shared" si="4"/>
        <v>0.19047619047619069</v>
      </c>
      <c r="AG50" s="116">
        <f t="shared" si="0"/>
        <v>1.8685714285714309E-2</v>
      </c>
      <c r="AH50" s="39">
        <v>0.04</v>
      </c>
      <c r="AI50" s="41">
        <f t="shared" si="1"/>
        <v>272.71800000000002</v>
      </c>
      <c r="AJ50" s="41">
        <f t="shared" si="9"/>
        <v>14.975083924897968</v>
      </c>
      <c r="AK50" s="168">
        <f t="shared" si="3"/>
        <v>-1704.5720351054431</v>
      </c>
      <c r="AL50" s="168">
        <v>132.38095238095252</v>
      </c>
      <c r="AM50" s="41">
        <f t="shared" si="6"/>
        <v>-1284.4979987995926</v>
      </c>
      <c r="AN50" s="42">
        <f t="shared" si="2"/>
        <v>-244.66628548563696</v>
      </c>
      <c r="AO50" s="42">
        <f t="shared" si="7"/>
        <v>59900.66628548564</v>
      </c>
      <c r="AP50" s="176">
        <f t="shared" si="8"/>
        <v>-244.66628548563696</v>
      </c>
      <c r="AQ50" s="180"/>
    </row>
    <row r="51" spans="2:43" x14ac:dyDescent="0.25">
      <c r="B51" s="15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5"/>
      <c r="R51" s="18"/>
      <c r="S51" s="19"/>
      <c r="U51" s="280"/>
      <c r="V51" s="72">
        <v>30</v>
      </c>
      <c r="W51" s="74">
        <f t="shared" si="17"/>
        <v>235</v>
      </c>
      <c r="X51" s="37">
        <v>29</v>
      </c>
      <c r="Y51" s="47">
        <v>5</v>
      </c>
      <c r="Z51" s="83">
        <v>-2.2628571428571429</v>
      </c>
      <c r="AA51" s="96">
        <f>AA52*2</f>
        <v>-1.1428571428571428</v>
      </c>
      <c r="AB51" s="89">
        <f t="shared" si="18"/>
        <v>-1.1428571428571428</v>
      </c>
      <c r="AC51" s="40">
        <f t="shared" si="19"/>
        <v>5.6190476190476204</v>
      </c>
      <c r="AD51" s="283"/>
      <c r="AE51" s="283"/>
      <c r="AF51" s="58">
        <f t="shared" si="4"/>
        <v>0.19047619047619069</v>
      </c>
      <c r="AG51" s="116">
        <f t="shared" si="0"/>
        <v>1.8685714285714309E-2</v>
      </c>
      <c r="AH51" s="39">
        <v>0.04</v>
      </c>
      <c r="AI51" s="41">
        <f t="shared" si="1"/>
        <v>272.71800000000002</v>
      </c>
      <c r="AJ51" s="41">
        <f t="shared" si="9"/>
        <v>16.044403552653069</v>
      </c>
      <c r="AK51" s="168">
        <f t="shared" si="3"/>
        <v>5249.3619166510007</v>
      </c>
      <c r="AL51" s="168">
        <v>132.38095238095252</v>
      </c>
      <c r="AM51" s="41">
        <f t="shared" si="6"/>
        <v>5670.5052725846062</v>
      </c>
      <c r="AN51" s="42">
        <f t="shared" si="2"/>
        <v>1080.0962423970691</v>
      </c>
      <c r="AO51" s="42">
        <f t="shared" si="7"/>
        <v>58575.90375760293</v>
      </c>
      <c r="AP51" s="176">
        <f t="shared" si="8"/>
        <v>1080.0962423970691</v>
      </c>
      <c r="AQ51" s="180"/>
    </row>
    <row r="52" spans="2:43" x14ac:dyDescent="0.25">
      <c r="B52" s="15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5"/>
      <c r="R52" s="18"/>
      <c r="S52" s="19"/>
      <c r="U52" s="280"/>
      <c r="V52" s="72">
        <v>36</v>
      </c>
      <c r="W52" s="74">
        <f t="shared" si="17"/>
        <v>241</v>
      </c>
      <c r="X52" s="37">
        <v>30</v>
      </c>
      <c r="Y52" s="47">
        <v>6</v>
      </c>
      <c r="Z52" s="83">
        <v>-1.1314285714285715</v>
      </c>
      <c r="AA52" s="96">
        <f>AA46/7</f>
        <v>-0.5714285714285714</v>
      </c>
      <c r="AB52" s="89">
        <f t="shared" si="18"/>
        <v>-0.5714285714285714</v>
      </c>
      <c r="AC52" s="105">
        <f t="shared" si="19"/>
        <v>5.8095238095238111</v>
      </c>
      <c r="AD52" s="283"/>
      <c r="AE52" s="283"/>
      <c r="AF52" s="58">
        <f t="shared" si="4"/>
        <v>0.19047619047619069</v>
      </c>
      <c r="AG52" s="116">
        <f t="shared" si="0"/>
        <v>1.8685714285714309E-2</v>
      </c>
      <c r="AH52" s="39">
        <v>0.04</v>
      </c>
      <c r="AI52" s="41">
        <f t="shared" si="1"/>
        <v>272.71800000000002</v>
      </c>
      <c r="AJ52" s="41">
        <f t="shared" si="9"/>
        <v>17.150596271020419</v>
      </c>
      <c r="AK52" s="168">
        <f t="shared" si="3"/>
        <v>6170.386429137835</v>
      </c>
      <c r="AL52" s="168">
        <v>132.38095238095252</v>
      </c>
      <c r="AM52" s="41">
        <f t="shared" si="6"/>
        <v>6592.6359777898078</v>
      </c>
      <c r="AN52" s="42">
        <f t="shared" si="2"/>
        <v>1255.7401862456791</v>
      </c>
      <c r="AO52" s="42">
        <f t="shared" si="7"/>
        <v>58400.259813754325</v>
      </c>
      <c r="AP52" s="176">
        <f t="shared" si="8"/>
        <v>1255.7401862456791</v>
      </c>
      <c r="AQ52" s="180"/>
    </row>
    <row r="53" spans="2:43" ht="15.75" thickBot="1" x14ac:dyDescent="0.3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R53" s="18"/>
      <c r="S53" s="19"/>
      <c r="U53" s="281"/>
      <c r="V53" s="75">
        <v>42</v>
      </c>
      <c r="W53" s="48">
        <f>W46+V53</f>
        <v>247</v>
      </c>
      <c r="X53" s="49">
        <f>X46+Y53</f>
        <v>31</v>
      </c>
      <c r="Y53" s="50">
        <v>7</v>
      </c>
      <c r="Z53" s="81">
        <v>0</v>
      </c>
      <c r="AA53" s="94">
        <v>0</v>
      </c>
      <c r="AB53" s="93">
        <f t="shared" si="18"/>
        <v>0</v>
      </c>
      <c r="AC53" s="102">
        <f>V53/Y53</f>
        <v>6</v>
      </c>
      <c r="AD53" s="284"/>
      <c r="AE53" s="284"/>
      <c r="AF53" s="64">
        <f t="shared" si="4"/>
        <v>0.19047619047618891</v>
      </c>
      <c r="AG53" s="115">
        <f t="shared" si="0"/>
        <v>1.8685714285714132E-2</v>
      </c>
      <c r="AH53" s="118">
        <v>0.04</v>
      </c>
      <c r="AI53" s="121">
        <f t="shared" si="1"/>
        <v>272.71800000000002</v>
      </c>
      <c r="AJ53" s="119">
        <f t="shared" si="9"/>
        <v>18.293662080000001</v>
      </c>
      <c r="AK53" s="121">
        <f t="shared" si="3"/>
        <v>0</v>
      </c>
      <c r="AL53" s="66">
        <v>132.3809523809513</v>
      </c>
      <c r="AM53" s="66">
        <f t="shared" si="6"/>
        <v>423.39261446095134</v>
      </c>
      <c r="AN53" s="164">
        <f t="shared" si="2"/>
        <v>80.646212278275783</v>
      </c>
      <c r="AO53" s="164">
        <f t="shared" si="7"/>
        <v>59575.353787721724</v>
      </c>
      <c r="AP53" s="177">
        <f t="shared" si="8"/>
        <v>80.646212278275783</v>
      </c>
      <c r="AQ53" s="180"/>
    </row>
    <row r="54" spans="2:43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R54" s="18"/>
      <c r="S54" s="19"/>
      <c r="U54" s="279" t="s">
        <v>39</v>
      </c>
      <c r="V54" s="71">
        <v>4.2</v>
      </c>
      <c r="W54" s="78">
        <f>$W$53+V54</f>
        <v>251.2</v>
      </c>
      <c r="X54" s="45">
        <v>32</v>
      </c>
      <c r="Y54" s="46">
        <v>1</v>
      </c>
      <c r="Z54" s="84">
        <v>1.6059999999999999</v>
      </c>
      <c r="AA54" s="95">
        <f>AA58/5</f>
        <v>0.6</v>
      </c>
      <c r="AB54" s="91">
        <f>$AB$53+AA54</f>
        <v>0.6</v>
      </c>
      <c r="AC54" s="111">
        <f>AC53+$AE$54</f>
        <v>5.64</v>
      </c>
      <c r="AD54" s="282">
        <f>AC58-AC53</f>
        <v>-1.7999999999999998</v>
      </c>
      <c r="AE54" s="282">
        <f>AD54/5</f>
        <v>-0.36</v>
      </c>
      <c r="AF54" s="58">
        <f t="shared" si="4"/>
        <v>-0.36000000000000032</v>
      </c>
      <c r="AG54" s="114">
        <f t="shared" si="0"/>
        <v>-3.5316000000000035E-2</v>
      </c>
      <c r="AH54" s="117">
        <v>0.04</v>
      </c>
      <c r="AI54" s="151">
        <f t="shared" si="1"/>
        <v>272.71800000000002</v>
      </c>
      <c r="AJ54" s="121">
        <f t="shared" si="9"/>
        <v>16.164279813888001</v>
      </c>
      <c r="AK54" s="151">
        <f t="shared" si="3"/>
        <v>-6813.7256983220541</v>
      </c>
      <c r="AL54" s="174">
        <v>-250.20000000000022</v>
      </c>
      <c r="AM54" s="169">
        <f t="shared" si="6"/>
        <v>-6775.0434185081658</v>
      </c>
      <c r="AN54" s="61">
        <f t="shared" ref="AN54:AN85" si="20">AM54*AF54</f>
        <v>2439.0156306629419</v>
      </c>
      <c r="AO54" s="61">
        <f t="shared" si="7"/>
        <v>57216.984369337057</v>
      </c>
      <c r="AP54" s="176">
        <f t="shared" si="8"/>
        <v>2439.0156306629419</v>
      </c>
      <c r="AQ54" s="180"/>
    </row>
    <row r="55" spans="2:43" x14ac:dyDescent="0.2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R55" s="18"/>
      <c r="S55" s="19"/>
      <c r="U55" s="280"/>
      <c r="V55" s="72">
        <v>8.4</v>
      </c>
      <c r="W55" s="72">
        <f t="shared" ref="W55:W57" si="21">$W$53+V55</f>
        <v>255.4</v>
      </c>
      <c r="X55" s="37">
        <v>33</v>
      </c>
      <c r="Y55" s="47">
        <v>2</v>
      </c>
      <c r="Z55" s="83">
        <v>3.2119999999999997</v>
      </c>
      <c r="AA55" s="96">
        <f>AA54*2</f>
        <v>1.2</v>
      </c>
      <c r="AB55" s="89">
        <f t="shared" ref="AB55:AB58" si="22">$AB$53+AA55</f>
        <v>1.2</v>
      </c>
      <c r="AC55" s="40">
        <f t="shared" ref="AC55:AC57" si="23">AC54+$AE$54</f>
        <v>5.2799999999999994</v>
      </c>
      <c r="AD55" s="283"/>
      <c r="AE55" s="283"/>
      <c r="AF55" s="58">
        <f t="shared" si="4"/>
        <v>-0.36000000000000032</v>
      </c>
      <c r="AG55" s="116">
        <f t="shared" si="0"/>
        <v>-3.5316000000000035E-2</v>
      </c>
      <c r="AH55" s="39">
        <v>0.04</v>
      </c>
      <c r="AI55" s="41">
        <f t="shared" si="1"/>
        <v>272.71800000000002</v>
      </c>
      <c r="AJ55" s="41">
        <f t="shared" si="9"/>
        <v>14.166611914751996</v>
      </c>
      <c r="AK55" s="168">
        <f t="shared" ref="AK55:AK86" si="24">$C$6*9.81*-SIN(Z55)</f>
        <v>479.63726229496302</v>
      </c>
      <c r="AL55" s="168">
        <v>-250.20000000000022</v>
      </c>
      <c r="AM55" s="41">
        <f t="shared" si="6"/>
        <v>516.32187420971468</v>
      </c>
      <c r="AN55" s="42">
        <f t="shared" si="20"/>
        <v>-185.87587471549745</v>
      </c>
      <c r="AO55" s="42">
        <f t="shared" si="7"/>
        <v>59841.875874715501</v>
      </c>
      <c r="AP55" s="176">
        <f t="shared" si="8"/>
        <v>-185.87587471549745</v>
      </c>
      <c r="AQ55" s="180"/>
    </row>
    <row r="56" spans="2:43" x14ac:dyDescent="0.2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R56" s="18"/>
      <c r="S56" s="19"/>
      <c r="U56" s="280"/>
      <c r="V56" s="76">
        <v>12.8</v>
      </c>
      <c r="W56" s="72">
        <f t="shared" si="21"/>
        <v>259.8</v>
      </c>
      <c r="X56" s="37">
        <v>34</v>
      </c>
      <c r="Y56" s="47">
        <v>3</v>
      </c>
      <c r="Z56" s="83">
        <v>4.8179999999999996</v>
      </c>
      <c r="AA56" s="96">
        <f>AA54*3</f>
        <v>1.7999999999999998</v>
      </c>
      <c r="AB56" s="89">
        <f t="shared" si="22"/>
        <v>1.7999999999999998</v>
      </c>
      <c r="AC56" s="40">
        <f t="shared" si="23"/>
        <v>4.919999999999999</v>
      </c>
      <c r="AD56" s="283"/>
      <c r="AE56" s="283"/>
      <c r="AF56" s="58">
        <f t="shared" si="4"/>
        <v>-0.36000000000000032</v>
      </c>
      <c r="AG56" s="116">
        <f t="shared" si="0"/>
        <v>-3.5316000000000035E-2</v>
      </c>
      <c r="AH56" s="39">
        <v>0.04</v>
      </c>
      <c r="AI56" s="41">
        <f t="shared" si="1"/>
        <v>272.71800000000002</v>
      </c>
      <c r="AJ56" s="41">
        <f t="shared" si="9"/>
        <v>12.300658382591998</v>
      </c>
      <c r="AK56" s="168">
        <f t="shared" si="24"/>
        <v>6779.9626861951556</v>
      </c>
      <c r="AL56" s="168">
        <v>-250.20000000000022</v>
      </c>
      <c r="AM56" s="41">
        <f t="shared" si="6"/>
        <v>6814.7813445777474</v>
      </c>
      <c r="AN56" s="42">
        <f t="shared" si="20"/>
        <v>-2453.3212840479914</v>
      </c>
      <c r="AO56" s="42">
        <f t="shared" si="7"/>
        <v>62109.32128404799</v>
      </c>
      <c r="AP56" s="176">
        <f t="shared" si="8"/>
        <v>-2453.3212840479914</v>
      </c>
      <c r="AQ56" s="180"/>
    </row>
    <row r="57" spans="2:43" x14ac:dyDescent="0.2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R57" s="18"/>
      <c r="S57" s="19"/>
      <c r="U57" s="280"/>
      <c r="V57" s="72">
        <v>16.8</v>
      </c>
      <c r="W57" s="74">
        <f t="shared" si="21"/>
        <v>263.8</v>
      </c>
      <c r="X57" s="37">
        <v>35</v>
      </c>
      <c r="Y57" s="47">
        <v>4</v>
      </c>
      <c r="Z57" s="83">
        <v>6.4239999999999995</v>
      </c>
      <c r="AA57" s="96">
        <f>AA54*4</f>
        <v>2.4</v>
      </c>
      <c r="AB57" s="89">
        <f t="shared" si="22"/>
        <v>2.4</v>
      </c>
      <c r="AC57" s="40">
        <f t="shared" si="23"/>
        <v>4.5599999999999987</v>
      </c>
      <c r="AD57" s="283"/>
      <c r="AE57" s="283"/>
      <c r="AF57" s="58">
        <f t="shared" si="4"/>
        <v>-0.36000000000000032</v>
      </c>
      <c r="AG57" s="116">
        <f t="shared" si="0"/>
        <v>-3.5316000000000035E-2</v>
      </c>
      <c r="AH57" s="39">
        <v>0.04</v>
      </c>
      <c r="AI57" s="41">
        <f t="shared" si="1"/>
        <v>272.71800000000002</v>
      </c>
      <c r="AJ57" s="41">
        <f t="shared" si="9"/>
        <v>10.566419217407994</v>
      </c>
      <c r="AK57" s="168">
        <f t="shared" si="24"/>
        <v>-956.8978514715227</v>
      </c>
      <c r="AL57" s="41">
        <v>-250.20000000000022</v>
      </c>
      <c r="AM57" s="41">
        <f t="shared" si="6"/>
        <v>-923.81343225411501</v>
      </c>
      <c r="AN57" s="42">
        <f t="shared" si="20"/>
        <v>332.57283561148171</v>
      </c>
      <c r="AO57" s="42">
        <f t="shared" si="7"/>
        <v>59323.427164388515</v>
      </c>
      <c r="AP57" s="176">
        <f t="shared" si="8"/>
        <v>332.57283561148171</v>
      </c>
      <c r="AQ57" s="180"/>
    </row>
    <row r="58" spans="2:43" ht="15.75" thickBot="1" x14ac:dyDescent="0.3">
      <c r="B58" s="15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5"/>
      <c r="R58" s="18"/>
      <c r="S58" s="86"/>
      <c r="U58" s="281"/>
      <c r="V58" s="75">
        <v>21</v>
      </c>
      <c r="W58" s="48">
        <f>W53+V58</f>
        <v>268</v>
      </c>
      <c r="X58" s="49">
        <f>X53+Y58</f>
        <v>36</v>
      </c>
      <c r="Y58" s="50">
        <v>5</v>
      </c>
      <c r="Z58" s="81">
        <v>8.0299999999999994</v>
      </c>
      <c r="AA58" s="94">
        <v>3</v>
      </c>
      <c r="AB58" s="93">
        <f t="shared" si="22"/>
        <v>3</v>
      </c>
      <c r="AC58" s="102">
        <f>V58/Y58</f>
        <v>4.2</v>
      </c>
      <c r="AD58" s="284"/>
      <c r="AE58" s="284"/>
      <c r="AF58" s="109">
        <f t="shared" si="4"/>
        <v>-0.35999999999999854</v>
      </c>
      <c r="AG58" s="115">
        <f t="shared" si="0"/>
        <v>-3.5315999999999861E-2</v>
      </c>
      <c r="AH58" s="118">
        <v>0.04</v>
      </c>
      <c r="AI58" s="121">
        <f t="shared" si="1"/>
        <v>272.71800000000002</v>
      </c>
      <c r="AJ58" s="119">
        <f t="shared" si="9"/>
        <v>8.9638944192000007</v>
      </c>
      <c r="AK58" s="66">
        <f t="shared" si="24"/>
        <v>-6712.6039626279944</v>
      </c>
      <c r="AL58" s="173">
        <v>-250.19999999999899</v>
      </c>
      <c r="AM58" s="66">
        <f t="shared" si="6"/>
        <v>-6681.1220682087933</v>
      </c>
      <c r="AN58" s="164">
        <f t="shared" si="20"/>
        <v>2405.2039445551559</v>
      </c>
      <c r="AO58" s="164">
        <f t="shared" si="7"/>
        <v>57250.796055444844</v>
      </c>
      <c r="AP58" s="177">
        <f t="shared" si="8"/>
        <v>2405.2039445551559</v>
      </c>
      <c r="AQ58" s="180"/>
    </row>
    <row r="59" spans="2:43" x14ac:dyDescent="0.25">
      <c r="B59" s="15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5"/>
      <c r="R59" s="18"/>
      <c r="S59" s="19"/>
      <c r="U59" s="279" t="s">
        <v>40</v>
      </c>
      <c r="V59" s="71">
        <v>9.7100000000000009</v>
      </c>
      <c r="W59" s="71">
        <f>$W$58+V59</f>
        <v>277.70999999999998</v>
      </c>
      <c r="X59" s="45">
        <v>37</v>
      </c>
      <c r="Y59" s="46">
        <v>1</v>
      </c>
      <c r="Z59" s="84">
        <v>6.8828571428571426</v>
      </c>
      <c r="AA59" s="95">
        <f>AA64*6</f>
        <v>2.5714285714285712</v>
      </c>
      <c r="AB59" s="91">
        <f>$AB$58+AA59</f>
        <v>5.5714285714285712</v>
      </c>
      <c r="AC59" s="111">
        <f>AC58+$AE$59</f>
        <v>4.9877551020408166</v>
      </c>
      <c r="AD59" s="282">
        <f>AC65-AC58</f>
        <v>5.5142857142857133</v>
      </c>
      <c r="AE59" s="282">
        <f>AD59/7</f>
        <v>0.78775510204081622</v>
      </c>
      <c r="AF59" s="62">
        <f t="shared" si="4"/>
        <v>0.78775510204081645</v>
      </c>
      <c r="AG59" s="114">
        <f t="shared" si="0"/>
        <v>7.7278775510204095E-2</v>
      </c>
      <c r="AH59" s="117">
        <v>0.04</v>
      </c>
      <c r="AI59" s="151">
        <f t="shared" si="1"/>
        <v>272.71800000000002</v>
      </c>
      <c r="AJ59" s="121">
        <f t="shared" si="9"/>
        <v>12.641784851437238</v>
      </c>
      <c r="AK59" s="152">
        <f t="shared" si="24"/>
        <v>-3847.8573317662149</v>
      </c>
      <c r="AL59" s="171">
        <v>547.48979591836746</v>
      </c>
      <c r="AM59" s="169">
        <f t="shared" si="6"/>
        <v>-3015.0077509964103</v>
      </c>
      <c r="AN59" s="61">
        <f t="shared" si="20"/>
        <v>-2375.0877385400299</v>
      </c>
      <c r="AO59" s="61">
        <f t="shared" si="7"/>
        <v>62031.087738540031</v>
      </c>
      <c r="AP59" s="176">
        <f t="shared" si="8"/>
        <v>-2375.0877385400299</v>
      </c>
      <c r="AQ59" s="180"/>
    </row>
    <row r="60" spans="2:43" x14ac:dyDescent="0.25">
      <c r="B60" s="15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5"/>
      <c r="R60" s="18"/>
      <c r="S60" s="19"/>
      <c r="U60" s="280"/>
      <c r="V60" s="72">
        <v>19.43</v>
      </c>
      <c r="W60" s="77">
        <f t="shared" ref="W60:W64" si="25">$W$58+V60</f>
        <v>287.43</v>
      </c>
      <c r="X60" s="37">
        <v>38</v>
      </c>
      <c r="Y60" s="47">
        <v>2</v>
      </c>
      <c r="Z60" s="83">
        <v>5.7357142857142849</v>
      </c>
      <c r="AA60" s="96">
        <f>AA64*5</f>
        <v>2.1428571428571428</v>
      </c>
      <c r="AB60" s="89">
        <f t="shared" ref="AB60:AB65" si="26">$AB$58+AA60</f>
        <v>5.1428571428571423</v>
      </c>
      <c r="AC60" s="40">
        <f t="shared" ref="AC60:AC64" si="27">AC59+$AE$59</f>
        <v>5.7755102040816331</v>
      </c>
      <c r="AD60" s="283"/>
      <c r="AE60" s="283"/>
      <c r="AF60" s="58">
        <f t="shared" si="4"/>
        <v>0.78775510204081645</v>
      </c>
      <c r="AG60" s="116">
        <f t="shared" si="0"/>
        <v>7.7278775510204095E-2</v>
      </c>
      <c r="AH60" s="39">
        <v>0.04</v>
      </c>
      <c r="AI60" s="41">
        <f t="shared" si="1"/>
        <v>272.71800000000002</v>
      </c>
      <c r="AJ60" s="41">
        <f t="shared" si="9"/>
        <v>16.950357516834657</v>
      </c>
      <c r="AK60" s="121">
        <f t="shared" si="24"/>
        <v>3548.9444013058896</v>
      </c>
      <c r="AL60" s="154">
        <v>547.48979591836746</v>
      </c>
      <c r="AM60" s="41">
        <f t="shared" si="6"/>
        <v>4386.1025547410918</v>
      </c>
      <c r="AN60" s="42">
        <f t="shared" si="20"/>
        <v>3455.1746655715547</v>
      </c>
      <c r="AO60" s="42">
        <f t="shared" si="7"/>
        <v>56200.825334428446</v>
      </c>
      <c r="AP60" s="176">
        <f t="shared" si="8"/>
        <v>3455.1746655715547</v>
      </c>
      <c r="AQ60" s="180"/>
    </row>
    <row r="61" spans="2:43" x14ac:dyDescent="0.25">
      <c r="B61" s="15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5"/>
      <c r="R61" s="18"/>
      <c r="S61" s="19"/>
      <c r="U61" s="280"/>
      <c r="V61" s="72">
        <v>29.14</v>
      </c>
      <c r="W61" s="72">
        <f t="shared" si="25"/>
        <v>297.14</v>
      </c>
      <c r="X61" s="37">
        <v>39</v>
      </c>
      <c r="Y61" s="47">
        <v>3</v>
      </c>
      <c r="Z61" s="83">
        <v>4.5885714285714281</v>
      </c>
      <c r="AA61" s="96">
        <f>AA64*4</f>
        <v>1.7142857142857142</v>
      </c>
      <c r="AB61" s="89">
        <f t="shared" si="26"/>
        <v>4.7142857142857144</v>
      </c>
      <c r="AC61" s="40">
        <f t="shared" si="27"/>
        <v>6.5632653061224495</v>
      </c>
      <c r="AD61" s="283"/>
      <c r="AE61" s="283"/>
      <c r="AF61" s="58">
        <f t="shared" si="4"/>
        <v>0.78775510204081645</v>
      </c>
      <c r="AG61" s="116">
        <f t="shared" si="0"/>
        <v>7.7278775510204095E-2</v>
      </c>
      <c r="AH61" s="39">
        <v>0.04</v>
      </c>
      <c r="AI61" s="41">
        <f t="shared" si="1"/>
        <v>272.71800000000002</v>
      </c>
      <c r="AJ61" s="41">
        <f t="shared" si="9"/>
        <v>21.889612415392257</v>
      </c>
      <c r="AK61" s="121">
        <f t="shared" si="24"/>
        <v>6765.7544676868702</v>
      </c>
      <c r="AL61" s="154">
        <v>547.48979591836746</v>
      </c>
      <c r="AM61" s="152">
        <f t="shared" si="6"/>
        <v>7607.8518760206298</v>
      </c>
      <c r="AN61" s="42">
        <f t="shared" si="20"/>
        <v>5993.1241309060479</v>
      </c>
      <c r="AO61" s="42">
        <f t="shared" si="7"/>
        <v>53662.87586909395</v>
      </c>
      <c r="AP61" s="176">
        <f t="shared" si="8"/>
        <v>5993.1241309060479</v>
      </c>
      <c r="AQ61" s="180"/>
    </row>
    <row r="62" spans="2:43" x14ac:dyDescent="0.25">
      <c r="B62" s="15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5"/>
      <c r="R62" s="18"/>
      <c r="S62" s="19"/>
      <c r="U62" s="280"/>
      <c r="V62" s="72">
        <v>38.86</v>
      </c>
      <c r="W62" s="76">
        <f t="shared" si="25"/>
        <v>306.86</v>
      </c>
      <c r="X62" s="37">
        <v>40</v>
      </c>
      <c r="Y62" s="47">
        <v>4</v>
      </c>
      <c r="Z62" s="83">
        <v>3.4414285714285713</v>
      </c>
      <c r="AA62" s="96">
        <f>AA64*3</f>
        <v>1.2857142857142856</v>
      </c>
      <c r="AB62" s="89">
        <f t="shared" si="26"/>
        <v>4.2857142857142856</v>
      </c>
      <c r="AC62" s="40">
        <f t="shared" si="27"/>
        <v>7.351020408163266</v>
      </c>
      <c r="AD62" s="283"/>
      <c r="AE62" s="283"/>
      <c r="AF62" s="58">
        <f t="shared" si="4"/>
        <v>0.78775510204081645</v>
      </c>
      <c r="AG62" s="116">
        <f t="shared" si="0"/>
        <v>7.7278775510204095E-2</v>
      </c>
      <c r="AH62" s="39">
        <v>0.04</v>
      </c>
      <c r="AI62" s="41">
        <f t="shared" si="1"/>
        <v>272.71800000000002</v>
      </c>
      <c r="AJ62" s="41">
        <f t="shared" si="9"/>
        <v>27.459549547110043</v>
      </c>
      <c r="AK62" s="121">
        <f t="shared" si="24"/>
        <v>2013.7732271646005</v>
      </c>
      <c r="AL62" s="154">
        <v>547.48979591836746</v>
      </c>
      <c r="AM62" s="41">
        <f t="shared" si="6"/>
        <v>2861.4405726300783</v>
      </c>
      <c r="AN62" s="42">
        <f t="shared" si="20"/>
        <v>2254.1144102759395</v>
      </c>
      <c r="AO62" s="42">
        <f t="shared" si="7"/>
        <v>57401.885589724057</v>
      </c>
      <c r="AP62" s="176">
        <f t="shared" si="8"/>
        <v>2254.1144102759395</v>
      </c>
      <c r="AQ62" s="180"/>
    </row>
    <row r="63" spans="2:43" x14ac:dyDescent="0.25">
      <c r="B63" s="15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5"/>
      <c r="R63" s="18"/>
      <c r="S63" s="19"/>
      <c r="U63" s="280"/>
      <c r="V63" s="72">
        <v>48.57</v>
      </c>
      <c r="W63" s="72">
        <f t="shared" si="25"/>
        <v>316.57</v>
      </c>
      <c r="X63" s="37">
        <v>41</v>
      </c>
      <c r="Y63" s="47">
        <v>5</v>
      </c>
      <c r="Z63" s="83">
        <v>2.294285714285714</v>
      </c>
      <c r="AA63" s="96">
        <f>AA64*2</f>
        <v>0.8571428571428571</v>
      </c>
      <c r="AB63" s="89">
        <f t="shared" si="26"/>
        <v>3.8571428571428572</v>
      </c>
      <c r="AC63" s="40">
        <f t="shared" si="27"/>
        <v>8.1387755102040824</v>
      </c>
      <c r="AD63" s="283"/>
      <c r="AE63" s="283"/>
      <c r="AF63" s="58">
        <f t="shared" si="4"/>
        <v>0.78775510204081645</v>
      </c>
      <c r="AG63" s="116">
        <f t="shared" si="0"/>
        <v>7.7278775510204095E-2</v>
      </c>
      <c r="AH63" s="39">
        <v>0.04</v>
      </c>
      <c r="AI63" s="41">
        <f t="shared" si="1"/>
        <v>272.71800000000002</v>
      </c>
      <c r="AJ63" s="41">
        <f t="shared" si="9"/>
        <v>33.660168911988016</v>
      </c>
      <c r="AK63" s="121">
        <f t="shared" si="24"/>
        <v>-5110.0556267089369</v>
      </c>
      <c r="AL63" s="154">
        <v>547.48979591836746</v>
      </c>
      <c r="AM63" s="41">
        <f t="shared" si="6"/>
        <v>-4256.1876618785818</v>
      </c>
      <c r="AN63" s="42">
        <f t="shared" si="20"/>
        <v>-3352.833545888026</v>
      </c>
      <c r="AO63" s="42">
        <f t="shared" si="7"/>
        <v>63008.833545888025</v>
      </c>
      <c r="AP63" s="176">
        <f t="shared" si="8"/>
        <v>-3352.833545888026</v>
      </c>
      <c r="AQ63" s="180"/>
    </row>
    <row r="64" spans="2:43" x14ac:dyDescent="0.25">
      <c r="B64" s="15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5"/>
      <c r="Q64" s="18"/>
      <c r="R64" s="18"/>
      <c r="S64" s="19"/>
      <c r="U64" s="280"/>
      <c r="V64" s="72">
        <v>58.29</v>
      </c>
      <c r="W64" s="74">
        <f t="shared" si="25"/>
        <v>326.29000000000002</v>
      </c>
      <c r="X64" s="37">
        <v>42</v>
      </c>
      <c r="Y64" s="47">
        <v>6</v>
      </c>
      <c r="Z64" s="83">
        <v>1.147142857142857</v>
      </c>
      <c r="AA64" s="96">
        <f>AA58/7</f>
        <v>0.42857142857142855</v>
      </c>
      <c r="AB64" s="89">
        <f t="shared" si="26"/>
        <v>3.4285714285714284</v>
      </c>
      <c r="AC64" s="40">
        <f t="shared" si="27"/>
        <v>8.926530612244898</v>
      </c>
      <c r="AD64" s="283"/>
      <c r="AE64" s="283"/>
      <c r="AF64" s="58">
        <f t="shared" si="4"/>
        <v>0.78775510204081556</v>
      </c>
      <c r="AG64" s="116">
        <f t="shared" si="0"/>
        <v>7.7278775510204012E-2</v>
      </c>
      <c r="AH64" s="39">
        <v>0.04</v>
      </c>
      <c r="AI64" s="41">
        <f t="shared" si="1"/>
        <v>272.71800000000002</v>
      </c>
      <c r="AJ64" s="41">
        <f t="shared" si="9"/>
        <v>40.491470510026154</v>
      </c>
      <c r="AK64" s="121">
        <f t="shared" si="24"/>
        <v>-6215.1962396194167</v>
      </c>
      <c r="AL64" s="154">
        <v>547.48979591836678</v>
      </c>
      <c r="AM64" s="60">
        <f t="shared" si="6"/>
        <v>-5354.4969731910242</v>
      </c>
      <c r="AN64" s="42">
        <f t="shared" si="20"/>
        <v>-4218.0323094933328</v>
      </c>
      <c r="AO64" s="42">
        <f t="shared" si="7"/>
        <v>63874.032309493334</v>
      </c>
      <c r="AP64" s="176">
        <f t="shared" si="8"/>
        <v>-4218.0323094933328</v>
      </c>
      <c r="AQ64" s="180"/>
    </row>
    <row r="65" spans="2:43" ht="15.75" thickBot="1" x14ac:dyDescent="0.3">
      <c r="B65" s="15"/>
      <c r="C65" s="17"/>
      <c r="D65" s="15"/>
      <c r="E65" s="15"/>
      <c r="F65" s="15"/>
      <c r="G65" s="15"/>
      <c r="H65" s="15"/>
      <c r="I65" s="15"/>
      <c r="J65" s="15"/>
      <c r="K65" s="15"/>
      <c r="L65" s="15"/>
      <c r="M65" s="15"/>
      <c r="Q65" s="18"/>
      <c r="S65" s="19"/>
      <c r="U65" s="281"/>
      <c r="V65" s="75">
        <v>68</v>
      </c>
      <c r="W65" s="48">
        <f>W58+V65</f>
        <v>336</v>
      </c>
      <c r="X65" s="49">
        <f>X58+Y65</f>
        <v>43</v>
      </c>
      <c r="Y65" s="50">
        <v>7</v>
      </c>
      <c r="Z65" s="81">
        <v>0</v>
      </c>
      <c r="AA65" s="94">
        <v>0</v>
      </c>
      <c r="AB65" s="90">
        <f t="shared" si="26"/>
        <v>3</v>
      </c>
      <c r="AC65" s="102">
        <f>V65/Y65</f>
        <v>9.7142857142857135</v>
      </c>
      <c r="AD65" s="284"/>
      <c r="AE65" s="284"/>
      <c r="AF65" s="109">
        <f t="shared" si="4"/>
        <v>0.78775510204081556</v>
      </c>
      <c r="AG65" s="115">
        <f t="shared" si="0"/>
        <v>7.7278775510204012E-2</v>
      </c>
      <c r="AH65" s="118">
        <v>0.04</v>
      </c>
      <c r="AI65" s="66">
        <f t="shared" si="1"/>
        <v>272.71800000000002</v>
      </c>
      <c r="AJ65" s="119">
        <f t="shared" si="9"/>
        <v>47.953454341224486</v>
      </c>
      <c r="AK65" s="66">
        <f t="shared" si="24"/>
        <v>0</v>
      </c>
      <c r="AL65" s="66">
        <v>547.48979591836678</v>
      </c>
      <c r="AM65" s="152">
        <f t="shared" si="6"/>
        <v>868.16125025959127</v>
      </c>
      <c r="AN65" s="164">
        <f t="shared" si="20"/>
        <v>683.89845428612637</v>
      </c>
      <c r="AO65" s="164">
        <f t="shared" si="7"/>
        <v>58972.101545713871</v>
      </c>
      <c r="AP65" s="177">
        <f t="shared" si="8"/>
        <v>683.89845428612637</v>
      </c>
      <c r="AQ65" s="180"/>
    </row>
    <row r="66" spans="2:43" x14ac:dyDescent="0.25">
      <c r="B66" s="15"/>
      <c r="C66" s="17"/>
      <c r="D66" s="15"/>
      <c r="E66" s="15"/>
      <c r="F66" s="15"/>
      <c r="G66" s="15"/>
      <c r="H66" s="15"/>
      <c r="I66" s="15"/>
      <c r="J66" s="15"/>
      <c r="K66" s="15"/>
      <c r="L66" s="15"/>
      <c r="M66" s="15"/>
      <c r="Q66" s="18"/>
      <c r="S66" s="19"/>
      <c r="U66" s="279" t="s">
        <v>41</v>
      </c>
      <c r="V66" s="71">
        <v>4.67</v>
      </c>
      <c r="W66" s="78">
        <f>$W$65+V66</f>
        <v>340.67</v>
      </c>
      <c r="X66" s="45">
        <v>44</v>
      </c>
      <c r="Y66" s="46">
        <v>1</v>
      </c>
      <c r="Z66" s="84">
        <v>-1.2433333333333334</v>
      </c>
      <c r="AA66" s="95">
        <f>AA71/6</f>
        <v>-0.66666666666666663</v>
      </c>
      <c r="AB66" s="88">
        <f>$AB$65+AA66</f>
        <v>2.3333333333333335</v>
      </c>
      <c r="AC66" s="111">
        <f>AC65+$AE$66</f>
        <v>8.8730158730158717</v>
      </c>
      <c r="AD66" s="282">
        <f>AC71-AC65</f>
        <v>-5.0476190476190466</v>
      </c>
      <c r="AE66" s="282">
        <f>AD66/6</f>
        <v>-0.84126984126984106</v>
      </c>
      <c r="AF66" s="62">
        <f t="shared" si="4"/>
        <v>-0.84126984126984183</v>
      </c>
      <c r="AG66" s="114">
        <f t="shared" si="0"/>
        <v>-8.2528571428571493E-2</v>
      </c>
      <c r="AH66" s="117">
        <v>0.04</v>
      </c>
      <c r="AI66" s="60">
        <f t="shared" si="1"/>
        <v>272.71800000000002</v>
      </c>
      <c r="AJ66" s="121">
        <f t="shared" si="9"/>
        <v>40.007431345850335</v>
      </c>
      <c r="AK66" s="152">
        <f t="shared" si="24"/>
        <v>6455.6536642356086</v>
      </c>
      <c r="AL66" s="171">
        <v>-584.6825396825401</v>
      </c>
      <c r="AM66" s="169">
        <f t="shared" si="6"/>
        <v>6183.6965558989195</v>
      </c>
      <c r="AN66" s="61">
        <f t="shared" si="20"/>
        <v>-5202.1574200419518</v>
      </c>
      <c r="AO66" s="61">
        <f t="shared" si="7"/>
        <v>64858.157420041949</v>
      </c>
      <c r="AP66" s="176">
        <f t="shared" si="8"/>
        <v>-5202.1574200419518</v>
      </c>
      <c r="AQ66" s="180"/>
    </row>
    <row r="67" spans="2:43" x14ac:dyDescent="0.25">
      <c r="B67" s="15"/>
      <c r="C67" s="17"/>
      <c r="D67" s="15"/>
      <c r="E67" s="15"/>
      <c r="F67" s="15"/>
      <c r="G67" s="15"/>
      <c r="H67" s="15"/>
      <c r="I67" s="15"/>
      <c r="J67" s="15"/>
      <c r="K67" s="15"/>
      <c r="L67" s="15"/>
      <c r="M67" s="15"/>
      <c r="Q67" s="18"/>
      <c r="S67" s="19"/>
      <c r="U67" s="280"/>
      <c r="V67" s="72">
        <v>9.33</v>
      </c>
      <c r="W67" s="76">
        <f t="shared" ref="W67:W70" si="28">$W$65+V67</f>
        <v>345.33</v>
      </c>
      <c r="X67" s="37">
        <v>45</v>
      </c>
      <c r="Y67" s="47">
        <v>2</v>
      </c>
      <c r="Z67" s="83">
        <v>-2.4866666666666668</v>
      </c>
      <c r="AA67" s="96">
        <f>AA66*2</f>
        <v>-1.3333333333333333</v>
      </c>
      <c r="AB67" s="89">
        <f t="shared" ref="AB67:AB71" si="29">$AB$65+AA67</f>
        <v>1.6666666666666667</v>
      </c>
      <c r="AC67" s="40">
        <f t="shared" ref="AC67:AC70" si="30">AC66+$AE$66</f>
        <v>8.0317460317460299</v>
      </c>
      <c r="AD67" s="283"/>
      <c r="AE67" s="283"/>
      <c r="AF67" s="58">
        <f t="shared" si="4"/>
        <v>-0.84126984126984183</v>
      </c>
      <c r="AG67" s="116">
        <f t="shared" si="0"/>
        <v>-8.2528571428571493E-2</v>
      </c>
      <c r="AH67" s="39">
        <v>0.04</v>
      </c>
      <c r="AI67" s="41">
        <f t="shared" si="1"/>
        <v>272.71800000000002</v>
      </c>
      <c r="AJ67" s="41">
        <f t="shared" si="9"/>
        <v>32.780689680544207</v>
      </c>
      <c r="AK67" s="121">
        <f t="shared" si="24"/>
        <v>4152.8170658534909</v>
      </c>
      <c r="AL67" s="154">
        <v>-584.6825396825401</v>
      </c>
      <c r="AM67" s="41">
        <f t="shared" si="6"/>
        <v>3873.6332158514947</v>
      </c>
      <c r="AN67" s="42">
        <f t="shared" si="20"/>
        <v>-3258.7708006369739</v>
      </c>
      <c r="AO67" s="42">
        <f t="shared" si="7"/>
        <v>62914.770800636972</v>
      </c>
      <c r="AP67" s="176">
        <f t="shared" si="8"/>
        <v>-3258.7708006369739</v>
      </c>
      <c r="AQ67" s="180"/>
    </row>
    <row r="68" spans="2:43" x14ac:dyDescent="0.25">
      <c r="B68" s="15"/>
      <c r="C68" s="17"/>
      <c r="D68" s="15"/>
      <c r="E68" s="15"/>
      <c r="F68" s="15"/>
      <c r="G68" s="15"/>
      <c r="H68" s="15"/>
      <c r="I68" s="15"/>
      <c r="J68" s="15"/>
      <c r="K68" s="15"/>
      <c r="L68" s="15"/>
      <c r="M68" s="15"/>
      <c r="Q68" s="18"/>
      <c r="S68" s="19"/>
      <c r="U68" s="280"/>
      <c r="V68" s="72">
        <v>14</v>
      </c>
      <c r="W68" s="72">
        <f t="shared" si="28"/>
        <v>350</v>
      </c>
      <c r="X68" s="37">
        <v>46</v>
      </c>
      <c r="Y68" s="47">
        <v>3</v>
      </c>
      <c r="Z68" s="83">
        <v>-3.7300000000000004</v>
      </c>
      <c r="AA68" s="96">
        <f>AA66*3</f>
        <v>-2</v>
      </c>
      <c r="AB68" s="89">
        <f t="shared" si="29"/>
        <v>1</v>
      </c>
      <c r="AC68" s="40">
        <f t="shared" si="30"/>
        <v>7.1904761904761889</v>
      </c>
      <c r="AD68" s="283"/>
      <c r="AE68" s="283"/>
      <c r="AF68" s="58">
        <f t="shared" si="4"/>
        <v>-0.84126984126984095</v>
      </c>
      <c r="AG68" s="116">
        <f t="shared" si="0"/>
        <v>-8.2528571428571396E-2</v>
      </c>
      <c r="AH68" s="39">
        <v>0.04</v>
      </c>
      <c r="AI68" s="41">
        <f t="shared" si="1"/>
        <v>272.71800000000002</v>
      </c>
      <c r="AJ68" s="41">
        <f t="shared" si="9"/>
        <v>26.273229345306113</v>
      </c>
      <c r="AK68" s="121">
        <f t="shared" si="24"/>
        <v>-3784.2139496198142</v>
      </c>
      <c r="AL68" s="154">
        <v>-584.68253968253941</v>
      </c>
      <c r="AM68" s="41">
        <f t="shared" si="6"/>
        <v>-4069.9052599570473</v>
      </c>
      <c r="AN68" s="42">
        <f t="shared" si="20"/>
        <v>3423.8885520273561</v>
      </c>
      <c r="AO68" s="42">
        <f t="shared" si="7"/>
        <v>56232.111447972646</v>
      </c>
      <c r="AP68" s="176">
        <f t="shared" si="8"/>
        <v>3423.8885520273561</v>
      </c>
      <c r="AQ68" s="180"/>
    </row>
    <row r="69" spans="2:43" x14ac:dyDescent="0.25">
      <c r="B69" s="15"/>
      <c r="C69" s="17"/>
      <c r="D69" s="15"/>
      <c r="E69" s="15"/>
      <c r="F69" s="15"/>
      <c r="G69" s="15"/>
      <c r="H69" s="15"/>
      <c r="I69" s="15"/>
      <c r="J69" s="15"/>
      <c r="K69" s="15"/>
      <c r="L69" s="15"/>
      <c r="M69" s="15"/>
      <c r="Q69" s="18"/>
      <c r="S69" s="19"/>
      <c r="U69" s="280"/>
      <c r="V69" s="72">
        <v>18.670000000000002</v>
      </c>
      <c r="W69" s="74">
        <f t="shared" si="28"/>
        <v>354.67</v>
      </c>
      <c r="X69" s="37">
        <v>47</v>
      </c>
      <c r="Y69" s="47">
        <v>4</v>
      </c>
      <c r="Z69" s="83">
        <v>-4.9733333333333336</v>
      </c>
      <c r="AA69" s="96">
        <f>AA66*4</f>
        <v>-2.6666666666666665</v>
      </c>
      <c r="AB69" s="89">
        <f t="shared" si="29"/>
        <v>0.33333333333333348</v>
      </c>
      <c r="AC69" s="40">
        <f t="shared" si="30"/>
        <v>6.349206349206348</v>
      </c>
      <c r="AD69" s="283"/>
      <c r="AE69" s="283"/>
      <c r="AF69" s="58">
        <f t="shared" si="4"/>
        <v>-0.84126984126984095</v>
      </c>
      <c r="AG69" s="116">
        <f t="shared" si="0"/>
        <v>-8.2528571428571396E-2</v>
      </c>
      <c r="AH69" s="39">
        <v>0.04</v>
      </c>
      <c r="AI69" s="41">
        <f t="shared" si="1"/>
        <v>272.71800000000002</v>
      </c>
      <c r="AJ69" s="41">
        <f t="shared" si="9"/>
        <v>20.485050340136048</v>
      </c>
      <c r="AK69" s="121">
        <f t="shared" si="24"/>
        <v>-6587.140387422628</v>
      </c>
      <c r="AL69" s="154">
        <v>-584.68253968253941</v>
      </c>
      <c r="AM69" s="152">
        <f t="shared" si="6"/>
        <v>-6878.6198767650321</v>
      </c>
      <c r="AN69" s="42">
        <f t="shared" si="20"/>
        <v>5786.7754518816919</v>
      </c>
      <c r="AO69" s="42">
        <f t="shared" si="7"/>
        <v>53869.224548118305</v>
      </c>
      <c r="AP69" s="176">
        <f t="shared" si="8"/>
        <v>5786.7754518816919</v>
      </c>
      <c r="AQ69" s="180"/>
    </row>
    <row r="70" spans="2:43" x14ac:dyDescent="0.25">
      <c r="B70" s="15"/>
      <c r="C70" s="17"/>
      <c r="D70" s="15"/>
      <c r="E70" s="15"/>
      <c r="F70" s="15"/>
      <c r="G70" s="15"/>
      <c r="H70" s="15"/>
      <c r="I70" s="15"/>
      <c r="J70" s="15"/>
      <c r="K70" s="15"/>
      <c r="L70" s="15"/>
      <c r="M70" s="15"/>
      <c r="S70" s="19"/>
      <c r="U70" s="280"/>
      <c r="V70" s="72">
        <v>23.33</v>
      </c>
      <c r="W70" s="74">
        <f t="shared" si="28"/>
        <v>359.33</v>
      </c>
      <c r="X70" s="37">
        <v>48</v>
      </c>
      <c r="Y70" s="47">
        <v>5</v>
      </c>
      <c r="Z70" s="83">
        <v>-6.2166666666666668</v>
      </c>
      <c r="AA70" s="96">
        <f>AA66*5</f>
        <v>-3.333333333333333</v>
      </c>
      <c r="AB70" s="89">
        <f t="shared" si="29"/>
        <v>-0.33333333333333304</v>
      </c>
      <c r="AC70" s="40">
        <f t="shared" si="30"/>
        <v>5.507936507936507</v>
      </c>
      <c r="AD70" s="283"/>
      <c r="AE70" s="283"/>
      <c r="AF70" s="58">
        <f t="shared" si="4"/>
        <v>-0.84126984126984095</v>
      </c>
      <c r="AG70" s="116">
        <f t="shared" si="0"/>
        <v>-8.2528571428571396E-2</v>
      </c>
      <c r="AH70" s="39">
        <v>0.04</v>
      </c>
      <c r="AI70" s="41">
        <f t="shared" si="1"/>
        <v>272.71800000000002</v>
      </c>
      <c r="AJ70" s="41">
        <f t="shared" si="9"/>
        <v>15.41615266503401</v>
      </c>
      <c r="AK70" s="121">
        <f t="shared" si="24"/>
        <v>-453.18638794933389</v>
      </c>
      <c r="AL70" s="154">
        <v>-584.68253968253941</v>
      </c>
      <c r="AM70" s="41">
        <f t="shared" si="6"/>
        <v>-749.73477496683927</v>
      </c>
      <c r="AN70" s="42">
        <f t="shared" si="20"/>
        <v>630.72925513083283</v>
      </c>
      <c r="AO70" s="42">
        <f t="shared" si="7"/>
        <v>59025.270744869165</v>
      </c>
      <c r="AP70" s="176">
        <f t="shared" si="8"/>
        <v>630.72925513083283</v>
      </c>
      <c r="AQ70" s="180"/>
    </row>
    <row r="71" spans="2:43" ht="15.75" thickBot="1" x14ac:dyDescent="0.3">
      <c r="R71" s="18"/>
      <c r="S71" s="19"/>
      <c r="U71" s="281"/>
      <c r="V71" s="75">
        <v>28</v>
      </c>
      <c r="W71" s="48">
        <f>W65+V71</f>
        <v>364</v>
      </c>
      <c r="X71" s="49">
        <f>X65+Y71</f>
        <v>49</v>
      </c>
      <c r="Y71" s="50">
        <v>6</v>
      </c>
      <c r="Z71" s="81">
        <v>-7.46</v>
      </c>
      <c r="AA71" s="94">
        <v>-4</v>
      </c>
      <c r="AB71" s="90">
        <f t="shared" si="29"/>
        <v>-1</v>
      </c>
      <c r="AC71" s="102">
        <f>V71/Y71</f>
        <v>4.666666666666667</v>
      </c>
      <c r="AD71" s="284"/>
      <c r="AE71" s="284"/>
      <c r="AF71" s="64">
        <f t="shared" si="4"/>
        <v>-0.84126984126984006</v>
      </c>
      <c r="AG71" s="115">
        <f t="shared" si="0"/>
        <v>-8.2528571428571312E-2</v>
      </c>
      <c r="AH71" s="118">
        <v>0.04</v>
      </c>
      <c r="AI71" s="66">
        <f t="shared" si="1"/>
        <v>272.71800000000002</v>
      </c>
      <c r="AJ71" s="119">
        <f t="shared" si="9"/>
        <v>11.066536320000003</v>
      </c>
      <c r="AK71" s="121">
        <f t="shared" si="24"/>
        <v>6295.6129505784247</v>
      </c>
      <c r="AL71" s="66">
        <v>-584.68253968253885</v>
      </c>
      <c r="AM71" s="66">
        <f t="shared" si="6"/>
        <v>5994.7149472158862</v>
      </c>
      <c r="AN71" s="164">
        <f t="shared" si="20"/>
        <v>-5043.1728921022459</v>
      </c>
      <c r="AO71" s="164">
        <f t="shared" si="7"/>
        <v>64699.172892102244</v>
      </c>
      <c r="AP71" s="177">
        <f t="shared" si="8"/>
        <v>-5043.1728921022459</v>
      </c>
      <c r="AQ71" s="180"/>
    </row>
    <row r="72" spans="2:43" x14ac:dyDescent="0.25">
      <c r="R72" s="18"/>
      <c r="S72" s="19"/>
      <c r="U72" s="279" t="s">
        <v>42</v>
      </c>
      <c r="V72" s="71">
        <v>3.2</v>
      </c>
      <c r="W72" s="78">
        <f>$W$71+V72</f>
        <v>367.2</v>
      </c>
      <c r="X72" s="45">
        <v>50</v>
      </c>
      <c r="Y72" s="46">
        <v>1</v>
      </c>
      <c r="Z72" s="84">
        <v>-5.968</v>
      </c>
      <c r="AA72" s="95">
        <f>AA75*4</f>
        <v>-3.2</v>
      </c>
      <c r="AB72" s="88">
        <f>$AB$71+AA72</f>
        <v>-4.2</v>
      </c>
      <c r="AC72" s="111">
        <f>AC71+$AE$72</f>
        <v>4.373333333333334</v>
      </c>
      <c r="AD72" s="282">
        <f>AC76-AC71</f>
        <v>-1.4666666666666668</v>
      </c>
      <c r="AE72" s="282">
        <f>AD72/5</f>
        <v>-0.29333333333333333</v>
      </c>
      <c r="AF72" s="58">
        <f t="shared" si="4"/>
        <v>-0.293333333333333</v>
      </c>
      <c r="AG72" s="114">
        <f t="shared" si="0"/>
        <v>-2.8775999999999968E-2</v>
      </c>
      <c r="AH72" s="117">
        <v>0.04</v>
      </c>
      <c r="AI72" s="60">
        <f t="shared" si="1"/>
        <v>272.71800000000002</v>
      </c>
      <c r="AJ72" s="121">
        <f t="shared" si="9"/>
        <v>9.719038722048003</v>
      </c>
      <c r="AK72" s="151">
        <f t="shared" si="24"/>
        <v>-2113.5144242202041</v>
      </c>
      <c r="AL72" s="174">
        <v>-203.86666666666645</v>
      </c>
      <c r="AM72" s="169">
        <f t="shared" si="6"/>
        <v>-2034.9440521648226</v>
      </c>
      <c r="AN72" s="61">
        <f t="shared" si="20"/>
        <v>596.91692196834731</v>
      </c>
      <c r="AO72" s="61">
        <f t="shared" si="7"/>
        <v>59059.083078031654</v>
      </c>
      <c r="AP72" s="176">
        <f t="shared" si="8"/>
        <v>596.91692196834731</v>
      </c>
      <c r="AQ72" s="180"/>
    </row>
    <row r="73" spans="2:43" x14ac:dyDescent="0.25">
      <c r="R73" s="18"/>
      <c r="S73" s="19"/>
      <c r="U73" s="280"/>
      <c r="V73" s="72">
        <v>6.4</v>
      </c>
      <c r="W73" s="72">
        <f t="shared" ref="W73:W75" si="31">$W$71+V73</f>
        <v>370.4</v>
      </c>
      <c r="X73" s="37">
        <v>51</v>
      </c>
      <c r="Y73" s="47">
        <v>2</v>
      </c>
      <c r="Z73" s="83">
        <v>-4.476</v>
      </c>
      <c r="AA73" s="96">
        <f>AA75*3</f>
        <v>-2.4000000000000004</v>
      </c>
      <c r="AB73" s="89">
        <f t="shared" ref="AB73:AB76" si="32">$AB$71+AA73</f>
        <v>-3.4000000000000004</v>
      </c>
      <c r="AC73" s="40">
        <f t="shared" ref="AC73:AC75" si="33">AC72+$AE$72</f>
        <v>4.080000000000001</v>
      </c>
      <c r="AD73" s="283"/>
      <c r="AE73" s="283"/>
      <c r="AF73" s="58">
        <f t="shared" si="4"/>
        <v>-0.293333333333333</v>
      </c>
      <c r="AG73" s="116">
        <f t="shared" si="0"/>
        <v>-2.8775999999999968E-2</v>
      </c>
      <c r="AH73" s="39">
        <v>0.04</v>
      </c>
      <c r="AI73" s="41">
        <f t="shared" si="1"/>
        <v>272.71800000000002</v>
      </c>
      <c r="AJ73" s="41">
        <f t="shared" si="9"/>
        <v>8.4589893457920038</v>
      </c>
      <c r="AK73" s="121">
        <f t="shared" si="24"/>
        <v>-6628.3427353492998</v>
      </c>
      <c r="AL73" s="154">
        <v>-203.86666666666645</v>
      </c>
      <c r="AM73" s="41">
        <f t="shared" si="6"/>
        <v>-6551.0324126701744</v>
      </c>
      <c r="AN73" s="42">
        <f t="shared" si="20"/>
        <v>1921.636174383249</v>
      </c>
      <c r="AO73" s="42">
        <f t="shared" si="7"/>
        <v>57734.363825616754</v>
      </c>
      <c r="AP73" s="176">
        <f t="shared" si="8"/>
        <v>1921.636174383249</v>
      </c>
      <c r="AQ73" s="180"/>
    </row>
    <row r="74" spans="2:43" x14ac:dyDescent="0.25">
      <c r="R74" s="18"/>
      <c r="S74" s="19"/>
      <c r="U74" s="280"/>
      <c r="V74" s="72">
        <v>9.6</v>
      </c>
      <c r="W74" s="72">
        <f t="shared" si="31"/>
        <v>373.6</v>
      </c>
      <c r="X74" s="37">
        <v>52</v>
      </c>
      <c r="Y74" s="47">
        <v>3</v>
      </c>
      <c r="Z74" s="83">
        <v>-2.984</v>
      </c>
      <c r="AA74" s="96">
        <f>AA75*2</f>
        <v>-1.6</v>
      </c>
      <c r="AB74" s="89">
        <f t="shared" si="32"/>
        <v>-2.6</v>
      </c>
      <c r="AC74" s="40">
        <f t="shared" si="33"/>
        <v>3.7866666666666675</v>
      </c>
      <c r="AD74" s="283"/>
      <c r="AE74" s="283"/>
      <c r="AF74" s="58">
        <f t="shared" si="4"/>
        <v>-0.29333333333333345</v>
      </c>
      <c r="AG74" s="116">
        <f t="shared" si="0"/>
        <v>-2.8776000000000013E-2</v>
      </c>
      <c r="AH74" s="39">
        <v>0.04</v>
      </c>
      <c r="AI74" s="41">
        <f t="shared" si="1"/>
        <v>272.71800000000002</v>
      </c>
      <c r="AJ74" s="41">
        <f t="shared" si="9"/>
        <v>7.2863881912320041</v>
      </c>
      <c r="AK74" s="121">
        <f t="shared" si="24"/>
        <v>1070.0169082124396</v>
      </c>
      <c r="AL74" s="154">
        <v>-203.86666666666673</v>
      </c>
      <c r="AM74" s="41">
        <f t="shared" si="6"/>
        <v>1146.1546297370048</v>
      </c>
      <c r="AN74" s="42">
        <f t="shared" si="20"/>
        <v>-336.20535805618823</v>
      </c>
      <c r="AO74" s="42">
        <f t="shared" si="7"/>
        <v>59992.205358056191</v>
      </c>
      <c r="AP74" s="176">
        <f t="shared" si="8"/>
        <v>-336.20535805618823</v>
      </c>
      <c r="AQ74" s="180"/>
    </row>
    <row r="75" spans="2:43" x14ac:dyDescent="0.25">
      <c r="R75" s="18"/>
      <c r="S75" s="19"/>
      <c r="U75" s="280"/>
      <c r="V75" s="72">
        <v>12.8</v>
      </c>
      <c r="W75" s="74">
        <f t="shared" si="31"/>
        <v>376.8</v>
      </c>
      <c r="X75" s="37">
        <v>53</v>
      </c>
      <c r="Y75" s="47">
        <v>4</v>
      </c>
      <c r="Z75" s="83">
        <v>-1.492</v>
      </c>
      <c r="AA75" s="96">
        <f>AA71/5</f>
        <v>-0.8</v>
      </c>
      <c r="AB75" s="89">
        <f t="shared" si="32"/>
        <v>-1.8</v>
      </c>
      <c r="AC75" s="40">
        <f t="shared" si="33"/>
        <v>3.4933333333333341</v>
      </c>
      <c r="AD75" s="283"/>
      <c r="AE75" s="283"/>
      <c r="AF75" s="58">
        <f t="shared" si="4"/>
        <v>-0.29333333333333345</v>
      </c>
      <c r="AG75" s="116">
        <f t="shared" si="0"/>
        <v>-2.8776000000000013E-2</v>
      </c>
      <c r="AH75" s="39">
        <v>0.04</v>
      </c>
      <c r="AI75" s="41">
        <f t="shared" si="1"/>
        <v>272.71800000000002</v>
      </c>
      <c r="AJ75" s="41">
        <f t="shared" si="9"/>
        <v>6.201235258368003</v>
      </c>
      <c r="AK75" s="121">
        <f t="shared" si="24"/>
        <v>6796.7950967293646</v>
      </c>
      <c r="AL75" s="154">
        <v>-203.86666666666673</v>
      </c>
      <c r="AM75" s="60">
        <f t="shared" si="6"/>
        <v>6871.8476653210655</v>
      </c>
      <c r="AN75" s="42">
        <f t="shared" si="20"/>
        <v>-2015.7419818275134</v>
      </c>
      <c r="AO75" s="42">
        <f t="shared" si="7"/>
        <v>61671.741981827516</v>
      </c>
      <c r="AP75" s="176">
        <f t="shared" si="8"/>
        <v>-2015.7419818275134</v>
      </c>
      <c r="AQ75" s="180"/>
    </row>
    <row r="76" spans="2:43" ht="15.75" thickBot="1" x14ac:dyDescent="0.3">
      <c r="R76" s="18"/>
      <c r="S76" s="18"/>
      <c r="U76" s="281"/>
      <c r="V76" s="75">
        <v>16</v>
      </c>
      <c r="W76" s="48">
        <f>W71+V76</f>
        <v>380</v>
      </c>
      <c r="X76" s="49">
        <f>X71+Y76</f>
        <v>54</v>
      </c>
      <c r="Y76" s="50">
        <v>5</v>
      </c>
      <c r="Z76" s="81">
        <v>0</v>
      </c>
      <c r="AA76" s="94">
        <v>0</v>
      </c>
      <c r="AB76" s="90">
        <f t="shared" si="32"/>
        <v>-1</v>
      </c>
      <c r="AC76" s="102">
        <f>V76/Y76</f>
        <v>3.2</v>
      </c>
      <c r="AD76" s="284"/>
      <c r="AE76" s="284"/>
      <c r="AF76" s="109">
        <f t="shared" si="4"/>
        <v>-0.29333333333333389</v>
      </c>
      <c r="AG76" s="115">
        <f t="shared" si="0"/>
        <v>-2.8776000000000055E-2</v>
      </c>
      <c r="AH76" s="118">
        <v>0.04</v>
      </c>
      <c r="AI76" s="121">
        <f t="shared" si="1"/>
        <v>272.71800000000002</v>
      </c>
      <c r="AJ76" s="119">
        <f t="shared" si="9"/>
        <v>5.2035305472000015</v>
      </c>
      <c r="AK76" s="121">
        <f t="shared" si="24"/>
        <v>0</v>
      </c>
      <c r="AL76" s="66">
        <v>-203.86666666666704</v>
      </c>
      <c r="AM76" s="152">
        <f t="shared" si="6"/>
        <v>74.054863880532963</v>
      </c>
      <c r="AN76" s="164">
        <f t="shared" si="20"/>
        <v>-21.722760071623043</v>
      </c>
      <c r="AO76" s="164">
        <f t="shared" si="7"/>
        <v>59677.722760071621</v>
      </c>
      <c r="AP76" s="177">
        <f t="shared" si="8"/>
        <v>-21.722760071623043</v>
      </c>
      <c r="AQ76" s="180"/>
    </row>
    <row r="77" spans="2:43" x14ac:dyDescent="0.25">
      <c r="R77" s="18"/>
      <c r="S77" s="18"/>
      <c r="U77" s="279" t="s">
        <v>43</v>
      </c>
      <c r="V77" s="71">
        <v>4.5999999999999996</v>
      </c>
      <c r="W77" s="78">
        <f>$W$76+V77</f>
        <v>384.6</v>
      </c>
      <c r="X77" s="45">
        <v>55</v>
      </c>
      <c r="Y77" s="46">
        <v>1</v>
      </c>
      <c r="Z77" s="84">
        <v>1.018</v>
      </c>
      <c r="AA77" s="95">
        <f>AA81/5</f>
        <v>0.4</v>
      </c>
      <c r="AB77" s="88">
        <f>$AB$76+AA77</f>
        <v>-0.6</v>
      </c>
      <c r="AC77" s="111">
        <f>AC76+$AE$77</f>
        <v>3.48</v>
      </c>
      <c r="AD77" s="282">
        <f>AC81-AC76</f>
        <v>1.3999999999999995</v>
      </c>
      <c r="AE77" s="282">
        <f>AD77/5</f>
        <v>0.27999999999999992</v>
      </c>
      <c r="AF77" s="62">
        <f t="shared" si="4"/>
        <v>0.2799999999999998</v>
      </c>
      <c r="AG77" s="114">
        <f t="shared" si="0"/>
        <v>2.7467999999999982E-2</v>
      </c>
      <c r="AH77" s="117">
        <v>0.04</v>
      </c>
      <c r="AI77" s="151">
        <f t="shared" si="1"/>
        <v>272.71800000000002</v>
      </c>
      <c r="AJ77" s="121">
        <f t="shared" si="9"/>
        <v>6.153987923712001</v>
      </c>
      <c r="AK77" s="151">
        <f t="shared" si="24"/>
        <v>-5802.4817079767927</v>
      </c>
      <c r="AL77" s="174">
        <v>194.59999999999985</v>
      </c>
      <c r="AM77" s="169">
        <f t="shared" si="6"/>
        <v>-5329.0097200530809</v>
      </c>
      <c r="AN77" s="61">
        <f t="shared" si="20"/>
        <v>-1492.1227216148616</v>
      </c>
      <c r="AO77" s="61">
        <f t="shared" si="7"/>
        <v>61148.122721614862</v>
      </c>
      <c r="AP77" s="176">
        <f t="shared" si="8"/>
        <v>-1492.1227216148616</v>
      </c>
      <c r="AQ77" s="180"/>
    </row>
    <row r="78" spans="2:43" x14ac:dyDescent="0.25">
      <c r="R78" s="18"/>
      <c r="S78" s="18"/>
      <c r="U78" s="280"/>
      <c r="V78" s="72">
        <v>9.1999999999999993</v>
      </c>
      <c r="W78" s="72">
        <f t="shared" ref="W78:W80" si="34">$W$76+V78</f>
        <v>389.2</v>
      </c>
      <c r="X78" s="37">
        <v>56</v>
      </c>
      <c r="Y78" s="47">
        <v>2</v>
      </c>
      <c r="Z78" s="83">
        <v>2.036</v>
      </c>
      <c r="AA78" s="96">
        <f>AA77*2</f>
        <v>0.8</v>
      </c>
      <c r="AB78" s="89">
        <f t="shared" ref="AB78:AB81" si="35">$AB$76+AA78</f>
        <v>-0.19999999999999996</v>
      </c>
      <c r="AC78" s="40">
        <f t="shared" ref="AC78:AC80" si="36">AC77+$AE$77</f>
        <v>3.76</v>
      </c>
      <c r="AD78" s="283"/>
      <c r="AE78" s="283"/>
      <c r="AF78" s="58">
        <f t="shared" si="4"/>
        <v>0.2799999999999998</v>
      </c>
      <c r="AG78" s="116">
        <f t="shared" si="0"/>
        <v>2.7467999999999982E-2</v>
      </c>
      <c r="AH78" s="39">
        <v>0.04</v>
      </c>
      <c r="AI78" s="41">
        <f t="shared" si="1"/>
        <v>272.71800000000002</v>
      </c>
      <c r="AJ78" s="41">
        <f t="shared" si="9"/>
        <v>7.1841243617280002</v>
      </c>
      <c r="AK78" s="121">
        <f t="shared" si="24"/>
        <v>-6093.4079218071738</v>
      </c>
      <c r="AL78" s="154">
        <v>194.59999999999985</v>
      </c>
      <c r="AM78" s="41">
        <f t="shared" si="6"/>
        <v>-5618.9057974454463</v>
      </c>
      <c r="AN78" s="42">
        <f t="shared" si="20"/>
        <v>-1573.2936232847239</v>
      </c>
      <c r="AO78" s="42">
        <f t="shared" si="7"/>
        <v>61229.293623284721</v>
      </c>
      <c r="AP78" s="176">
        <f t="shared" si="8"/>
        <v>-1573.2936232847239</v>
      </c>
      <c r="AQ78" s="180"/>
    </row>
    <row r="79" spans="2:43" x14ac:dyDescent="0.25">
      <c r="S79" s="18"/>
      <c r="U79" s="280"/>
      <c r="V79" s="72">
        <v>13.8</v>
      </c>
      <c r="W79" s="74">
        <f t="shared" si="34"/>
        <v>393.8</v>
      </c>
      <c r="X79" s="37">
        <v>57</v>
      </c>
      <c r="Y79" s="47">
        <v>3</v>
      </c>
      <c r="Z79" s="83">
        <v>3.0540000000000003</v>
      </c>
      <c r="AA79" s="96">
        <f>AA77*3</f>
        <v>1.2000000000000002</v>
      </c>
      <c r="AB79" s="89">
        <f t="shared" si="35"/>
        <v>0.20000000000000018</v>
      </c>
      <c r="AC79" s="40">
        <f t="shared" si="36"/>
        <v>4.04</v>
      </c>
      <c r="AD79" s="283"/>
      <c r="AE79" s="283"/>
      <c r="AF79" s="58">
        <f t="shared" si="4"/>
        <v>0.28000000000000025</v>
      </c>
      <c r="AG79" s="116">
        <f t="shared" si="0"/>
        <v>2.7468000000000027E-2</v>
      </c>
      <c r="AH79" s="39">
        <v>0.04</v>
      </c>
      <c r="AI79" s="41">
        <f t="shared" si="1"/>
        <v>272.71800000000002</v>
      </c>
      <c r="AJ79" s="41">
        <f t="shared" si="9"/>
        <v>8.2939398612480009</v>
      </c>
      <c r="AK79" s="121">
        <f t="shared" si="24"/>
        <v>-596.43895565917273</v>
      </c>
      <c r="AL79" s="154">
        <v>194.60000000000016</v>
      </c>
      <c r="AM79" s="41">
        <f t="shared" si="6"/>
        <v>-120.82701579792453</v>
      </c>
      <c r="AN79" s="42">
        <f t="shared" si="20"/>
        <v>-33.831564423418897</v>
      </c>
      <c r="AO79" s="42">
        <f t="shared" si="7"/>
        <v>59689.831564423417</v>
      </c>
      <c r="AP79" s="176">
        <f t="shared" si="8"/>
        <v>-33.831564423418897</v>
      </c>
      <c r="AQ79" s="180"/>
    </row>
    <row r="80" spans="2:43" x14ac:dyDescent="0.25">
      <c r="S80" s="18"/>
      <c r="U80" s="280"/>
      <c r="V80" s="72">
        <v>18.399999999999999</v>
      </c>
      <c r="W80" s="74">
        <f t="shared" si="34"/>
        <v>398.4</v>
      </c>
      <c r="X80" s="37">
        <v>58</v>
      </c>
      <c r="Y80" s="47">
        <v>4</v>
      </c>
      <c r="Z80" s="83">
        <v>4.0720000000000001</v>
      </c>
      <c r="AA80" s="96">
        <f>AA77*4</f>
        <v>1.6</v>
      </c>
      <c r="AB80" s="89">
        <f t="shared" si="35"/>
        <v>0.60000000000000009</v>
      </c>
      <c r="AC80" s="40">
        <f t="shared" si="36"/>
        <v>4.32</v>
      </c>
      <c r="AD80" s="283"/>
      <c r="AE80" s="283"/>
      <c r="AF80" s="58">
        <f t="shared" si="4"/>
        <v>0.28000000000000025</v>
      </c>
      <c r="AG80" s="116">
        <f t="shared" si="0"/>
        <v>2.7468000000000027E-2</v>
      </c>
      <c r="AH80" s="39">
        <v>0.04</v>
      </c>
      <c r="AI80" s="41">
        <f t="shared" si="1"/>
        <v>272.71800000000002</v>
      </c>
      <c r="AJ80" s="41">
        <f t="shared" si="9"/>
        <v>9.4834344222720013</v>
      </c>
      <c r="AK80" s="121">
        <f t="shared" si="24"/>
        <v>5467.0645673263143</v>
      </c>
      <c r="AL80" s="154">
        <v>194.60000000000016</v>
      </c>
      <c r="AM80" s="41">
        <f t="shared" si="6"/>
        <v>5943.8660017485863</v>
      </c>
      <c r="AN80" s="42">
        <f t="shared" si="20"/>
        <v>1664.2824804896056</v>
      </c>
      <c r="AO80" s="42">
        <f t="shared" si="7"/>
        <v>57991.717519510392</v>
      </c>
      <c r="AP80" s="176">
        <f t="shared" si="8"/>
        <v>1664.2824804896056</v>
      </c>
      <c r="AQ80" s="180"/>
    </row>
    <row r="81" spans="17:43" ht="15.75" thickBot="1" x14ac:dyDescent="0.3">
      <c r="S81" s="18"/>
      <c r="U81" s="281"/>
      <c r="V81" s="75">
        <v>23</v>
      </c>
      <c r="W81" s="48">
        <f>W76+V81</f>
        <v>403</v>
      </c>
      <c r="X81" s="49">
        <f>X76+Y81</f>
        <v>59</v>
      </c>
      <c r="Y81" s="50">
        <v>5</v>
      </c>
      <c r="Z81" s="81">
        <v>5.09</v>
      </c>
      <c r="AA81" s="94">
        <v>2</v>
      </c>
      <c r="AB81" s="90">
        <f t="shared" si="35"/>
        <v>1</v>
      </c>
      <c r="AC81" s="102">
        <f>V81/Y81</f>
        <v>4.5999999999999996</v>
      </c>
      <c r="AD81" s="284"/>
      <c r="AE81" s="284"/>
      <c r="AF81" s="109">
        <f t="shared" si="4"/>
        <v>0.27999999999999936</v>
      </c>
      <c r="AG81" s="115">
        <f t="shared" si="0"/>
        <v>2.746799999999994E-2</v>
      </c>
      <c r="AH81" s="118">
        <v>0.04</v>
      </c>
      <c r="AI81" s="66">
        <f t="shared" si="1"/>
        <v>272.71800000000002</v>
      </c>
      <c r="AJ81" s="119">
        <f t="shared" si="9"/>
        <v>10.752608044799999</v>
      </c>
      <c r="AK81" s="121">
        <f t="shared" si="24"/>
        <v>6337.6125121016403</v>
      </c>
      <c r="AL81" s="66">
        <v>194.59999999999957</v>
      </c>
      <c r="AM81" s="152">
        <f t="shared" si="6"/>
        <v>6815.6831201464402</v>
      </c>
      <c r="AN81" s="164">
        <f t="shared" si="20"/>
        <v>1908.3912736409989</v>
      </c>
      <c r="AO81" s="164">
        <f t="shared" si="7"/>
        <v>57747.608726359002</v>
      </c>
      <c r="AP81" s="177">
        <f t="shared" si="8"/>
        <v>1908.3912736409989</v>
      </c>
      <c r="AQ81" s="180"/>
    </row>
    <row r="82" spans="17:43" x14ac:dyDescent="0.25">
      <c r="Q82" s="18"/>
      <c r="S82" s="18"/>
      <c r="U82" s="279" t="s">
        <v>44</v>
      </c>
      <c r="V82" s="71">
        <v>9.14</v>
      </c>
      <c r="W82" s="71">
        <f>$W$81+V82</f>
        <v>412.14</v>
      </c>
      <c r="X82" s="45">
        <v>60</v>
      </c>
      <c r="Y82" s="46">
        <v>1</v>
      </c>
      <c r="Z82" s="84">
        <v>4.362857142857143</v>
      </c>
      <c r="AA82" s="95">
        <f>AA87*6</f>
        <v>1.7142857142857142</v>
      </c>
      <c r="AB82" s="88">
        <f>$AB$81+AA82</f>
        <v>2.7142857142857144</v>
      </c>
      <c r="AC82" s="111">
        <f>AC81+$AE$82</f>
        <v>5.2489795918367346</v>
      </c>
      <c r="AD82" s="282">
        <f>AC88-AC81</f>
        <v>4.5428571428571427</v>
      </c>
      <c r="AE82" s="282">
        <f>AD82/7</f>
        <v>0.6489795918367347</v>
      </c>
      <c r="AF82" s="62">
        <f t="shared" si="4"/>
        <v>0.64897959183673493</v>
      </c>
      <c r="AG82" s="114">
        <f t="shared" si="0"/>
        <v>6.3664897959183703E-2</v>
      </c>
      <c r="AH82" s="117">
        <v>0.04</v>
      </c>
      <c r="AI82" s="60">
        <f t="shared" si="1"/>
        <v>272.71800000000002</v>
      </c>
      <c r="AJ82" s="121">
        <f t="shared" si="9"/>
        <v>14.000641016824323</v>
      </c>
      <c r="AK82" s="151">
        <f t="shared" si="24"/>
        <v>6405.6899840182441</v>
      </c>
      <c r="AL82" s="174">
        <v>451.04081632653077</v>
      </c>
      <c r="AM82" s="169">
        <f t="shared" si="6"/>
        <v>7143.4494413615994</v>
      </c>
      <c r="AN82" s="61">
        <f t="shared" si="20"/>
        <v>4635.9529027612025</v>
      </c>
      <c r="AO82" s="61">
        <f t="shared" si="7"/>
        <v>55020.047097238799</v>
      </c>
      <c r="AP82" s="176">
        <f t="shared" si="8"/>
        <v>4635.9529027612025</v>
      </c>
      <c r="AQ82" s="180"/>
    </row>
    <row r="83" spans="17:43" x14ac:dyDescent="0.25">
      <c r="Q83" s="18"/>
      <c r="S83" s="18"/>
      <c r="U83" s="280"/>
      <c r="V83" s="72">
        <f>V82*2</f>
        <v>18.28</v>
      </c>
      <c r="W83" s="72">
        <f t="shared" ref="W83:W87" si="37">$W$81+V83</f>
        <v>421.28</v>
      </c>
      <c r="X83" s="37">
        <v>61</v>
      </c>
      <c r="Y83" s="47">
        <v>2</v>
      </c>
      <c r="Z83" s="83">
        <v>3.6357142857142852</v>
      </c>
      <c r="AA83" s="96">
        <f>AA87*5</f>
        <v>1.4285714285714284</v>
      </c>
      <c r="AB83" s="89">
        <f t="shared" ref="AB83:AB88" si="38">$AB$81+AA83</f>
        <v>2.4285714285714284</v>
      </c>
      <c r="AC83" s="40">
        <f t="shared" ref="AC83:AC87" si="39">AC82+$AE$82</f>
        <v>5.8979591836734695</v>
      </c>
      <c r="AD83" s="283"/>
      <c r="AE83" s="283"/>
      <c r="AF83" s="58">
        <f t="shared" si="4"/>
        <v>0.64897959183673493</v>
      </c>
      <c r="AG83" s="116">
        <f t="shared" si="0"/>
        <v>6.3664897959183703E-2</v>
      </c>
      <c r="AH83" s="39">
        <v>0.04</v>
      </c>
      <c r="AI83" s="41">
        <f t="shared" si="1"/>
        <v>272.71800000000002</v>
      </c>
      <c r="AJ83" s="41">
        <f t="shared" si="9"/>
        <v>17.676719776293215</v>
      </c>
      <c r="AK83" s="121">
        <f t="shared" si="24"/>
        <v>3233.4709573873815</v>
      </c>
      <c r="AL83" s="154">
        <v>451.04081632653077</v>
      </c>
      <c r="AM83" s="41">
        <f t="shared" si="6"/>
        <v>3974.9064934902053</v>
      </c>
      <c r="AN83" s="42">
        <f t="shared" si="20"/>
        <v>2579.6331937344607</v>
      </c>
      <c r="AO83" s="42">
        <f t="shared" si="7"/>
        <v>57076.366806265542</v>
      </c>
      <c r="AP83" s="176">
        <f t="shared" si="8"/>
        <v>2579.6331937344607</v>
      </c>
      <c r="AQ83" s="180"/>
    </row>
    <row r="84" spans="17:43" x14ac:dyDescent="0.25">
      <c r="Q84" s="18"/>
      <c r="S84" s="18"/>
      <c r="U84" s="280"/>
      <c r="V84" s="72">
        <f>V82*3</f>
        <v>27.42</v>
      </c>
      <c r="W84" s="74">
        <f t="shared" si="37"/>
        <v>430.42</v>
      </c>
      <c r="X84" s="37">
        <v>62</v>
      </c>
      <c r="Y84" s="47">
        <v>3</v>
      </c>
      <c r="Z84" s="83">
        <v>2.9085714285714284</v>
      </c>
      <c r="AA84" s="96">
        <f>AA87*4</f>
        <v>1.1428571428571428</v>
      </c>
      <c r="AB84" s="89">
        <f t="shared" si="38"/>
        <v>2.1428571428571428</v>
      </c>
      <c r="AC84" s="40">
        <f t="shared" si="39"/>
        <v>6.5469387755102044</v>
      </c>
      <c r="AD84" s="283"/>
      <c r="AE84" s="283"/>
      <c r="AF84" s="58">
        <f t="shared" si="4"/>
        <v>0.64897959183673493</v>
      </c>
      <c r="AG84" s="116">
        <f t="shared" si="0"/>
        <v>6.3664897959183703E-2</v>
      </c>
      <c r="AH84" s="39">
        <v>0.04</v>
      </c>
      <c r="AI84" s="41">
        <f t="shared" si="1"/>
        <v>272.71800000000002</v>
      </c>
      <c r="AJ84" s="41">
        <f t="shared" si="9"/>
        <v>21.780844323206669</v>
      </c>
      <c r="AK84" s="121">
        <f t="shared" si="24"/>
        <v>-1574.3883589730233</v>
      </c>
      <c r="AL84" s="154">
        <v>451.04081632653077</v>
      </c>
      <c r="AM84" s="41">
        <f t="shared" si="6"/>
        <v>-828.84869832328582</v>
      </c>
      <c r="AN84" s="42">
        <f t="shared" si="20"/>
        <v>-537.90588993225504</v>
      </c>
      <c r="AO84" s="42">
        <f t="shared" si="7"/>
        <v>60193.905889932255</v>
      </c>
      <c r="AP84" s="176">
        <f t="shared" si="8"/>
        <v>-537.90588993225504</v>
      </c>
      <c r="AQ84" s="180"/>
    </row>
    <row r="85" spans="17:43" x14ac:dyDescent="0.25">
      <c r="Q85" s="18"/>
      <c r="S85" s="18"/>
      <c r="U85" s="280"/>
      <c r="V85" s="72">
        <f>V82*4</f>
        <v>36.56</v>
      </c>
      <c r="W85" s="72">
        <f t="shared" si="37"/>
        <v>439.56</v>
      </c>
      <c r="X85" s="37">
        <v>63</v>
      </c>
      <c r="Y85" s="47">
        <v>4</v>
      </c>
      <c r="Z85" s="83">
        <v>2.1814285714285715</v>
      </c>
      <c r="AA85" s="96">
        <f>AA87*3</f>
        <v>0.8571428571428571</v>
      </c>
      <c r="AB85" s="89">
        <f t="shared" si="38"/>
        <v>1.8571428571428572</v>
      </c>
      <c r="AC85" s="40">
        <f t="shared" si="39"/>
        <v>7.1959183673469393</v>
      </c>
      <c r="AD85" s="283"/>
      <c r="AE85" s="283"/>
      <c r="AF85" s="58">
        <f t="shared" si="4"/>
        <v>0.64897959183673493</v>
      </c>
      <c r="AG85" s="116">
        <f t="shared" si="0"/>
        <v>6.3664897959183703E-2</v>
      </c>
      <c r="AH85" s="39">
        <v>0.04</v>
      </c>
      <c r="AI85" s="41">
        <f t="shared" si="1"/>
        <v>272.71800000000002</v>
      </c>
      <c r="AJ85" s="41">
        <f t="shared" si="9"/>
        <v>26.31301465756469</v>
      </c>
      <c r="AK85" s="121">
        <f t="shared" si="24"/>
        <v>-5585.8486769956962</v>
      </c>
      <c r="AL85" s="154">
        <v>451.04081632653077</v>
      </c>
      <c r="AM85" s="152">
        <f t="shared" si="6"/>
        <v>-4835.7768460116004</v>
      </c>
      <c r="AN85" s="42">
        <f t="shared" si="20"/>
        <v>-3138.3204837381418</v>
      </c>
      <c r="AO85" s="42">
        <f t="shared" si="7"/>
        <v>62794.320483738142</v>
      </c>
      <c r="AP85" s="176">
        <f t="shared" si="8"/>
        <v>-3138.3204837381418</v>
      </c>
      <c r="AQ85" s="180"/>
    </row>
    <row r="86" spans="17:43" x14ac:dyDescent="0.25">
      <c r="Q86" s="18"/>
      <c r="S86" s="18"/>
      <c r="U86" s="280"/>
      <c r="V86" s="72">
        <f>V82*5</f>
        <v>45.7</v>
      </c>
      <c r="W86" s="74">
        <f t="shared" si="37"/>
        <v>448.7</v>
      </c>
      <c r="X86" s="37">
        <v>64</v>
      </c>
      <c r="Y86" s="47">
        <v>5</v>
      </c>
      <c r="Z86" s="83">
        <v>1.4542857142857142</v>
      </c>
      <c r="AA86" s="96">
        <f>AA87*2</f>
        <v>0.5714285714285714</v>
      </c>
      <c r="AB86" s="89">
        <f t="shared" si="38"/>
        <v>1.5714285714285714</v>
      </c>
      <c r="AC86" s="40">
        <f t="shared" si="39"/>
        <v>7.8448979591836743</v>
      </c>
      <c r="AD86" s="283"/>
      <c r="AE86" s="283"/>
      <c r="AF86" s="58">
        <f t="shared" si="4"/>
        <v>0.64897959183673493</v>
      </c>
      <c r="AG86" s="116">
        <f t="shared" si="0"/>
        <v>6.3664897959183703E-2</v>
      </c>
      <c r="AH86" s="39">
        <v>0.04</v>
      </c>
      <c r="AI86" s="41">
        <f t="shared" si="1"/>
        <v>272.71800000000002</v>
      </c>
      <c r="AJ86" s="41">
        <f t="shared" si="9"/>
        <v>31.273230779367271</v>
      </c>
      <c r="AK86" s="121">
        <f t="shared" si="24"/>
        <v>-6771.7264341009823</v>
      </c>
      <c r="AL86" s="154">
        <v>451.04081632653077</v>
      </c>
      <c r="AM86" s="41">
        <f t="shared" si="6"/>
        <v>-6016.6943869950837</v>
      </c>
      <c r="AN86" s="42">
        <f t="shared" ref="AN86:AN117" si="40">AM86*AF86</f>
        <v>-3904.7118674784433</v>
      </c>
      <c r="AO86" s="42">
        <f t="shared" si="7"/>
        <v>63560.711867478443</v>
      </c>
      <c r="AP86" s="176">
        <f t="shared" si="8"/>
        <v>-3904.7118674784433</v>
      </c>
      <c r="AQ86" s="180"/>
    </row>
    <row r="87" spans="17:43" x14ac:dyDescent="0.25">
      <c r="Q87" s="18"/>
      <c r="S87" s="18"/>
      <c r="U87" s="280"/>
      <c r="V87" s="72">
        <f>V82*6</f>
        <v>54.84</v>
      </c>
      <c r="W87" s="74">
        <f t="shared" si="37"/>
        <v>457.84000000000003</v>
      </c>
      <c r="X87" s="37">
        <v>65</v>
      </c>
      <c r="Y87" s="47">
        <v>6</v>
      </c>
      <c r="Z87" s="83">
        <v>0.72714285714285709</v>
      </c>
      <c r="AA87" s="96">
        <f>AA81/7</f>
        <v>0.2857142857142857</v>
      </c>
      <c r="AB87" s="89">
        <f t="shared" si="38"/>
        <v>1.2857142857142856</v>
      </c>
      <c r="AC87" s="40">
        <f t="shared" si="39"/>
        <v>8.4938775510204092</v>
      </c>
      <c r="AD87" s="283"/>
      <c r="AE87" s="283"/>
      <c r="AF87" s="58">
        <f t="shared" si="4"/>
        <v>0.64897959183673493</v>
      </c>
      <c r="AG87" s="116">
        <f t="shared" si="0"/>
        <v>6.3664897959183703E-2</v>
      </c>
      <c r="AH87" s="39">
        <v>0.04</v>
      </c>
      <c r="AI87" s="41">
        <f t="shared" ref="AI87:AI150" si="41">$C$6*9.81*AH87</f>
        <v>272.71800000000002</v>
      </c>
      <c r="AJ87" s="41">
        <f t="shared" si="9"/>
        <v>36.661492688614423</v>
      </c>
      <c r="AK87" s="121">
        <f t="shared" ref="AK87:AK118" si="42">$C$6*9.81*-SIN(Z87)</f>
        <v>-4532.1493989382225</v>
      </c>
      <c r="AL87" s="154">
        <v>451.04081632653077</v>
      </c>
      <c r="AM87" s="41">
        <f t="shared" si="6"/>
        <v>-3771.729089923077</v>
      </c>
      <c r="AN87" s="42">
        <f t="shared" si="40"/>
        <v>-2447.7752052970181</v>
      </c>
      <c r="AO87" s="42">
        <f t="shared" si="7"/>
        <v>62103.775205297017</v>
      </c>
      <c r="AP87" s="176">
        <f t="shared" si="8"/>
        <v>-2447.7752052970181</v>
      </c>
      <c r="AQ87" s="180"/>
    </row>
    <row r="88" spans="17:43" ht="15.75" thickBot="1" x14ac:dyDescent="0.3">
      <c r="Q88" s="18"/>
      <c r="R88" s="18"/>
      <c r="S88" s="18"/>
      <c r="U88" s="281"/>
      <c r="V88" s="75">
        <v>64</v>
      </c>
      <c r="W88" s="48">
        <f>W81+V88</f>
        <v>467</v>
      </c>
      <c r="X88" s="49">
        <f>X81+Y88</f>
        <v>66</v>
      </c>
      <c r="Y88" s="50">
        <v>7</v>
      </c>
      <c r="Z88" s="81">
        <v>0</v>
      </c>
      <c r="AA88" s="94">
        <v>0</v>
      </c>
      <c r="AB88" s="93">
        <f t="shared" si="38"/>
        <v>1</v>
      </c>
      <c r="AC88" s="102">
        <f>V88/Y88</f>
        <v>9.1428571428571423</v>
      </c>
      <c r="AD88" s="284"/>
      <c r="AE88" s="284"/>
      <c r="AF88" s="109">
        <f t="shared" ref="AF88:AF151" si="43">AC88-AC87</f>
        <v>0.64897959183673315</v>
      </c>
      <c r="AG88" s="115">
        <f t="shared" si="0"/>
        <v>6.3664897959183522E-2</v>
      </c>
      <c r="AH88" s="118">
        <v>0.04</v>
      </c>
      <c r="AI88" s="121">
        <f t="shared" si="41"/>
        <v>272.71800000000002</v>
      </c>
      <c r="AJ88" s="119">
        <f t="shared" si="9"/>
        <v>42.477800385306125</v>
      </c>
      <c r="AK88" s="66">
        <f t="shared" si="42"/>
        <v>0</v>
      </c>
      <c r="AL88" s="66">
        <v>451.04081632652952</v>
      </c>
      <c r="AM88" s="66">
        <f t="shared" ref="AM88:AM151" si="44">AI88+AJ88+AK88+AL88</f>
        <v>766.23661671183572</v>
      </c>
      <c r="AN88" s="164">
        <f t="shared" si="40"/>
        <v>497.27192676400648</v>
      </c>
      <c r="AO88" s="164">
        <f t="shared" ref="AO88:AO151" si="45">$C$5-AN88</f>
        <v>59158.728073235994</v>
      </c>
      <c r="AP88" s="177">
        <f t="shared" si="8"/>
        <v>497.27192676400648</v>
      </c>
      <c r="AQ88" s="180"/>
    </row>
    <row r="89" spans="17:43" x14ac:dyDescent="0.25">
      <c r="R89" s="18"/>
      <c r="S89" s="18"/>
      <c r="U89" s="279" t="s">
        <v>47</v>
      </c>
      <c r="V89" s="71">
        <f>V91/3</f>
        <v>4.666666666666667</v>
      </c>
      <c r="W89" s="71">
        <f>$W$88+V89</f>
        <v>471.66666666666669</v>
      </c>
      <c r="X89" s="45">
        <v>67</v>
      </c>
      <c r="Y89" s="46">
        <v>1</v>
      </c>
      <c r="Z89" s="84">
        <v>2.8666666666666667</v>
      </c>
      <c r="AA89" s="95">
        <f>AA91/3</f>
        <v>0.33333333333333331</v>
      </c>
      <c r="AB89" s="91">
        <f>$AB$88+AA89</f>
        <v>1.3333333333333333</v>
      </c>
      <c r="AC89" s="111">
        <f>AC88+$AE$89</f>
        <v>7.6507936507936503</v>
      </c>
      <c r="AD89" s="282">
        <f>AC91-AC88</f>
        <v>-4.4761904761904754</v>
      </c>
      <c r="AE89" s="282">
        <f>AD89/3</f>
        <v>-1.4920634920634919</v>
      </c>
      <c r="AF89" s="62">
        <f t="shared" si="43"/>
        <v>-1.4920634920634921</v>
      </c>
      <c r="AG89" s="114">
        <f t="shared" si="0"/>
        <v>-0.1463714285714286</v>
      </c>
      <c r="AH89" s="117">
        <v>0.04</v>
      </c>
      <c r="AI89" s="151">
        <f t="shared" si="41"/>
        <v>272.71800000000002</v>
      </c>
      <c r="AJ89" s="121">
        <f t="shared" si="9"/>
        <v>29.744805220136055</v>
      </c>
      <c r="AK89" s="152">
        <f t="shared" si="42"/>
        <v>-1850.9077771932346</v>
      </c>
      <c r="AL89" s="171">
        <v>-1036.984126984127</v>
      </c>
      <c r="AM89" s="169">
        <f t="shared" si="44"/>
        <v>-2585.4290989572255</v>
      </c>
      <c r="AN89" s="61">
        <f t="shared" si="40"/>
        <v>3857.6243698726857</v>
      </c>
      <c r="AO89" s="61">
        <f t="shared" si="45"/>
        <v>55798.375630127317</v>
      </c>
      <c r="AP89" s="176">
        <f t="shared" ref="AP89:AP152" si="46">AN89/$Y$23</f>
        <v>3857.6243698726857</v>
      </c>
      <c r="AQ89" s="180"/>
    </row>
    <row r="90" spans="17:43" x14ac:dyDescent="0.25">
      <c r="S90" s="18"/>
      <c r="U90" s="280"/>
      <c r="V90" s="72">
        <f>V89*2</f>
        <v>9.3333333333333339</v>
      </c>
      <c r="W90" s="74">
        <f>$W$88+V90</f>
        <v>476.33333333333331</v>
      </c>
      <c r="X90" s="37">
        <v>68</v>
      </c>
      <c r="Y90" s="47">
        <v>2</v>
      </c>
      <c r="Z90" s="83">
        <v>1.4333333333333333</v>
      </c>
      <c r="AA90" s="96">
        <f>AA89*2</f>
        <v>0.66666666666666663</v>
      </c>
      <c r="AB90" s="89">
        <f>$AB$88+AA90</f>
        <v>1.6666666666666665</v>
      </c>
      <c r="AC90" s="40">
        <f>AC89+$AE$89</f>
        <v>6.1587301587301582</v>
      </c>
      <c r="AD90" s="283"/>
      <c r="AE90" s="283"/>
      <c r="AF90" s="58">
        <f t="shared" si="43"/>
        <v>-1.4920634920634921</v>
      </c>
      <c r="AG90" s="116">
        <f t="shared" si="0"/>
        <v>-0.1463714285714286</v>
      </c>
      <c r="AH90" s="39">
        <v>0.04</v>
      </c>
      <c r="AI90" s="41">
        <f t="shared" si="41"/>
        <v>272.71800000000002</v>
      </c>
      <c r="AJ90" s="41">
        <f t="shared" si="9"/>
        <v>19.274383865034011</v>
      </c>
      <c r="AK90" s="121">
        <f t="shared" si="42"/>
        <v>-6753.6351248343699</v>
      </c>
      <c r="AL90" s="154">
        <v>-1036.984126984127</v>
      </c>
      <c r="AM90" s="41">
        <f t="shared" si="44"/>
        <v>-7498.6268679534633</v>
      </c>
      <c r="AN90" s="42">
        <f t="shared" si="40"/>
        <v>11188.42739027977</v>
      </c>
      <c r="AO90" s="42">
        <f t="shared" si="45"/>
        <v>48467.572609720228</v>
      </c>
      <c r="AP90" s="176">
        <f t="shared" si="46"/>
        <v>11188.42739027977</v>
      </c>
      <c r="AQ90" s="180"/>
    </row>
    <row r="91" spans="17:43" ht="15.75" thickBot="1" x14ac:dyDescent="0.3">
      <c r="R91" s="18"/>
      <c r="S91" s="18"/>
      <c r="U91" s="281"/>
      <c r="V91" s="75">
        <v>14</v>
      </c>
      <c r="W91" s="48">
        <f>W88+V91</f>
        <v>481</v>
      </c>
      <c r="X91" s="49">
        <f>X88+Y91</f>
        <v>69</v>
      </c>
      <c r="Y91" s="50">
        <v>3</v>
      </c>
      <c r="Z91" s="81">
        <v>4.3</v>
      </c>
      <c r="AA91" s="94">
        <v>1</v>
      </c>
      <c r="AB91" s="63">
        <f>AB88+AA91</f>
        <v>2</v>
      </c>
      <c r="AC91" s="102">
        <f>V91/Y91</f>
        <v>4.666666666666667</v>
      </c>
      <c r="AD91" s="284"/>
      <c r="AE91" s="284"/>
      <c r="AF91" s="64">
        <f t="shared" si="43"/>
        <v>-1.4920634920634912</v>
      </c>
      <c r="AG91" s="115">
        <f t="shared" si="0"/>
        <v>-0.14637142857142849</v>
      </c>
      <c r="AH91" s="118">
        <v>0.04</v>
      </c>
      <c r="AI91" s="121">
        <f t="shared" si="41"/>
        <v>272.71800000000002</v>
      </c>
      <c r="AJ91" s="119">
        <f t="shared" si="9"/>
        <v>11.066536320000003</v>
      </c>
      <c r="AK91" s="121">
        <f t="shared" si="42"/>
        <v>6246.3735484609469</v>
      </c>
      <c r="AL91" s="66">
        <v>-1036.9841269841263</v>
      </c>
      <c r="AM91" s="66">
        <f t="shared" si="44"/>
        <v>5493.173957796821</v>
      </c>
      <c r="AN91" s="164">
        <f t="shared" si="40"/>
        <v>-8196.1643179825533</v>
      </c>
      <c r="AO91" s="164">
        <f t="shared" si="45"/>
        <v>67852.164317982548</v>
      </c>
      <c r="AP91" s="177">
        <f t="shared" si="46"/>
        <v>-8196.1643179825533</v>
      </c>
      <c r="AQ91" s="180"/>
    </row>
    <row r="92" spans="17:43" x14ac:dyDescent="0.25">
      <c r="R92" s="18"/>
      <c r="U92" s="279" t="s">
        <v>48</v>
      </c>
      <c r="V92" s="71">
        <f>V96/5</f>
        <v>7.8</v>
      </c>
      <c r="W92" s="78">
        <f>$W$91+V92</f>
        <v>488.8</v>
      </c>
      <c r="X92" s="45">
        <v>70</v>
      </c>
      <c r="Y92" s="46">
        <v>1</v>
      </c>
      <c r="Z92" s="84">
        <v>3.44</v>
      </c>
      <c r="AA92" s="95">
        <f>AA95*4</f>
        <v>0.8</v>
      </c>
      <c r="AB92" s="88">
        <f>$AB$91+AA92</f>
        <v>2.8</v>
      </c>
      <c r="AC92" s="111">
        <f>AC91+$AE$92</f>
        <v>5.2933333333333339</v>
      </c>
      <c r="AD92" s="282">
        <f>AC96-AC91</f>
        <v>3.1333333333333329</v>
      </c>
      <c r="AE92" s="282">
        <f>AD92/5</f>
        <v>0.62666666666666659</v>
      </c>
      <c r="AF92" s="58">
        <f t="shared" si="43"/>
        <v>0.62666666666666693</v>
      </c>
      <c r="AG92" s="114">
        <f t="shared" si="0"/>
        <v>6.1476000000000031E-2</v>
      </c>
      <c r="AH92" s="117">
        <v>0.04</v>
      </c>
      <c r="AI92" s="151">
        <f t="shared" si="41"/>
        <v>272.71800000000002</v>
      </c>
      <c r="AJ92" s="121">
        <f t="shared" ref="AJ92:AJ155" si="47">0.5*$C$18*$C$20*$C$22*(AC92*AC92)</f>
        <v>14.238250798848004</v>
      </c>
      <c r="AK92" s="151">
        <f t="shared" si="42"/>
        <v>2004.4657941337196</v>
      </c>
      <c r="AL92" s="174">
        <v>435.53333333333353</v>
      </c>
      <c r="AM92" s="169">
        <f t="shared" si="44"/>
        <v>2726.9553782659013</v>
      </c>
      <c r="AN92" s="61">
        <f t="shared" si="40"/>
        <v>1708.8920370466321</v>
      </c>
      <c r="AO92" s="61">
        <f t="shared" si="45"/>
        <v>57947.107962953371</v>
      </c>
      <c r="AP92" s="176">
        <f t="shared" si="46"/>
        <v>1708.8920370466321</v>
      </c>
      <c r="AQ92" s="180"/>
    </row>
    <row r="93" spans="17:43" x14ac:dyDescent="0.25">
      <c r="R93" s="18"/>
      <c r="U93" s="280"/>
      <c r="V93" s="72">
        <f>V92*2</f>
        <v>15.6</v>
      </c>
      <c r="W93" s="72">
        <f t="shared" ref="W93:W95" si="48">$W$91+V93</f>
        <v>496.6</v>
      </c>
      <c r="X93" s="37">
        <v>71</v>
      </c>
      <c r="Y93" s="47">
        <v>2</v>
      </c>
      <c r="Z93" s="83">
        <v>2.58</v>
      </c>
      <c r="AA93" s="96">
        <f>AA95*3</f>
        <v>0.60000000000000009</v>
      </c>
      <c r="AB93" s="89">
        <f t="shared" ref="AB93:AB96" si="49">$AB$91+AA93</f>
        <v>2.6</v>
      </c>
      <c r="AC93" s="40">
        <f t="shared" ref="AC93:AC95" si="50">AC92+$AE$92</f>
        <v>5.9200000000000008</v>
      </c>
      <c r="AD93" s="283"/>
      <c r="AE93" s="283"/>
      <c r="AF93" s="58">
        <f t="shared" si="43"/>
        <v>0.62666666666666693</v>
      </c>
      <c r="AG93" s="116">
        <f t="shared" si="0"/>
        <v>6.1476000000000031E-2</v>
      </c>
      <c r="AH93" s="39">
        <v>0.04</v>
      </c>
      <c r="AI93" s="41">
        <f t="shared" si="41"/>
        <v>272.71800000000002</v>
      </c>
      <c r="AJ93" s="41">
        <f t="shared" si="47"/>
        <v>17.809083297792007</v>
      </c>
      <c r="AK93" s="121">
        <f t="shared" si="42"/>
        <v>-3630.7963729688477</v>
      </c>
      <c r="AL93" s="154">
        <v>435.53333333333353</v>
      </c>
      <c r="AM93" s="41">
        <f t="shared" si="44"/>
        <v>-2904.7359563377222</v>
      </c>
      <c r="AN93" s="42">
        <f t="shared" si="40"/>
        <v>-1820.3011993049734</v>
      </c>
      <c r="AO93" s="42">
        <f t="shared" si="45"/>
        <v>61476.301199304973</v>
      </c>
      <c r="AP93" s="176">
        <f t="shared" si="46"/>
        <v>-1820.3011993049734</v>
      </c>
      <c r="AQ93" s="180"/>
    </row>
    <row r="94" spans="17:43" x14ac:dyDescent="0.25">
      <c r="R94" s="18"/>
      <c r="U94" s="280"/>
      <c r="V94" s="72">
        <f>V92*3</f>
        <v>23.4</v>
      </c>
      <c r="W94" s="77">
        <f t="shared" si="48"/>
        <v>504.4</v>
      </c>
      <c r="X94" s="37">
        <v>72</v>
      </c>
      <c r="Y94" s="47">
        <v>3</v>
      </c>
      <c r="Z94" s="83">
        <v>1.72</v>
      </c>
      <c r="AA94" s="96">
        <f>AA95*2</f>
        <v>0.4</v>
      </c>
      <c r="AB94" s="89">
        <f t="shared" si="49"/>
        <v>2.4</v>
      </c>
      <c r="AC94" s="40">
        <f t="shared" si="50"/>
        <v>6.5466666666666677</v>
      </c>
      <c r="AD94" s="283"/>
      <c r="AE94" s="283"/>
      <c r="AF94" s="58">
        <f t="shared" si="43"/>
        <v>0.62666666666666693</v>
      </c>
      <c r="AG94" s="116">
        <f t="shared" si="0"/>
        <v>6.1476000000000031E-2</v>
      </c>
      <c r="AH94" s="39">
        <v>0.04</v>
      </c>
      <c r="AI94" s="41">
        <f t="shared" si="41"/>
        <v>272.71800000000002</v>
      </c>
      <c r="AJ94" s="41">
        <f t="shared" si="47"/>
        <v>21.779033816832008</v>
      </c>
      <c r="AK94" s="121">
        <f t="shared" si="42"/>
        <v>-6742.2009801317554</v>
      </c>
      <c r="AL94" s="154">
        <v>435.53333333333353</v>
      </c>
      <c r="AM94" s="41">
        <f t="shared" si="44"/>
        <v>-6012.1706129815893</v>
      </c>
      <c r="AN94" s="42">
        <f t="shared" si="40"/>
        <v>-3767.6269174684644</v>
      </c>
      <c r="AO94" s="42">
        <f t="shared" si="45"/>
        <v>63423.626917468464</v>
      </c>
      <c r="AP94" s="176">
        <f t="shared" si="46"/>
        <v>-3767.6269174684644</v>
      </c>
      <c r="AQ94" s="180"/>
    </row>
    <row r="95" spans="17:43" x14ac:dyDescent="0.25">
      <c r="R95" s="18"/>
      <c r="U95" s="280"/>
      <c r="V95" s="72">
        <f>V92*4</f>
        <v>31.2</v>
      </c>
      <c r="W95" s="72">
        <f t="shared" si="48"/>
        <v>512.20000000000005</v>
      </c>
      <c r="X95" s="37">
        <v>73</v>
      </c>
      <c r="Y95" s="47">
        <v>4</v>
      </c>
      <c r="Z95" s="83">
        <v>0.86</v>
      </c>
      <c r="AA95" s="96">
        <f>AA91/5</f>
        <v>0.2</v>
      </c>
      <c r="AB95" s="89">
        <f t="shared" si="49"/>
        <v>2.2000000000000002</v>
      </c>
      <c r="AC95" s="40">
        <f t="shared" si="50"/>
        <v>7.1733333333333347</v>
      </c>
      <c r="AD95" s="283"/>
      <c r="AE95" s="283"/>
      <c r="AF95" s="58">
        <f t="shared" si="43"/>
        <v>0.62666666666666693</v>
      </c>
      <c r="AG95" s="116">
        <f t="shared" si="0"/>
        <v>6.1476000000000031E-2</v>
      </c>
      <c r="AH95" s="39">
        <v>0.04</v>
      </c>
      <c r="AI95" s="41">
        <f t="shared" si="41"/>
        <v>272.71800000000002</v>
      </c>
      <c r="AJ95" s="41">
        <f t="shared" si="47"/>
        <v>26.148102355968014</v>
      </c>
      <c r="AK95" s="121">
        <f t="shared" si="42"/>
        <v>-5166.9327016918542</v>
      </c>
      <c r="AL95" s="154">
        <v>435.53333333333353</v>
      </c>
      <c r="AM95" s="60">
        <f t="shared" si="44"/>
        <v>-4432.5332660025524</v>
      </c>
      <c r="AN95" s="42">
        <f t="shared" si="40"/>
        <v>-2777.7208466949342</v>
      </c>
      <c r="AO95" s="42">
        <f t="shared" si="45"/>
        <v>62433.720846694938</v>
      </c>
      <c r="AP95" s="176">
        <f t="shared" si="46"/>
        <v>-2777.7208466949342</v>
      </c>
      <c r="AQ95" s="180"/>
    </row>
    <row r="96" spans="17:43" ht="15.75" thickBot="1" x14ac:dyDescent="0.3">
      <c r="R96" s="18"/>
      <c r="S96" s="18"/>
      <c r="U96" s="281"/>
      <c r="V96" s="75">
        <v>39</v>
      </c>
      <c r="W96" s="48">
        <f>W91+V96</f>
        <v>520</v>
      </c>
      <c r="X96" s="49">
        <f>X91+Y96</f>
        <v>74</v>
      </c>
      <c r="Y96" s="50">
        <v>5</v>
      </c>
      <c r="Z96" s="81">
        <v>0</v>
      </c>
      <c r="AA96" s="94">
        <v>0</v>
      </c>
      <c r="AB96" s="90">
        <f t="shared" si="49"/>
        <v>2</v>
      </c>
      <c r="AC96" s="102">
        <f>V96/Y96</f>
        <v>7.8</v>
      </c>
      <c r="AD96" s="284"/>
      <c r="AE96" s="284"/>
      <c r="AF96" s="109">
        <f t="shared" si="43"/>
        <v>0.62666666666666515</v>
      </c>
      <c r="AG96" s="115">
        <f t="shared" si="0"/>
        <v>6.1475999999999857E-2</v>
      </c>
      <c r="AH96" s="118">
        <v>0.04</v>
      </c>
      <c r="AI96" s="121">
        <f t="shared" si="41"/>
        <v>272.71800000000002</v>
      </c>
      <c r="AJ96" s="119">
        <f t="shared" si="47"/>
        <v>30.916288915199999</v>
      </c>
      <c r="AK96" s="121">
        <f t="shared" si="42"/>
        <v>0</v>
      </c>
      <c r="AL96" s="171">
        <v>435.53333333333228</v>
      </c>
      <c r="AM96" s="152">
        <f t="shared" si="44"/>
        <v>739.16762224853233</v>
      </c>
      <c r="AN96" s="164">
        <f t="shared" si="40"/>
        <v>463.21170994241248</v>
      </c>
      <c r="AO96" s="164">
        <f t="shared" si="45"/>
        <v>59192.788290057586</v>
      </c>
      <c r="AP96" s="177">
        <f t="shared" si="46"/>
        <v>463.21170994241248</v>
      </c>
      <c r="AQ96" s="180"/>
    </row>
    <row r="97" spans="18:43" x14ac:dyDescent="0.25">
      <c r="R97" s="18"/>
      <c r="S97" s="18"/>
      <c r="U97" s="279" t="s">
        <v>49</v>
      </c>
      <c r="V97" s="71">
        <f>V100/4</f>
        <v>4.25</v>
      </c>
      <c r="W97" s="78">
        <f>$W$96+V97</f>
        <v>524.25</v>
      </c>
      <c r="X97" s="45">
        <v>75</v>
      </c>
      <c r="Y97" s="46">
        <v>1</v>
      </c>
      <c r="Z97" s="84">
        <v>1.7024999999999999</v>
      </c>
      <c r="AA97" s="95">
        <f>AA100/4</f>
        <v>0.5</v>
      </c>
      <c r="AB97" s="88">
        <f>$AB$96+AA97</f>
        <v>2.5</v>
      </c>
      <c r="AC97" s="111">
        <f>AC96+$AE$97</f>
        <v>6.9124999999999996</v>
      </c>
      <c r="AD97" s="282">
        <f>AC100-AC96</f>
        <v>-3.55</v>
      </c>
      <c r="AE97" s="282">
        <f>AD97/4</f>
        <v>-0.88749999999999996</v>
      </c>
      <c r="AF97" s="62">
        <f t="shared" si="43"/>
        <v>-0.88750000000000018</v>
      </c>
      <c r="AG97" s="114">
        <f t="shared" si="0"/>
        <v>-8.7063750000000023E-2</v>
      </c>
      <c r="AH97" s="117">
        <v>0.04</v>
      </c>
      <c r="AI97" s="151">
        <f t="shared" si="41"/>
        <v>272.71800000000002</v>
      </c>
      <c r="AJ97" s="121">
        <f t="shared" si="47"/>
        <v>24.281104631175001</v>
      </c>
      <c r="AK97" s="151">
        <f t="shared" si="42"/>
        <v>-6758.9038299199319</v>
      </c>
      <c r="AL97" s="174">
        <v>-616.81250000000011</v>
      </c>
      <c r="AM97" s="151">
        <f t="shared" si="44"/>
        <v>-7078.7172252887567</v>
      </c>
      <c r="AN97" s="61">
        <f t="shared" si="40"/>
        <v>6282.3615374437732</v>
      </c>
      <c r="AO97" s="61">
        <f t="shared" si="45"/>
        <v>53373.638462556228</v>
      </c>
      <c r="AP97" s="176">
        <f t="shared" si="46"/>
        <v>6282.3615374437732</v>
      </c>
      <c r="AQ97" s="180"/>
    </row>
    <row r="98" spans="18:43" x14ac:dyDescent="0.25">
      <c r="R98" s="18"/>
      <c r="S98" s="18"/>
      <c r="U98" s="280"/>
      <c r="V98" s="72">
        <f>V97*2</f>
        <v>8.5</v>
      </c>
      <c r="W98" s="72">
        <f t="shared" ref="W98:W99" si="51">$W$96+V98</f>
        <v>528.5</v>
      </c>
      <c r="X98" s="37">
        <v>76</v>
      </c>
      <c r="Y98" s="47">
        <v>2</v>
      </c>
      <c r="Z98" s="83">
        <v>3.4049999999999998</v>
      </c>
      <c r="AA98" s="96">
        <f>AA97*2</f>
        <v>1</v>
      </c>
      <c r="AB98" s="89">
        <f t="shared" ref="AB98:AB100" si="52">$AB$96+AA98</f>
        <v>3</v>
      </c>
      <c r="AC98" s="40">
        <f t="shared" ref="AC98:AC99" si="53">AC97+$AE$97</f>
        <v>6.0249999999999995</v>
      </c>
      <c r="AD98" s="283"/>
      <c r="AE98" s="283"/>
      <c r="AF98" s="58">
        <f t="shared" si="43"/>
        <v>-0.88750000000000018</v>
      </c>
      <c r="AG98" s="116">
        <f t="shared" si="0"/>
        <v>-8.7063750000000023E-2</v>
      </c>
      <c r="AH98" s="39">
        <v>0.04</v>
      </c>
      <c r="AI98" s="41">
        <f t="shared" si="41"/>
        <v>272.71800000000002</v>
      </c>
      <c r="AJ98" s="41">
        <f t="shared" si="47"/>
        <v>18.446426862300001</v>
      </c>
      <c r="AK98" s="121">
        <f t="shared" si="42"/>
        <v>1775.2024496395356</v>
      </c>
      <c r="AL98" s="154">
        <v>-616.81250000000011</v>
      </c>
      <c r="AM98" s="60">
        <f t="shared" si="44"/>
        <v>1449.5543765018356</v>
      </c>
      <c r="AN98" s="42">
        <f t="shared" si="40"/>
        <v>-1286.4795091453793</v>
      </c>
      <c r="AO98" s="42">
        <f t="shared" si="45"/>
        <v>60942.479509145378</v>
      </c>
      <c r="AP98" s="176">
        <f t="shared" si="46"/>
        <v>-1286.4795091453793</v>
      </c>
      <c r="AQ98" s="180"/>
    </row>
    <row r="99" spans="18:43" x14ac:dyDescent="0.25">
      <c r="R99" s="18"/>
      <c r="S99" s="18"/>
      <c r="U99" s="280"/>
      <c r="V99" s="72">
        <f>V97*3</f>
        <v>12.75</v>
      </c>
      <c r="W99" s="74">
        <f t="shared" si="51"/>
        <v>532.75</v>
      </c>
      <c r="X99" s="37">
        <v>77</v>
      </c>
      <c r="Y99" s="47">
        <v>3</v>
      </c>
      <c r="Z99" s="83">
        <v>5.1074999999999999</v>
      </c>
      <c r="AA99" s="96">
        <f>AA97*3</f>
        <v>1.5</v>
      </c>
      <c r="AB99" s="89">
        <f t="shared" si="52"/>
        <v>3.5</v>
      </c>
      <c r="AC99" s="40">
        <f t="shared" si="53"/>
        <v>5.1374999999999993</v>
      </c>
      <c r="AD99" s="283"/>
      <c r="AE99" s="283"/>
      <c r="AF99" s="58">
        <f t="shared" si="43"/>
        <v>-0.88750000000000018</v>
      </c>
      <c r="AG99" s="116">
        <f t="shared" si="0"/>
        <v>-8.7063750000000023E-2</v>
      </c>
      <c r="AH99" s="39">
        <v>0.04</v>
      </c>
      <c r="AI99" s="41">
        <f t="shared" si="41"/>
        <v>272.71800000000002</v>
      </c>
      <c r="AJ99" s="41">
        <f t="shared" si="47"/>
        <v>13.412255608574998</v>
      </c>
      <c r="AK99" s="121">
        <f t="shared" si="42"/>
        <v>6292.6531158239532</v>
      </c>
      <c r="AL99" s="41">
        <v>-616.81250000000011</v>
      </c>
      <c r="AM99" s="60">
        <f t="shared" si="44"/>
        <v>5961.9708714325279</v>
      </c>
      <c r="AN99" s="42">
        <f t="shared" si="40"/>
        <v>-5291.2491483963695</v>
      </c>
      <c r="AO99" s="42">
        <f t="shared" si="45"/>
        <v>64947.249148396368</v>
      </c>
      <c r="AP99" s="176">
        <f t="shared" si="46"/>
        <v>-5291.2491483963695</v>
      </c>
      <c r="AQ99" s="180"/>
    </row>
    <row r="100" spans="18:43" ht="15.75" thickBot="1" x14ac:dyDescent="0.3">
      <c r="R100" s="18"/>
      <c r="S100" s="18"/>
      <c r="U100" s="281"/>
      <c r="V100" s="75">
        <v>17</v>
      </c>
      <c r="W100" s="48">
        <f>W96+V100</f>
        <v>537</v>
      </c>
      <c r="X100" s="49">
        <f>X96+Y100</f>
        <v>78</v>
      </c>
      <c r="Y100" s="50">
        <v>4</v>
      </c>
      <c r="Z100" s="81">
        <v>6.81</v>
      </c>
      <c r="AA100" s="94">
        <v>2</v>
      </c>
      <c r="AB100" s="93">
        <f t="shared" si="52"/>
        <v>4</v>
      </c>
      <c r="AC100" s="102">
        <f>V100/Y100</f>
        <v>4.25</v>
      </c>
      <c r="AD100" s="284"/>
      <c r="AE100" s="284"/>
      <c r="AF100" s="64">
        <f t="shared" si="43"/>
        <v>-0.88749999999999929</v>
      </c>
      <c r="AG100" s="115">
        <f t="shared" si="0"/>
        <v>-8.706374999999994E-2</v>
      </c>
      <c r="AH100" s="118">
        <v>0.04</v>
      </c>
      <c r="AI100" s="121">
        <f t="shared" si="41"/>
        <v>272.71800000000002</v>
      </c>
      <c r="AJ100" s="119">
        <f t="shared" si="47"/>
        <v>9.1785908700000007</v>
      </c>
      <c r="AK100" s="66">
        <f t="shared" si="42"/>
        <v>-3427.9457800731739</v>
      </c>
      <c r="AL100" s="173">
        <v>-616.81249999999955</v>
      </c>
      <c r="AM100" s="152">
        <f t="shared" si="44"/>
        <v>-3762.8616892031732</v>
      </c>
      <c r="AN100" s="164">
        <f t="shared" si="40"/>
        <v>3339.5397491678136</v>
      </c>
      <c r="AO100" s="164">
        <f t="shared" si="45"/>
        <v>56316.460250832184</v>
      </c>
      <c r="AP100" s="177">
        <f t="shared" si="46"/>
        <v>3339.5397491678136</v>
      </c>
      <c r="AQ100" s="180"/>
    </row>
    <row r="101" spans="18:43" x14ac:dyDescent="0.25">
      <c r="R101" s="18"/>
      <c r="S101" s="18"/>
      <c r="U101" s="279" t="s">
        <v>50</v>
      </c>
      <c r="V101" s="71">
        <f>V105/5</f>
        <v>9.1999999999999993</v>
      </c>
      <c r="W101" s="71">
        <f>$W$100+V101</f>
        <v>546.20000000000005</v>
      </c>
      <c r="X101" s="45">
        <v>79</v>
      </c>
      <c r="Y101" s="46">
        <v>1</v>
      </c>
      <c r="Z101" s="85">
        <v>5.4479999999999995</v>
      </c>
      <c r="AA101" s="95">
        <f>AA104*4</f>
        <v>1.6</v>
      </c>
      <c r="AB101" s="91">
        <f>$AB$100+AA101</f>
        <v>5.6</v>
      </c>
      <c r="AC101" s="111">
        <f>AC100+$AE$101</f>
        <v>5.24</v>
      </c>
      <c r="AD101" s="282">
        <f>AC105-AC100</f>
        <v>4.9499999999999993</v>
      </c>
      <c r="AE101" s="282">
        <f>AD101/5</f>
        <v>0.98999999999999988</v>
      </c>
      <c r="AF101" s="58">
        <f t="shared" si="43"/>
        <v>0.99000000000000021</v>
      </c>
      <c r="AG101" s="114">
        <f t="shared" si="0"/>
        <v>9.7119000000000025E-2</v>
      </c>
      <c r="AH101" s="117">
        <v>0.04</v>
      </c>
      <c r="AI101" s="151">
        <f t="shared" si="41"/>
        <v>272.71800000000002</v>
      </c>
      <c r="AJ101" s="121">
        <f t="shared" si="47"/>
        <v>13.952779331328003</v>
      </c>
      <c r="AK101" s="152">
        <f t="shared" si="42"/>
        <v>5054.9704413605805</v>
      </c>
      <c r="AL101" s="171">
        <v>688.05000000000018</v>
      </c>
      <c r="AM101" s="169">
        <f t="shared" si="44"/>
        <v>6029.6912206919087</v>
      </c>
      <c r="AN101" s="61">
        <f t="shared" si="40"/>
        <v>5969.3943084849907</v>
      </c>
      <c r="AO101" s="61">
        <f t="shared" si="45"/>
        <v>53686.605691515011</v>
      </c>
      <c r="AP101" s="176">
        <f t="shared" si="46"/>
        <v>5969.3943084849907</v>
      </c>
      <c r="AQ101" s="180"/>
    </row>
    <row r="102" spans="18:43" x14ac:dyDescent="0.25">
      <c r="R102" s="18"/>
      <c r="S102" s="18"/>
      <c r="U102" s="280"/>
      <c r="V102" s="72">
        <f>V101*2</f>
        <v>18.399999999999999</v>
      </c>
      <c r="W102" s="72">
        <f t="shared" ref="W102:W104" si="54">$W$100+V102</f>
        <v>555.4</v>
      </c>
      <c r="X102" s="37">
        <v>80</v>
      </c>
      <c r="Y102" s="47">
        <v>2</v>
      </c>
      <c r="Z102" s="83">
        <v>4.0859999999999994</v>
      </c>
      <c r="AA102" s="100">
        <f>AA103*3</f>
        <v>2.4000000000000004</v>
      </c>
      <c r="AB102" s="89">
        <f t="shared" ref="AB102:AB105" si="55">$AB$100+AA102</f>
        <v>6.4</v>
      </c>
      <c r="AC102" s="40">
        <f t="shared" ref="AC102:AC104" si="56">AC101+$AE$101</f>
        <v>6.23</v>
      </c>
      <c r="AD102" s="283"/>
      <c r="AE102" s="283"/>
      <c r="AF102" s="58">
        <f t="shared" si="43"/>
        <v>0.99000000000000021</v>
      </c>
      <c r="AG102" s="116">
        <f t="shared" si="0"/>
        <v>9.7119000000000025E-2</v>
      </c>
      <c r="AH102" s="39">
        <v>0.04</v>
      </c>
      <c r="AI102" s="41">
        <f t="shared" si="41"/>
        <v>272.71800000000002</v>
      </c>
      <c r="AJ102" s="41">
        <f t="shared" si="47"/>
        <v>19.723057692912004</v>
      </c>
      <c r="AK102" s="121">
        <f t="shared" si="42"/>
        <v>5523.559798372874</v>
      </c>
      <c r="AL102" s="154">
        <v>688.05000000000018</v>
      </c>
      <c r="AM102" s="41">
        <f t="shared" si="44"/>
        <v>6504.0508560657863</v>
      </c>
      <c r="AN102" s="42">
        <f t="shared" si="40"/>
        <v>6439.0103475051301</v>
      </c>
      <c r="AO102" s="42">
        <f t="shared" si="45"/>
        <v>53216.989652494871</v>
      </c>
      <c r="AP102" s="176">
        <f t="shared" si="46"/>
        <v>6439.0103475051301</v>
      </c>
      <c r="AQ102" s="180"/>
    </row>
    <row r="103" spans="18:43" x14ac:dyDescent="0.25">
      <c r="R103" s="18"/>
      <c r="S103" s="18"/>
      <c r="U103" s="280"/>
      <c r="V103" s="72">
        <f>V101*3</f>
        <v>27.599999999999998</v>
      </c>
      <c r="W103" s="74">
        <f t="shared" si="54"/>
        <v>564.6</v>
      </c>
      <c r="X103" s="37">
        <v>81</v>
      </c>
      <c r="Y103" s="47">
        <v>3</v>
      </c>
      <c r="Z103" s="83">
        <v>2.7239999999999998</v>
      </c>
      <c r="AA103" s="96">
        <f>AA104*2</f>
        <v>0.8</v>
      </c>
      <c r="AB103" s="89">
        <f t="shared" si="55"/>
        <v>4.8</v>
      </c>
      <c r="AC103" s="40">
        <f t="shared" si="56"/>
        <v>7.2200000000000006</v>
      </c>
      <c r="AD103" s="283"/>
      <c r="AE103" s="283"/>
      <c r="AF103" s="58">
        <f t="shared" si="43"/>
        <v>0.99000000000000021</v>
      </c>
      <c r="AG103" s="116">
        <f t="shared" si="0"/>
        <v>9.7119000000000025E-2</v>
      </c>
      <c r="AH103" s="39">
        <v>0.04</v>
      </c>
      <c r="AI103" s="41">
        <f t="shared" si="41"/>
        <v>272.71800000000002</v>
      </c>
      <c r="AJ103" s="41">
        <f t="shared" si="47"/>
        <v>26.489425954752004</v>
      </c>
      <c r="AK103" s="121">
        <f t="shared" si="42"/>
        <v>-2765.0956579837434</v>
      </c>
      <c r="AL103" s="154">
        <v>688.05000000000018</v>
      </c>
      <c r="AM103" s="41">
        <f t="shared" si="44"/>
        <v>-1777.8382320289911</v>
      </c>
      <c r="AN103" s="42">
        <f t="shared" si="40"/>
        <v>-1760.0598497087017</v>
      </c>
      <c r="AO103" s="42">
        <f t="shared" si="45"/>
        <v>61416.059849708705</v>
      </c>
      <c r="AP103" s="176">
        <f t="shared" si="46"/>
        <v>-1760.0598497087017</v>
      </c>
      <c r="AQ103" s="180"/>
    </row>
    <row r="104" spans="18:43" x14ac:dyDescent="0.25">
      <c r="U104" s="280"/>
      <c r="V104" s="72">
        <f>V101*4</f>
        <v>36.799999999999997</v>
      </c>
      <c r="W104" s="74">
        <f t="shared" si="54"/>
        <v>573.79999999999995</v>
      </c>
      <c r="X104" s="37">
        <v>82</v>
      </c>
      <c r="Y104" s="47">
        <v>4</v>
      </c>
      <c r="Z104" s="83">
        <v>1.3619999999999999</v>
      </c>
      <c r="AA104" s="96">
        <f>AA100/5</f>
        <v>0.4</v>
      </c>
      <c r="AB104" s="89">
        <f t="shared" si="55"/>
        <v>4.4000000000000004</v>
      </c>
      <c r="AC104" s="40">
        <f t="shared" si="56"/>
        <v>8.2100000000000009</v>
      </c>
      <c r="AD104" s="283"/>
      <c r="AE104" s="283"/>
      <c r="AF104" s="58">
        <f t="shared" si="43"/>
        <v>0.99000000000000021</v>
      </c>
      <c r="AG104" s="116">
        <f t="shared" si="0"/>
        <v>9.7119000000000025E-2</v>
      </c>
      <c r="AH104" s="39">
        <v>0.04</v>
      </c>
      <c r="AI104" s="41">
        <f t="shared" si="41"/>
        <v>272.71800000000002</v>
      </c>
      <c r="AJ104" s="41">
        <f t="shared" si="47"/>
        <v>34.251884116848011</v>
      </c>
      <c r="AK104" s="121">
        <f t="shared" si="42"/>
        <v>-6669.8717877365016</v>
      </c>
      <c r="AL104" s="154">
        <v>688.05000000000018</v>
      </c>
      <c r="AM104" s="152">
        <f t="shared" si="44"/>
        <v>-5674.8519036196531</v>
      </c>
      <c r="AN104" s="42">
        <f t="shared" si="40"/>
        <v>-5618.1033845834581</v>
      </c>
      <c r="AO104" s="42">
        <f t="shared" si="45"/>
        <v>65274.103384583461</v>
      </c>
      <c r="AP104" s="176">
        <f t="shared" si="46"/>
        <v>-5618.1033845834581</v>
      </c>
      <c r="AQ104" s="180"/>
    </row>
    <row r="105" spans="18:43" ht="15.75" thickBot="1" x14ac:dyDescent="0.3">
      <c r="U105" s="281"/>
      <c r="V105" s="75">
        <v>46</v>
      </c>
      <c r="W105" s="48">
        <f>W100+V105</f>
        <v>583</v>
      </c>
      <c r="X105" s="49">
        <f>X100+Y105</f>
        <v>83</v>
      </c>
      <c r="Y105" s="50">
        <v>5</v>
      </c>
      <c r="Z105" s="81">
        <v>0</v>
      </c>
      <c r="AA105" s="94">
        <v>0</v>
      </c>
      <c r="AB105" s="90">
        <f t="shared" si="55"/>
        <v>4</v>
      </c>
      <c r="AC105" s="102">
        <f>V105/Y105</f>
        <v>9.1999999999999993</v>
      </c>
      <c r="AD105" s="284"/>
      <c r="AE105" s="284"/>
      <c r="AF105" s="109">
        <f t="shared" si="43"/>
        <v>0.98999999999999844</v>
      </c>
      <c r="AG105" s="115">
        <f t="shared" si="0"/>
        <v>9.7118999999999858E-2</v>
      </c>
      <c r="AH105" s="118">
        <v>0.04</v>
      </c>
      <c r="AI105" s="121">
        <f t="shared" si="41"/>
        <v>272.71800000000002</v>
      </c>
      <c r="AJ105" s="119">
        <f t="shared" si="47"/>
        <v>43.010432179199995</v>
      </c>
      <c r="AK105" s="66">
        <f t="shared" si="42"/>
        <v>0</v>
      </c>
      <c r="AL105" s="66">
        <v>688.04999999999893</v>
      </c>
      <c r="AM105" s="66">
        <f t="shared" si="44"/>
        <v>1003.7784321791989</v>
      </c>
      <c r="AN105" s="164">
        <f t="shared" si="40"/>
        <v>993.74064785740541</v>
      </c>
      <c r="AO105" s="164">
        <f t="shared" si="45"/>
        <v>58662.259352142595</v>
      </c>
      <c r="AP105" s="177">
        <f t="shared" si="46"/>
        <v>993.74064785740541</v>
      </c>
      <c r="AQ105" s="180"/>
    </row>
    <row r="106" spans="18:43" x14ac:dyDescent="0.25">
      <c r="U106" s="279" t="s">
        <v>51</v>
      </c>
      <c r="V106" s="71">
        <f>V109/4</f>
        <v>7</v>
      </c>
      <c r="W106" s="78">
        <f>$W$105+V106</f>
        <v>590</v>
      </c>
      <c r="X106" s="45">
        <v>84</v>
      </c>
      <c r="Y106" s="46">
        <v>1</v>
      </c>
      <c r="Z106" s="84">
        <v>-2.0175000000000001</v>
      </c>
      <c r="AA106" s="95">
        <v>-1</v>
      </c>
      <c r="AB106" s="88">
        <f>$AB$105+AA106</f>
        <v>3</v>
      </c>
      <c r="AC106" s="111">
        <f>AC105+$AE$106</f>
        <v>8.6499999999999986</v>
      </c>
      <c r="AD106" s="282">
        <f>AC109-AC105</f>
        <v>-2.1999999999999993</v>
      </c>
      <c r="AE106" s="282">
        <f>AD106/4</f>
        <v>-0.54999999999999982</v>
      </c>
      <c r="AF106" s="62">
        <f t="shared" si="43"/>
        <v>-0.55000000000000071</v>
      </c>
      <c r="AG106" s="114">
        <f t="shared" si="0"/>
        <v>-5.3955000000000072E-2</v>
      </c>
      <c r="AH106" s="117">
        <v>0.04</v>
      </c>
      <c r="AI106" s="151">
        <f t="shared" si="41"/>
        <v>272.71800000000002</v>
      </c>
      <c r="AJ106" s="121">
        <f t="shared" si="47"/>
        <v>38.02159808279999</v>
      </c>
      <c r="AK106" s="152">
        <f t="shared" si="42"/>
        <v>6148.9454488359379</v>
      </c>
      <c r="AL106" s="171">
        <v>-382.25000000000051</v>
      </c>
      <c r="AM106" s="169">
        <f t="shared" si="44"/>
        <v>6077.4350469187366</v>
      </c>
      <c r="AN106" s="61">
        <f t="shared" si="40"/>
        <v>-3342.5892758053096</v>
      </c>
      <c r="AO106" s="61">
        <f t="shared" si="45"/>
        <v>62998.589275805309</v>
      </c>
      <c r="AP106" s="176">
        <f t="shared" si="46"/>
        <v>-3342.5892758053096</v>
      </c>
      <c r="AQ106" s="180"/>
    </row>
    <row r="107" spans="18:43" x14ac:dyDescent="0.25">
      <c r="R107" s="18"/>
      <c r="U107" s="280"/>
      <c r="V107" s="72">
        <f>V106*2</f>
        <v>14</v>
      </c>
      <c r="W107" s="72">
        <f t="shared" ref="W107:W108" si="57">$W$105+V107</f>
        <v>597</v>
      </c>
      <c r="X107" s="37">
        <v>85</v>
      </c>
      <c r="Y107" s="47">
        <v>2</v>
      </c>
      <c r="Z107" s="83">
        <v>-4.0350000000000001</v>
      </c>
      <c r="AA107" s="96">
        <v>-2</v>
      </c>
      <c r="AB107" s="89">
        <f t="shared" ref="AB107:AB109" si="58">$AB$105+AA107</f>
        <v>2</v>
      </c>
      <c r="AC107" s="40">
        <f t="shared" ref="AC107:AC108" si="59">AC106+$AE$106</f>
        <v>8.0999999999999979</v>
      </c>
      <c r="AD107" s="283"/>
      <c r="AE107" s="283"/>
      <c r="AF107" s="58">
        <f t="shared" si="43"/>
        <v>-0.55000000000000071</v>
      </c>
      <c r="AG107" s="116">
        <f t="shared" si="0"/>
        <v>-5.3955000000000072E-2</v>
      </c>
      <c r="AH107" s="39">
        <v>0.04</v>
      </c>
      <c r="AI107" s="41">
        <f t="shared" si="41"/>
        <v>272.71800000000002</v>
      </c>
      <c r="AJ107" s="41">
        <f t="shared" si="47"/>
        <v>33.340199140799989</v>
      </c>
      <c r="AK107" s="121">
        <f t="shared" si="42"/>
        <v>-5312.6274823791073</v>
      </c>
      <c r="AL107" s="154">
        <v>-382.25000000000051</v>
      </c>
      <c r="AM107" s="41">
        <f t="shared" si="44"/>
        <v>-5388.8192832383083</v>
      </c>
      <c r="AN107" s="42">
        <f t="shared" si="40"/>
        <v>2963.8506057810732</v>
      </c>
      <c r="AO107" s="42">
        <f t="shared" si="45"/>
        <v>56692.149394218926</v>
      </c>
      <c r="AP107" s="176">
        <f t="shared" si="46"/>
        <v>2963.8506057810732</v>
      </c>
      <c r="AQ107" s="180"/>
    </row>
    <row r="108" spans="18:43" x14ac:dyDescent="0.25">
      <c r="U108" s="280"/>
      <c r="V108" s="72">
        <f>V106*3</f>
        <v>21</v>
      </c>
      <c r="W108" s="74">
        <f t="shared" si="57"/>
        <v>604</v>
      </c>
      <c r="X108" s="37">
        <v>86</v>
      </c>
      <c r="Y108" s="47">
        <v>3</v>
      </c>
      <c r="Z108" s="83">
        <v>-6.0525000000000002</v>
      </c>
      <c r="AA108" s="96">
        <v>-3</v>
      </c>
      <c r="AB108" s="89">
        <f t="shared" si="58"/>
        <v>1</v>
      </c>
      <c r="AC108" s="40">
        <f t="shared" si="59"/>
        <v>7.549999999999998</v>
      </c>
      <c r="AD108" s="283"/>
      <c r="AE108" s="283"/>
      <c r="AF108" s="58">
        <f t="shared" si="43"/>
        <v>-0.54999999999999982</v>
      </c>
      <c r="AG108" s="116">
        <f t="shared" si="0"/>
        <v>-5.3954999999999989E-2</v>
      </c>
      <c r="AH108" s="39">
        <v>0.04</v>
      </c>
      <c r="AI108" s="41">
        <f t="shared" si="41"/>
        <v>272.71800000000002</v>
      </c>
      <c r="AJ108" s="41">
        <f t="shared" si="47"/>
        <v>28.966235353199988</v>
      </c>
      <c r="AK108" s="121">
        <f t="shared" si="42"/>
        <v>-1558.8883404462576</v>
      </c>
      <c r="AL108" s="154">
        <v>-382.24999999999989</v>
      </c>
      <c r="AM108" s="152">
        <f t="shared" si="44"/>
        <v>-1639.4541050930575</v>
      </c>
      <c r="AN108" s="42">
        <f t="shared" si="40"/>
        <v>901.69975780118136</v>
      </c>
      <c r="AO108" s="42">
        <f t="shared" si="45"/>
        <v>58754.30024219882</v>
      </c>
      <c r="AP108" s="176">
        <f t="shared" si="46"/>
        <v>901.69975780118136</v>
      </c>
      <c r="AQ108" s="180"/>
    </row>
    <row r="109" spans="18:43" ht="15.75" thickBot="1" x14ac:dyDescent="0.3">
      <c r="U109" s="281"/>
      <c r="V109" s="75">
        <v>28</v>
      </c>
      <c r="W109" s="48">
        <f>W105+V109</f>
        <v>611</v>
      </c>
      <c r="X109" s="49">
        <v>87</v>
      </c>
      <c r="Y109" s="50">
        <v>4</v>
      </c>
      <c r="Z109" s="81">
        <v>-8.07</v>
      </c>
      <c r="AA109" s="94">
        <v>-4</v>
      </c>
      <c r="AB109" s="93">
        <f t="shared" si="58"/>
        <v>0</v>
      </c>
      <c r="AC109" s="102">
        <f>V109/Y109</f>
        <v>7</v>
      </c>
      <c r="AD109" s="284"/>
      <c r="AE109" s="284"/>
      <c r="AF109" s="64">
        <f t="shared" si="43"/>
        <v>-0.54999999999999805</v>
      </c>
      <c r="AG109" s="115">
        <f t="shared" si="0"/>
        <v>-5.3954999999999809E-2</v>
      </c>
      <c r="AH109" s="118">
        <v>0.04</v>
      </c>
      <c r="AI109" s="66">
        <f t="shared" si="41"/>
        <v>272.71800000000002</v>
      </c>
      <c r="AJ109" s="119">
        <f t="shared" si="47"/>
        <v>24.899706720000001</v>
      </c>
      <c r="AK109" s="66">
        <f t="shared" si="42"/>
        <v>6659.4914460174541</v>
      </c>
      <c r="AL109" s="66">
        <v>-382.24999999999864</v>
      </c>
      <c r="AM109" s="66">
        <f t="shared" si="44"/>
        <v>6574.8591527374556</v>
      </c>
      <c r="AN109" s="164">
        <f t="shared" si="40"/>
        <v>-3616.1725340055877</v>
      </c>
      <c r="AO109" s="164">
        <f t="shared" si="45"/>
        <v>63272.172534005585</v>
      </c>
      <c r="AP109" s="177">
        <f t="shared" si="46"/>
        <v>-3616.1725340055877</v>
      </c>
      <c r="AQ109" s="180"/>
    </row>
    <row r="110" spans="18:43" x14ac:dyDescent="0.25">
      <c r="U110" s="279" t="s">
        <v>52</v>
      </c>
      <c r="V110" s="71">
        <f>V116/7</f>
        <v>11.428571428571429</v>
      </c>
      <c r="W110" s="78">
        <f>$W$109+V110</f>
        <v>622.42857142857144</v>
      </c>
      <c r="X110" s="45">
        <v>88</v>
      </c>
      <c r="Y110" s="46">
        <v>1</v>
      </c>
      <c r="Z110" s="84">
        <v>-6.9171428571428564</v>
      </c>
      <c r="AA110" s="95">
        <f>AA115*6</f>
        <v>-3.4285714285714284</v>
      </c>
      <c r="AB110" s="91">
        <f>$AB$109+AA110</f>
        <v>-3.4285714285714284</v>
      </c>
      <c r="AC110" s="111">
        <f>AC109+$AE$110</f>
        <v>7.6326530612244898</v>
      </c>
      <c r="AD110" s="282">
        <f>AC116-AC109</f>
        <v>4.4285714285714288</v>
      </c>
      <c r="AE110" s="282">
        <f>AD110/7</f>
        <v>0.63265306122448983</v>
      </c>
      <c r="AF110" s="58">
        <f t="shared" si="43"/>
        <v>0.63265306122448983</v>
      </c>
      <c r="AG110" s="114">
        <f t="shared" si="0"/>
        <v>6.206326530612246E-2</v>
      </c>
      <c r="AH110" s="117">
        <v>0.04</v>
      </c>
      <c r="AI110" s="60">
        <f t="shared" si="41"/>
        <v>272.71800000000002</v>
      </c>
      <c r="AJ110" s="121">
        <f t="shared" si="47"/>
        <v>29.60391824126614</v>
      </c>
      <c r="AK110" s="60">
        <f t="shared" si="42"/>
        <v>4038.530493371793</v>
      </c>
      <c r="AL110" s="171">
        <v>439.69387755102042</v>
      </c>
      <c r="AM110" s="151">
        <f t="shared" si="44"/>
        <v>4780.54628916408</v>
      </c>
      <c r="AN110" s="61">
        <f t="shared" si="40"/>
        <v>3024.4272441650305</v>
      </c>
      <c r="AO110" s="61">
        <f t="shared" si="45"/>
        <v>56631.572755834968</v>
      </c>
      <c r="AP110" s="176">
        <f t="shared" si="46"/>
        <v>3024.4272441650305</v>
      </c>
      <c r="AQ110" s="180"/>
    </row>
    <row r="111" spans="18:43" x14ac:dyDescent="0.25">
      <c r="U111" s="280"/>
      <c r="V111" s="74">
        <f>V110*2</f>
        <v>22.857142857142858</v>
      </c>
      <c r="W111" s="76">
        <f t="shared" ref="W111:W115" si="60">$W$109+V111</f>
        <v>633.85714285714289</v>
      </c>
      <c r="X111" s="44">
        <v>89</v>
      </c>
      <c r="Y111" s="51">
        <v>2</v>
      </c>
      <c r="Z111" s="83">
        <v>-5.7642857142857142</v>
      </c>
      <c r="AA111" s="96">
        <f>AA115*5</f>
        <v>-2.8571428571428568</v>
      </c>
      <c r="AB111" s="89">
        <f t="shared" ref="AB111:AB116" si="61">$AB$109+AA111</f>
        <v>-2.8571428571428568</v>
      </c>
      <c r="AC111" s="40">
        <f t="shared" ref="AC111:AC115" si="62">AC110+$AE$110</f>
        <v>8.2653061224489797</v>
      </c>
      <c r="AD111" s="283"/>
      <c r="AE111" s="283"/>
      <c r="AF111" s="58">
        <f t="shared" si="43"/>
        <v>0.63265306122448983</v>
      </c>
      <c r="AG111" s="116">
        <f t="shared" si="0"/>
        <v>6.206326530612246E-2</v>
      </c>
      <c r="AH111" s="39">
        <v>0.04</v>
      </c>
      <c r="AI111" s="41">
        <f t="shared" si="41"/>
        <v>272.71800000000002</v>
      </c>
      <c r="AJ111" s="41">
        <f t="shared" si="47"/>
        <v>34.714909559350275</v>
      </c>
      <c r="AK111" s="168">
        <f t="shared" si="42"/>
        <v>-3381.1910547497014</v>
      </c>
      <c r="AL111" s="168">
        <v>439.69387755102042</v>
      </c>
      <c r="AM111" s="152">
        <f t="shared" si="44"/>
        <v>-2634.0642676393309</v>
      </c>
      <c r="AN111" s="42">
        <f t="shared" si="40"/>
        <v>-1666.4488223840665</v>
      </c>
      <c r="AO111" s="42">
        <f t="shared" si="45"/>
        <v>61322.448822384067</v>
      </c>
      <c r="AP111" s="176">
        <f t="shared" si="46"/>
        <v>-1666.4488223840665</v>
      </c>
      <c r="AQ111" s="180"/>
    </row>
    <row r="112" spans="18:43" x14ac:dyDescent="0.25">
      <c r="U112" s="280"/>
      <c r="V112" s="72">
        <f>V110*3</f>
        <v>34.285714285714285</v>
      </c>
      <c r="W112" s="72">
        <f t="shared" si="60"/>
        <v>645.28571428571433</v>
      </c>
      <c r="X112" s="37">
        <v>90</v>
      </c>
      <c r="Y112" s="47">
        <v>3</v>
      </c>
      <c r="Z112" s="83">
        <v>-4.6114285714285712</v>
      </c>
      <c r="AA112" s="96">
        <f>AA115*4</f>
        <v>-2.2857142857142856</v>
      </c>
      <c r="AB112" s="89">
        <f t="shared" si="61"/>
        <v>-2.2857142857142856</v>
      </c>
      <c r="AC112" s="40">
        <f t="shared" si="62"/>
        <v>8.8979591836734695</v>
      </c>
      <c r="AD112" s="283"/>
      <c r="AE112" s="283"/>
      <c r="AF112" s="58">
        <f t="shared" si="43"/>
        <v>0.63265306122448983</v>
      </c>
      <c r="AG112" s="116">
        <f t="shared" si="0"/>
        <v>6.206326530612246E-2</v>
      </c>
      <c r="AH112" s="39">
        <v>0.04</v>
      </c>
      <c r="AI112" s="41">
        <f t="shared" si="41"/>
        <v>272.71800000000002</v>
      </c>
      <c r="AJ112" s="41">
        <f t="shared" si="47"/>
        <v>40.2326806742524</v>
      </c>
      <c r="AK112" s="168">
        <f t="shared" si="42"/>
        <v>-6783.2318088451875</v>
      </c>
      <c r="AL112" s="168">
        <v>439.69387755102042</v>
      </c>
      <c r="AM112" s="41">
        <f t="shared" si="44"/>
        <v>-6030.5872506199148</v>
      </c>
      <c r="AN112" s="42">
        <f t="shared" si="40"/>
        <v>-3815.2694850860689</v>
      </c>
      <c r="AO112" s="42">
        <f t="shared" si="45"/>
        <v>63471.269485086072</v>
      </c>
      <c r="AP112" s="176">
        <f t="shared" si="46"/>
        <v>-3815.2694850860689</v>
      </c>
      <c r="AQ112" s="180"/>
    </row>
    <row r="113" spans="21:43" x14ac:dyDescent="0.25">
      <c r="U113" s="280"/>
      <c r="V113" s="72">
        <f>V110*4</f>
        <v>45.714285714285715</v>
      </c>
      <c r="W113" s="74">
        <f t="shared" si="60"/>
        <v>656.71428571428567</v>
      </c>
      <c r="X113" s="37">
        <v>91</v>
      </c>
      <c r="Y113" s="47">
        <v>4</v>
      </c>
      <c r="Z113" s="83">
        <v>-3.4585714285714282</v>
      </c>
      <c r="AA113" s="96">
        <f>AA115*3</f>
        <v>-1.7142857142857142</v>
      </c>
      <c r="AB113" s="89">
        <f t="shared" si="61"/>
        <v>-1.7142857142857142</v>
      </c>
      <c r="AC113" s="40">
        <f t="shared" si="62"/>
        <v>9.5306122448979593</v>
      </c>
      <c r="AD113" s="283"/>
      <c r="AE113" s="283"/>
      <c r="AF113" s="58">
        <f t="shared" si="43"/>
        <v>0.63265306122448983</v>
      </c>
      <c r="AG113" s="116">
        <f t="shared" si="0"/>
        <v>6.206326530612246E-2</v>
      </c>
      <c r="AH113" s="39">
        <v>0.04</v>
      </c>
      <c r="AI113" s="41">
        <f t="shared" si="41"/>
        <v>272.71800000000002</v>
      </c>
      <c r="AJ113" s="41">
        <f t="shared" si="47"/>
        <v>46.157231585972518</v>
      </c>
      <c r="AK113" s="168">
        <f t="shared" si="42"/>
        <v>-2125.1364397421917</v>
      </c>
      <c r="AL113" s="168">
        <v>439.69387755102042</v>
      </c>
      <c r="AM113" s="41">
        <f t="shared" si="44"/>
        <v>-1366.5673306051988</v>
      </c>
      <c r="AN113" s="42">
        <f t="shared" si="40"/>
        <v>-864.56300507675849</v>
      </c>
      <c r="AO113" s="42">
        <f t="shared" si="45"/>
        <v>60520.563005076758</v>
      </c>
      <c r="AP113" s="176">
        <f t="shared" si="46"/>
        <v>-864.56300507675849</v>
      </c>
      <c r="AQ113" s="180"/>
    </row>
    <row r="114" spans="21:43" x14ac:dyDescent="0.25">
      <c r="U114" s="280"/>
      <c r="V114" s="72">
        <f>V110*5</f>
        <v>57.142857142857146</v>
      </c>
      <c r="W114" s="77">
        <f t="shared" si="60"/>
        <v>668.14285714285711</v>
      </c>
      <c r="X114" s="37">
        <v>92</v>
      </c>
      <c r="Y114" s="47">
        <v>5</v>
      </c>
      <c r="Z114" s="83">
        <v>-2.3057142857142856</v>
      </c>
      <c r="AA114" s="96">
        <f>AA115*2</f>
        <v>-1.1428571428571428</v>
      </c>
      <c r="AB114" s="89">
        <f t="shared" si="61"/>
        <v>-1.1428571428571428</v>
      </c>
      <c r="AC114" s="40">
        <f t="shared" si="62"/>
        <v>10.163265306122449</v>
      </c>
      <c r="AD114" s="283"/>
      <c r="AE114" s="283"/>
      <c r="AF114" s="58">
        <f t="shared" si="43"/>
        <v>0.63265306122448983</v>
      </c>
      <c r="AG114" s="116">
        <f t="shared" si="0"/>
        <v>6.206326530612246E-2</v>
      </c>
      <c r="AH114" s="39">
        <v>0.04</v>
      </c>
      <c r="AI114" s="41">
        <f t="shared" si="41"/>
        <v>272.71800000000002</v>
      </c>
      <c r="AJ114" s="41">
        <f t="shared" si="47"/>
        <v>52.488562294510622</v>
      </c>
      <c r="AK114" s="168">
        <f t="shared" si="42"/>
        <v>5058.1400623947275</v>
      </c>
      <c r="AL114" s="168">
        <v>439.69387755102042</v>
      </c>
      <c r="AM114" s="41">
        <f t="shared" si="44"/>
        <v>5823.0405022402592</v>
      </c>
      <c r="AN114" s="42">
        <f t="shared" si="40"/>
        <v>3683.9643993764907</v>
      </c>
      <c r="AO114" s="42">
        <f t="shared" si="45"/>
        <v>55972.035600623509</v>
      </c>
      <c r="AP114" s="176">
        <f t="shared" si="46"/>
        <v>3683.9643993764907</v>
      </c>
      <c r="AQ114" s="180"/>
    </row>
    <row r="115" spans="21:43" x14ac:dyDescent="0.25">
      <c r="U115" s="280"/>
      <c r="V115" s="72">
        <f>V110*6</f>
        <v>68.571428571428569</v>
      </c>
      <c r="W115" s="72">
        <f t="shared" si="60"/>
        <v>679.57142857142856</v>
      </c>
      <c r="X115" s="37">
        <v>93</v>
      </c>
      <c r="Y115" s="47">
        <v>6</v>
      </c>
      <c r="Z115" s="83">
        <v>-1.1528571428571428</v>
      </c>
      <c r="AA115" s="96">
        <f>AA109/7</f>
        <v>-0.5714285714285714</v>
      </c>
      <c r="AB115" s="89">
        <f t="shared" si="61"/>
        <v>-0.5714285714285714</v>
      </c>
      <c r="AC115" s="40">
        <f t="shared" si="62"/>
        <v>10.795918367346939</v>
      </c>
      <c r="AD115" s="283"/>
      <c r="AE115" s="283"/>
      <c r="AF115" s="58">
        <f t="shared" si="43"/>
        <v>0.63265306122448983</v>
      </c>
      <c r="AG115" s="116">
        <f t="shared" si="0"/>
        <v>6.206326530612246E-2</v>
      </c>
      <c r="AH115" s="39">
        <v>0.04</v>
      </c>
      <c r="AI115" s="41">
        <f t="shared" si="41"/>
        <v>272.71800000000002</v>
      </c>
      <c r="AJ115" s="41">
        <f t="shared" si="47"/>
        <v>59.226672799866733</v>
      </c>
      <c r="AK115" s="168">
        <f t="shared" si="42"/>
        <v>6231.110771953121</v>
      </c>
      <c r="AL115" s="168">
        <v>439.69387755102042</v>
      </c>
      <c r="AM115" s="152">
        <f t="shared" si="44"/>
        <v>7002.7493223040083</v>
      </c>
      <c r="AN115" s="42">
        <f t="shared" si="40"/>
        <v>4430.3107957433522</v>
      </c>
      <c r="AO115" s="42">
        <f t="shared" si="45"/>
        <v>55225.689204256647</v>
      </c>
      <c r="AP115" s="176">
        <f t="shared" si="46"/>
        <v>4430.3107957433522</v>
      </c>
      <c r="AQ115" s="180"/>
    </row>
    <row r="116" spans="21:43" ht="15.75" thickBot="1" x14ac:dyDescent="0.3">
      <c r="U116" s="281"/>
      <c r="V116" s="75">
        <v>80</v>
      </c>
      <c r="W116" s="48">
        <f>W109+V116</f>
        <v>691</v>
      </c>
      <c r="X116" s="49">
        <f>X109+Y116</f>
        <v>94</v>
      </c>
      <c r="Y116" s="50">
        <v>7</v>
      </c>
      <c r="Z116" s="81">
        <v>0</v>
      </c>
      <c r="AA116" s="94">
        <v>0</v>
      </c>
      <c r="AB116" s="93">
        <f t="shared" si="61"/>
        <v>0</v>
      </c>
      <c r="AC116" s="102">
        <f>V116/Y116</f>
        <v>11.428571428571429</v>
      </c>
      <c r="AD116" s="284"/>
      <c r="AE116" s="284"/>
      <c r="AF116" s="64">
        <f t="shared" si="43"/>
        <v>0.63265306122448983</v>
      </c>
      <c r="AG116" s="115">
        <f t="shared" si="0"/>
        <v>6.206326530612246E-2</v>
      </c>
      <c r="AH116" s="118">
        <v>0.04</v>
      </c>
      <c r="AI116" s="121">
        <f t="shared" si="41"/>
        <v>272.71800000000002</v>
      </c>
      <c r="AJ116" s="119">
        <f t="shared" si="47"/>
        <v>66.371563102040824</v>
      </c>
      <c r="AK116" s="170">
        <f t="shared" si="42"/>
        <v>0</v>
      </c>
      <c r="AL116" s="170">
        <v>439.69387755102042</v>
      </c>
      <c r="AM116" s="66">
        <f t="shared" si="44"/>
        <v>778.78344065306123</v>
      </c>
      <c r="AN116" s="164">
        <f t="shared" si="40"/>
        <v>492.69972776010002</v>
      </c>
      <c r="AO116" s="164">
        <f t="shared" si="45"/>
        <v>59163.300272239903</v>
      </c>
      <c r="AP116" s="177">
        <f t="shared" si="46"/>
        <v>492.69972776010002</v>
      </c>
      <c r="AQ116" s="180"/>
    </row>
    <row r="117" spans="21:43" x14ac:dyDescent="0.25">
      <c r="U117" s="279" t="s">
        <v>53</v>
      </c>
      <c r="V117" s="71">
        <f>V120/4</f>
        <v>6</v>
      </c>
      <c r="W117" s="78">
        <f>$W$116+V117</f>
        <v>697</v>
      </c>
      <c r="X117" s="45">
        <v>95</v>
      </c>
      <c r="Y117" s="46">
        <v>1</v>
      </c>
      <c r="Z117" s="84">
        <v>1.7324999999999999</v>
      </c>
      <c r="AA117" s="95">
        <f>AA120/4</f>
        <v>0.75</v>
      </c>
      <c r="AB117" s="91">
        <f>$AB$116+AA117</f>
        <v>0.75</v>
      </c>
      <c r="AC117" s="111">
        <f>AC116+$AE$117</f>
        <v>10.071428571428571</v>
      </c>
      <c r="AD117" s="282">
        <f>AC120-AC116</f>
        <v>-5.4285714285714288</v>
      </c>
      <c r="AE117" s="282">
        <f>AD117/4</f>
        <v>-1.3571428571428572</v>
      </c>
      <c r="AF117" s="58">
        <f t="shared" si="43"/>
        <v>-1.3571428571428577</v>
      </c>
      <c r="AG117" s="114">
        <f t="shared" si="0"/>
        <v>-0.13313571428571436</v>
      </c>
      <c r="AH117" s="117">
        <v>0.04</v>
      </c>
      <c r="AI117" s="151">
        <f t="shared" si="41"/>
        <v>272.71800000000002</v>
      </c>
      <c r="AJ117" s="121">
        <f t="shared" si="47"/>
        <v>51.544259610612251</v>
      </c>
      <c r="AK117" s="172">
        <f t="shared" si="42"/>
        <v>-6729.0059194252508</v>
      </c>
      <c r="AL117" s="172">
        <v>-943.21428571428612</v>
      </c>
      <c r="AM117" s="169">
        <f t="shared" si="44"/>
        <v>-7347.9579455289249</v>
      </c>
      <c r="AN117" s="61">
        <f t="shared" si="40"/>
        <v>9972.2286403606868</v>
      </c>
      <c r="AO117" s="61">
        <f t="shared" si="45"/>
        <v>49683.771359639315</v>
      </c>
      <c r="AP117" s="176">
        <f t="shared" si="46"/>
        <v>9972.2286403606868</v>
      </c>
      <c r="AQ117" s="180"/>
    </row>
    <row r="118" spans="21:43" x14ac:dyDescent="0.25">
      <c r="U118" s="280"/>
      <c r="V118" s="72">
        <f>V117*2</f>
        <v>12</v>
      </c>
      <c r="W118" s="72">
        <f t="shared" ref="W118:W119" si="63">$W$116+V118</f>
        <v>703</v>
      </c>
      <c r="X118" s="37">
        <v>96</v>
      </c>
      <c r="Y118" s="47">
        <v>2</v>
      </c>
      <c r="Z118" s="83">
        <v>3.4649999999999999</v>
      </c>
      <c r="AA118" s="96">
        <f>AA117*2</f>
        <v>1.5</v>
      </c>
      <c r="AB118" s="89">
        <f t="shared" ref="AB118:AB120" si="64">$AB$116+AA118</f>
        <v>1.5</v>
      </c>
      <c r="AC118" s="40">
        <f t="shared" ref="AC118:AC119" si="65">AC117+$AE$117</f>
        <v>8.7142857142857135</v>
      </c>
      <c r="AD118" s="283"/>
      <c r="AE118" s="283"/>
      <c r="AF118" s="58">
        <f t="shared" si="43"/>
        <v>-1.3571428571428577</v>
      </c>
      <c r="AG118" s="116">
        <f t="shared" si="0"/>
        <v>-0.13313571428571436</v>
      </c>
      <c r="AH118" s="39">
        <v>0.04</v>
      </c>
      <c r="AI118" s="41">
        <f t="shared" si="41"/>
        <v>272.71800000000002</v>
      </c>
      <c r="AJ118" s="41">
        <f t="shared" si="47"/>
        <v>38.588841609795914</v>
      </c>
      <c r="AK118" s="168">
        <f t="shared" si="42"/>
        <v>2166.7383887983037</v>
      </c>
      <c r="AL118" s="168">
        <v>-943.21428571428612</v>
      </c>
      <c r="AM118" s="41">
        <f t="shared" si="44"/>
        <v>1534.8309446938133</v>
      </c>
      <c r="AN118" s="42">
        <f t="shared" ref="AN118:AN149" si="66">AM118*AF118</f>
        <v>-2082.9848535130332</v>
      </c>
      <c r="AO118" s="42">
        <f t="shared" si="45"/>
        <v>61738.98485351303</v>
      </c>
      <c r="AP118" s="176">
        <f t="shared" si="46"/>
        <v>-2082.9848535130332</v>
      </c>
      <c r="AQ118" s="180"/>
    </row>
    <row r="119" spans="21:43" x14ac:dyDescent="0.25">
      <c r="U119" s="280"/>
      <c r="V119" s="72">
        <f>V117*3</f>
        <v>18</v>
      </c>
      <c r="W119" s="72">
        <f t="shared" si="63"/>
        <v>709</v>
      </c>
      <c r="X119" s="37">
        <v>97</v>
      </c>
      <c r="Y119" s="47">
        <v>3</v>
      </c>
      <c r="Z119" s="83">
        <v>5.1974999999999998</v>
      </c>
      <c r="AA119" s="96">
        <f>AA117*3</f>
        <v>2.25</v>
      </c>
      <c r="AB119" s="89">
        <f t="shared" si="64"/>
        <v>2.25</v>
      </c>
      <c r="AC119" s="40">
        <f t="shared" si="65"/>
        <v>7.3571428571428559</v>
      </c>
      <c r="AD119" s="283"/>
      <c r="AE119" s="283"/>
      <c r="AF119" s="58">
        <f t="shared" si="43"/>
        <v>-1.3571428571428577</v>
      </c>
      <c r="AG119" s="116">
        <f t="shared" si="0"/>
        <v>-0.13313571428571436</v>
      </c>
      <c r="AH119" s="39">
        <v>0.04</v>
      </c>
      <c r="AI119" s="41">
        <f t="shared" si="41"/>
        <v>272.71800000000002</v>
      </c>
      <c r="AJ119" s="41">
        <f t="shared" si="47"/>
        <v>27.505309099591827</v>
      </c>
      <c r="AK119" s="168">
        <f t="shared" ref="AK119:AK150" si="67">$C$6*9.81*-SIN(Z119)</f>
        <v>6031.3166467884894</v>
      </c>
      <c r="AL119" s="41">
        <v>-943.21428571428612</v>
      </c>
      <c r="AM119" s="152">
        <f t="shared" si="44"/>
        <v>5388.3256701737946</v>
      </c>
      <c r="AN119" s="42">
        <f t="shared" si="66"/>
        <v>-7312.727695235867</v>
      </c>
      <c r="AO119" s="42">
        <f t="shared" si="45"/>
        <v>66968.727695235866</v>
      </c>
      <c r="AP119" s="176">
        <f t="shared" si="46"/>
        <v>-7312.727695235867</v>
      </c>
      <c r="AQ119" s="180"/>
    </row>
    <row r="120" spans="21:43" ht="15.75" thickBot="1" x14ac:dyDescent="0.3">
      <c r="U120" s="281"/>
      <c r="V120" s="75">
        <v>24</v>
      </c>
      <c r="W120" s="48">
        <f>W116+V120</f>
        <v>715</v>
      </c>
      <c r="X120" s="49">
        <f>X116+Y120</f>
        <v>98</v>
      </c>
      <c r="Y120" s="50">
        <v>4</v>
      </c>
      <c r="Z120" s="81">
        <v>6.93</v>
      </c>
      <c r="AA120" s="94">
        <v>3</v>
      </c>
      <c r="AB120" s="90">
        <f t="shared" si="64"/>
        <v>3</v>
      </c>
      <c r="AC120" s="102">
        <f>V120/Y120</f>
        <v>6</v>
      </c>
      <c r="AD120" s="284"/>
      <c r="AE120" s="284"/>
      <c r="AF120" s="109">
        <f t="shared" si="43"/>
        <v>-1.3571428571428559</v>
      </c>
      <c r="AG120" s="115">
        <f t="shared" si="0"/>
        <v>-0.13313571428571416</v>
      </c>
      <c r="AH120" s="118">
        <v>0.04</v>
      </c>
      <c r="AI120" s="121">
        <f t="shared" si="41"/>
        <v>272.71800000000002</v>
      </c>
      <c r="AJ120" s="119">
        <f t="shared" si="47"/>
        <v>18.293662080000001</v>
      </c>
      <c r="AK120" s="66">
        <f t="shared" si="67"/>
        <v>-4108.820989122587</v>
      </c>
      <c r="AL120" s="173">
        <v>-943.21428571428487</v>
      </c>
      <c r="AM120" s="66">
        <f t="shared" si="44"/>
        <v>-4761.0236127568714</v>
      </c>
      <c r="AN120" s="164">
        <f t="shared" si="66"/>
        <v>6461.389188741462</v>
      </c>
      <c r="AO120" s="164">
        <f t="shared" si="45"/>
        <v>53194.610811258535</v>
      </c>
      <c r="AP120" s="177">
        <f t="shared" si="46"/>
        <v>6461.389188741462</v>
      </c>
      <c r="AQ120" s="180"/>
    </row>
    <row r="121" spans="21:43" x14ac:dyDescent="0.25">
      <c r="U121" s="279" t="s">
        <v>54</v>
      </c>
      <c r="V121" s="71">
        <f>V126/6</f>
        <v>8.1666666666666661</v>
      </c>
      <c r="W121" s="71">
        <f>$W$120+V121</f>
        <v>723.16666666666663</v>
      </c>
      <c r="X121" s="45">
        <v>99</v>
      </c>
      <c r="Y121" s="46">
        <v>1</v>
      </c>
      <c r="Z121" s="84">
        <v>5.7750000000000004</v>
      </c>
      <c r="AA121" s="95">
        <f>AA125*5</f>
        <v>2.5</v>
      </c>
      <c r="AB121" s="88">
        <f>$AB$120+AA121</f>
        <v>5.5</v>
      </c>
      <c r="AC121" s="111">
        <f>AC120+$AE$121</f>
        <v>6.3611111111111107</v>
      </c>
      <c r="AD121" s="282">
        <f>AC126-AC120</f>
        <v>2.1666666666666661</v>
      </c>
      <c r="AE121" s="282">
        <f>AD121/6</f>
        <v>0.36111111111111099</v>
      </c>
      <c r="AF121" s="62">
        <f t="shared" si="43"/>
        <v>0.36111111111111072</v>
      </c>
      <c r="AG121" s="114">
        <f t="shared" si="0"/>
        <v>3.5424999999999963E-2</v>
      </c>
      <c r="AH121" s="117">
        <v>0.04</v>
      </c>
      <c r="AI121" s="151">
        <f t="shared" si="41"/>
        <v>272.71800000000002</v>
      </c>
      <c r="AJ121" s="121">
        <f t="shared" si="47"/>
        <v>20.561941296666664</v>
      </c>
      <c r="AK121" s="152">
        <f t="shared" si="67"/>
        <v>3317.5645677167627</v>
      </c>
      <c r="AL121" s="171">
        <v>250.97222222222194</v>
      </c>
      <c r="AM121" s="169">
        <f t="shared" si="44"/>
        <v>3861.8167312356509</v>
      </c>
      <c r="AN121" s="61">
        <f t="shared" si="66"/>
        <v>1394.5449307239835</v>
      </c>
      <c r="AO121" s="61">
        <f t="shared" si="45"/>
        <v>58261.455069276017</v>
      </c>
      <c r="AP121" s="176">
        <f t="shared" si="46"/>
        <v>1394.5449307239835</v>
      </c>
      <c r="AQ121" s="180"/>
    </row>
    <row r="122" spans="21:43" x14ac:dyDescent="0.25">
      <c r="U122" s="280"/>
      <c r="V122" s="72">
        <f>V121*2</f>
        <v>16.333333333333332</v>
      </c>
      <c r="W122" s="77">
        <f t="shared" ref="W122:W125" si="68">$W$120+V122</f>
        <v>731.33333333333337</v>
      </c>
      <c r="X122" s="37">
        <v>100</v>
      </c>
      <c r="Y122" s="47">
        <v>2</v>
      </c>
      <c r="Z122" s="83">
        <v>4.62</v>
      </c>
      <c r="AA122" s="96">
        <f>AA125*4</f>
        <v>2</v>
      </c>
      <c r="AB122" s="89">
        <f t="shared" ref="AB122:AB126" si="69">$AB$120+AA122</f>
        <v>5</v>
      </c>
      <c r="AC122" s="40">
        <f t="shared" ref="AC122:AC125" si="70">AC121+$AE$121</f>
        <v>6.7222222222222214</v>
      </c>
      <c r="AD122" s="283"/>
      <c r="AE122" s="283"/>
      <c r="AF122" s="58">
        <f t="shared" si="43"/>
        <v>0.36111111111111072</v>
      </c>
      <c r="AG122" s="116">
        <f t="shared" si="0"/>
        <v>3.5424999999999963E-2</v>
      </c>
      <c r="AH122" s="39">
        <v>0.04</v>
      </c>
      <c r="AI122" s="41">
        <f t="shared" si="41"/>
        <v>272.71800000000002</v>
      </c>
      <c r="AJ122" s="41">
        <f t="shared" si="47"/>
        <v>22.962749186666663</v>
      </c>
      <c r="AK122" s="121">
        <f t="shared" si="67"/>
        <v>6788.8726231797364</v>
      </c>
      <c r="AL122" s="154">
        <v>250.97222222222194</v>
      </c>
      <c r="AM122" s="41">
        <f t="shared" si="44"/>
        <v>7335.5255945886247</v>
      </c>
      <c r="AN122" s="42">
        <f t="shared" si="66"/>
        <v>2648.9397980458893</v>
      </c>
      <c r="AO122" s="42">
        <f t="shared" si="45"/>
        <v>57007.060201954111</v>
      </c>
      <c r="AP122" s="176">
        <f t="shared" si="46"/>
        <v>2648.9397980458893</v>
      </c>
      <c r="AQ122" s="180"/>
    </row>
    <row r="123" spans="21:43" x14ac:dyDescent="0.25">
      <c r="U123" s="280"/>
      <c r="V123" s="72">
        <f>V121*3</f>
        <v>24.5</v>
      </c>
      <c r="W123" s="76">
        <f t="shared" si="68"/>
        <v>739.5</v>
      </c>
      <c r="X123" s="37">
        <v>101</v>
      </c>
      <c r="Y123" s="47">
        <v>3</v>
      </c>
      <c r="Z123" s="83">
        <v>3.4649999999999999</v>
      </c>
      <c r="AA123" s="96">
        <f>AA125*3</f>
        <v>1.5</v>
      </c>
      <c r="AB123" s="89">
        <f t="shared" si="69"/>
        <v>4.5</v>
      </c>
      <c r="AC123" s="40">
        <f t="shared" si="70"/>
        <v>7.0833333333333321</v>
      </c>
      <c r="AD123" s="283"/>
      <c r="AE123" s="283"/>
      <c r="AF123" s="58">
        <f t="shared" si="43"/>
        <v>0.36111111111111072</v>
      </c>
      <c r="AG123" s="116">
        <f t="shared" si="0"/>
        <v>3.5424999999999963E-2</v>
      </c>
      <c r="AH123" s="39">
        <v>0.04</v>
      </c>
      <c r="AI123" s="41">
        <f t="shared" si="41"/>
        <v>272.71800000000002</v>
      </c>
      <c r="AJ123" s="41">
        <f t="shared" si="47"/>
        <v>25.496085749999992</v>
      </c>
      <c r="AK123" s="121">
        <f t="shared" si="67"/>
        <v>2166.7383887983037</v>
      </c>
      <c r="AL123" s="154">
        <v>250.97222222222194</v>
      </c>
      <c r="AM123" s="41">
        <f t="shared" si="44"/>
        <v>2715.9246967705258</v>
      </c>
      <c r="AN123" s="42">
        <f t="shared" si="66"/>
        <v>980.750584944911</v>
      </c>
      <c r="AO123" s="42">
        <f t="shared" si="45"/>
        <v>58675.249415055092</v>
      </c>
      <c r="AP123" s="176">
        <f t="shared" si="46"/>
        <v>980.750584944911</v>
      </c>
      <c r="AQ123" s="180"/>
    </row>
    <row r="124" spans="21:43" x14ac:dyDescent="0.25">
      <c r="U124" s="280"/>
      <c r="V124" s="72">
        <f>V121*4</f>
        <v>32.666666666666664</v>
      </c>
      <c r="W124" s="76">
        <f t="shared" si="68"/>
        <v>747.66666666666663</v>
      </c>
      <c r="X124" s="37">
        <v>102</v>
      </c>
      <c r="Y124" s="47">
        <v>4</v>
      </c>
      <c r="Z124" s="83">
        <v>2.31</v>
      </c>
      <c r="AA124" s="96">
        <f>AA125*2</f>
        <v>1</v>
      </c>
      <c r="AB124" s="89">
        <f t="shared" si="69"/>
        <v>4</v>
      </c>
      <c r="AC124" s="40">
        <f t="shared" si="70"/>
        <v>7.4444444444444429</v>
      </c>
      <c r="AD124" s="283"/>
      <c r="AE124" s="283"/>
      <c r="AF124" s="58">
        <f t="shared" si="43"/>
        <v>0.36111111111111072</v>
      </c>
      <c r="AG124" s="116">
        <f t="shared" si="0"/>
        <v>3.5424999999999963E-2</v>
      </c>
      <c r="AH124" s="39">
        <v>0.04</v>
      </c>
      <c r="AI124" s="41">
        <f t="shared" si="41"/>
        <v>272.71800000000002</v>
      </c>
      <c r="AJ124" s="41">
        <f t="shared" si="47"/>
        <v>28.161950986666657</v>
      </c>
      <c r="AK124" s="121">
        <f t="shared" si="67"/>
        <v>-5038.5010355455697</v>
      </c>
      <c r="AL124" s="154">
        <v>250.97222222222194</v>
      </c>
      <c r="AM124" s="41">
        <f t="shared" si="44"/>
        <v>-4486.6488623366813</v>
      </c>
      <c r="AN124" s="42">
        <f t="shared" si="66"/>
        <v>-1620.1787558437998</v>
      </c>
      <c r="AO124" s="42">
        <f t="shared" si="45"/>
        <v>61276.178755843801</v>
      </c>
      <c r="AP124" s="176">
        <f t="shared" si="46"/>
        <v>-1620.1787558437998</v>
      </c>
      <c r="AQ124" s="180"/>
    </row>
    <row r="125" spans="21:43" x14ac:dyDescent="0.25">
      <c r="U125" s="280"/>
      <c r="V125" s="72">
        <f>V121*5</f>
        <v>40.833333333333329</v>
      </c>
      <c r="W125" s="72">
        <f t="shared" si="68"/>
        <v>755.83333333333337</v>
      </c>
      <c r="X125" s="37">
        <v>103</v>
      </c>
      <c r="Y125" s="47">
        <v>5</v>
      </c>
      <c r="Z125" s="83">
        <v>1.155</v>
      </c>
      <c r="AA125" s="96">
        <f>AA120/6</f>
        <v>0.5</v>
      </c>
      <c r="AB125" s="89">
        <f t="shared" si="69"/>
        <v>3.5</v>
      </c>
      <c r="AC125" s="40">
        <f t="shared" si="70"/>
        <v>7.8055555555555536</v>
      </c>
      <c r="AD125" s="283"/>
      <c r="AE125" s="283"/>
      <c r="AF125" s="58">
        <f t="shared" si="43"/>
        <v>0.36111111111111072</v>
      </c>
      <c r="AG125" s="116">
        <f t="shared" si="0"/>
        <v>3.5424999999999963E-2</v>
      </c>
      <c r="AH125" s="39">
        <v>0.04</v>
      </c>
      <c r="AI125" s="41">
        <f t="shared" si="41"/>
        <v>272.71800000000002</v>
      </c>
      <c r="AJ125" s="41">
        <f t="shared" si="47"/>
        <v>30.960344896666655</v>
      </c>
      <c r="AK125" s="121">
        <f t="shared" si="67"/>
        <v>-6237.0262936410927</v>
      </c>
      <c r="AL125" s="41">
        <v>250.97222222222194</v>
      </c>
      <c r="AM125" s="60">
        <f t="shared" si="44"/>
        <v>-5682.3757265222039</v>
      </c>
      <c r="AN125" s="42">
        <f t="shared" si="66"/>
        <v>-2051.9690123552382</v>
      </c>
      <c r="AO125" s="42">
        <f t="shared" si="45"/>
        <v>61707.969012355235</v>
      </c>
      <c r="AP125" s="176">
        <f t="shared" si="46"/>
        <v>-2051.9690123552382</v>
      </c>
      <c r="AQ125" s="180"/>
    </row>
    <row r="126" spans="21:43" ht="15.75" thickBot="1" x14ac:dyDescent="0.3">
      <c r="U126" s="281"/>
      <c r="V126" s="75">
        <v>49</v>
      </c>
      <c r="W126" s="48">
        <f>W120+V126</f>
        <v>764</v>
      </c>
      <c r="X126" s="49">
        <f>X120+Y126</f>
        <v>104</v>
      </c>
      <c r="Y126" s="50">
        <v>6</v>
      </c>
      <c r="Z126" s="81">
        <v>0</v>
      </c>
      <c r="AA126" s="94">
        <v>0</v>
      </c>
      <c r="AB126" s="93">
        <f t="shared" si="69"/>
        <v>3</v>
      </c>
      <c r="AC126" s="102">
        <f>V126/Y126</f>
        <v>8.1666666666666661</v>
      </c>
      <c r="AD126" s="284"/>
      <c r="AE126" s="284"/>
      <c r="AF126" s="109">
        <f t="shared" si="43"/>
        <v>0.36111111111111249</v>
      </c>
      <c r="AG126" s="115">
        <f t="shared" si="0"/>
        <v>3.5425000000000137E-2</v>
      </c>
      <c r="AH126" s="118">
        <v>0.04</v>
      </c>
      <c r="AI126" s="66">
        <f t="shared" si="41"/>
        <v>272.71800000000002</v>
      </c>
      <c r="AJ126" s="119">
        <f t="shared" si="47"/>
        <v>33.891267479999996</v>
      </c>
      <c r="AK126" s="66">
        <f t="shared" si="67"/>
        <v>0</v>
      </c>
      <c r="AL126" s="173">
        <v>250.97222222222319</v>
      </c>
      <c r="AM126" s="152">
        <f t="shared" si="44"/>
        <v>557.58148970222328</v>
      </c>
      <c r="AN126" s="164">
        <f t="shared" si="66"/>
        <v>201.34887128135918</v>
      </c>
      <c r="AO126" s="164">
        <f t="shared" si="45"/>
        <v>59454.651128718644</v>
      </c>
      <c r="AP126" s="177">
        <f t="shared" si="46"/>
        <v>201.34887128135918</v>
      </c>
      <c r="AQ126" s="180"/>
    </row>
    <row r="127" spans="21:43" x14ac:dyDescent="0.25">
      <c r="U127" s="279" t="s">
        <v>55</v>
      </c>
      <c r="V127" s="71">
        <f>V130/4</f>
        <v>5</v>
      </c>
      <c r="W127" s="78">
        <f>$W$126+V127</f>
        <v>769</v>
      </c>
      <c r="X127" s="45">
        <v>105</v>
      </c>
      <c r="Y127" s="46">
        <v>1</v>
      </c>
      <c r="Z127" s="84">
        <v>1.4325000000000001</v>
      </c>
      <c r="AA127" s="95">
        <f>AA130/4</f>
        <v>0.5</v>
      </c>
      <c r="AB127" s="91">
        <f>$AB$126+AA127</f>
        <v>3.5</v>
      </c>
      <c r="AC127" s="111">
        <f>AC126+$AE$127</f>
        <v>7.375</v>
      </c>
      <c r="AD127" s="282">
        <f>AC130-AC126</f>
        <v>-3.1666666666666661</v>
      </c>
      <c r="AE127" s="282">
        <f>AD127/4</f>
        <v>-0.79166666666666652</v>
      </c>
      <c r="AF127" s="62">
        <f t="shared" si="43"/>
        <v>-0.79166666666666607</v>
      </c>
      <c r="AG127" s="114">
        <f t="shared" si="0"/>
        <v>-7.7662499999999954E-2</v>
      </c>
      <c r="AH127" s="117">
        <v>0.04</v>
      </c>
      <c r="AI127" s="60">
        <f t="shared" si="41"/>
        <v>272.71800000000002</v>
      </c>
      <c r="AJ127" s="121">
        <f t="shared" si="47"/>
        <v>27.638992057500001</v>
      </c>
      <c r="AK127" s="152">
        <f t="shared" si="67"/>
        <v>-6752.8542240898732</v>
      </c>
      <c r="AL127" s="171">
        <v>-550.20833333333292</v>
      </c>
      <c r="AM127" s="169">
        <f t="shared" si="44"/>
        <v>-7002.7055653657062</v>
      </c>
      <c r="AN127" s="61">
        <f t="shared" si="66"/>
        <v>5543.8085725811798</v>
      </c>
      <c r="AO127" s="61">
        <f t="shared" si="45"/>
        <v>54112.191427418817</v>
      </c>
      <c r="AP127" s="176">
        <f t="shared" si="46"/>
        <v>5543.8085725811798</v>
      </c>
      <c r="AQ127" s="180"/>
    </row>
    <row r="128" spans="21:43" x14ac:dyDescent="0.25">
      <c r="U128" s="280"/>
      <c r="V128" s="72">
        <f>V127*2</f>
        <v>10</v>
      </c>
      <c r="W128" s="76">
        <f t="shared" ref="W128:W129" si="71">$W$126+V128</f>
        <v>774</v>
      </c>
      <c r="X128" s="37">
        <v>106</v>
      </c>
      <c r="Y128" s="47">
        <v>2</v>
      </c>
      <c r="Z128" s="83">
        <v>2.8650000000000002</v>
      </c>
      <c r="AA128" s="96">
        <f>AA127*2</f>
        <v>1</v>
      </c>
      <c r="AB128" s="89">
        <f t="shared" ref="AB128:AB130" si="72">$AB$126+AA128</f>
        <v>4</v>
      </c>
      <c r="AC128" s="40">
        <f t="shared" ref="AC128:AC129" si="73">AC127+$AE$127</f>
        <v>6.5833333333333339</v>
      </c>
      <c r="AD128" s="283"/>
      <c r="AE128" s="283"/>
      <c r="AF128" s="58">
        <f t="shared" si="43"/>
        <v>-0.79166666666666607</v>
      </c>
      <c r="AG128" s="116">
        <f t="shared" si="0"/>
        <v>-7.7662499999999954E-2</v>
      </c>
      <c r="AH128" s="39">
        <v>0.04</v>
      </c>
      <c r="AI128" s="41">
        <f t="shared" si="41"/>
        <v>272.71800000000002</v>
      </c>
      <c r="AJ128" s="41">
        <f t="shared" si="47"/>
        <v>22.023677670000005</v>
      </c>
      <c r="AK128" s="121">
        <f t="shared" si="67"/>
        <v>-1861.8417079012552</v>
      </c>
      <c r="AL128" s="154">
        <v>-550.20833333333292</v>
      </c>
      <c r="AM128" s="41">
        <f t="shared" si="44"/>
        <v>-2117.308363564588</v>
      </c>
      <c r="AN128" s="42">
        <f t="shared" si="66"/>
        <v>1676.202454488631</v>
      </c>
      <c r="AO128" s="42">
        <f t="shared" si="45"/>
        <v>57979.79754551137</v>
      </c>
      <c r="AP128" s="176">
        <f t="shared" si="46"/>
        <v>1676.202454488631</v>
      </c>
      <c r="AQ128" s="180"/>
    </row>
    <row r="129" spans="21:43" x14ac:dyDescent="0.25">
      <c r="U129" s="280"/>
      <c r="V129" s="72">
        <f>V127*3</f>
        <v>15</v>
      </c>
      <c r="W129" s="72">
        <f t="shared" si="71"/>
        <v>779</v>
      </c>
      <c r="X129" s="37">
        <v>107</v>
      </c>
      <c r="Y129" s="47">
        <v>3</v>
      </c>
      <c r="Z129" s="83">
        <v>4.2975000000000003</v>
      </c>
      <c r="AA129" s="96">
        <f>AA127*3</f>
        <v>1.5</v>
      </c>
      <c r="AB129" s="89">
        <f t="shared" si="72"/>
        <v>4.5</v>
      </c>
      <c r="AC129" s="40">
        <f t="shared" si="73"/>
        <v>5.7916666666666679</v>
      </c>
      <c r="AD129" s="283"/>
      <c r="AE129" s="283"/>
      <c r="AF129" s="58">
        <f t="shared" si="43"/>
        <v>-0.79166666666666607</v>
      </c>
      <c r="AG129" s="116">
        <f t="shared" si="0"/>
        <v>-7.7662499999999954E-2</v>
      </c>
      <c r="AH129" s="39">
        <v>0.04</v>
      </c>
      <c r="AI129" s="41">
        <f t="shared" si="41"/>
        <v>272.71800000000002</v>
      </c>
      <c r="AJ129" s="41">
        <f t="shared" si="47"/>
        <v>17.045324317500008</v>
      </c>
      <c r="AK129" s="121">
        <f t="shared" si="67"/>
        <v>6239.5224638817872</v>
      </c>
      <c r="AL129" s="154">
        <v>-550.20833333333292</v>
      </c>
      <c r="AM129" s="41">
        <f t="shared" si="44"/>
        <v>5979.0774548659538</v>
      </c>
      <c r="AN129" s="42">
        <f t="shared" si="66"/>
        <v>-4733.4363184355434</v>
      </c>
      <c r="AO129" s="42">
        <f t="shared" si="45"/>
        <v>64389.436318435546</v>
      </c>
      <c r="AP129" s="176">
        <f t="shared" si="46"/>
        <v>-4733.4363184355434</v>
      </c>
      <c r="AQ129" s="180"/>
    </row>
    <row r="130" spans="21:43" ht="15.75" thickBot="1" x14ac:dyDescent="0.3">
      <c r="U130" s="281"/>
      <c r="V130" s="75">
        <v>20</v>
      </c>
      <c r="W130" s="48">
        <f>W126+V130</f>
        <v>784</v>
      </c>
      <c r="X130" s="49">
        <f>X126+Y130</f>
        <v>108</v>
      </c>
      <c r="Y130" s="50">
        <v>4</v>
      </c>
      <c r="Z130" s="81">
        <v>5.73</v>
      </c>
      <c r="AA130" s="94">
        <v>2</v>
      </c>
      <c r="AB130" s="93">
        <f t="shared" si="72"/>
        <v>5</v>
      </c>
      <c r="AC130" s="102">
        <f>V130/Y130</f>
        <v>5</v>
      </c>
      <c r="AD130" s="284"/>
      <c r="AE130" s="284"/>
      <c r="AF130" s="109">
        <f t="shared" si="43"/>
        <v>-0.79166666666666785</v>
      </c>
      <c r="AG130" s="115">
        <f t="shared" si="0"/>
        <v>-7.766250000000012E-2</v>
      </c>
      <c r="AH130" s="118">
        <v>0.04</v>
      </c>
      <c r="AI130" s="66">
        <f t="shared" si="41"/>
        <v>272.71800000000002</v>
      </c>
      <c r="AJ130" s="119">
        <f t="shared" si="47"/>
        <v>12.703932000000002</v>
      </c>
      <c r="AK130" s="66">
        <f t="shared" si="67"/>
        <v>3582.1517834837941</v>
      </c>
      <c r="AL130" s="66">
        <v>-550.20833333333417</v>
      </c>
      <c r="AM130" s="66">
        <f t="shared" si="44"/>
        <v>3317.3653821504604</v>
      </c>
      <c r="AN130" s="164">
        <f t="shared" si="66"/>
        <v>-2626.2475942024516</v>
      </c>
      <c r="AO130" s="164">
        <f t="shared" si="45"/>
        <v>62282.247594202454</v>
      </c>
      <c r="AP130" s="177">
        <f t="shared" si="46"/>
        <v>-2626.2475942024516</v>
      </c>
      <c r="AQ130" s="180"/>
    </row>
    <row r="131" spans="21:43" x14ac:dyDescent="0.25">
      <c r="U131" s="279" t="s">
        <v>56</v>
      </c>
      <c r="V131" s="71">
        <f>V136/6</f>
        <v>11.666666666666666</v>
      </c>
      <c r="W131" s="71">
        <f>$W$130+V131</f>
        <v>795.66666666666663</v>
      </c>
      <c r="X131" s="45">
        <v>109</v>
      </c>
      <c r="Y131" s="46">
        <v>1</v>
      </c>
      <c r="Z131" s="84">
        <v>4.7750000000000004</v>
      </c>
      <c r="AA131" s="95">
        <f>AA135*5</f>
        <v>1.6666666666666665</v>
      </c>
      <c r="AB131" s="91">
        <f>$AB$130+AA131</f>
        <v>6.6666666666666661</v>
      </c>
      <c r="AC131" s="111">
        <f>AC130+$AE$131</f>
        <v>6.1111111111111107</v>
      </c>
      <c r="AD131" s="282">
        <f>AC136-AC130</f>
        <v>6.6666666666666661</v>
      </c>
      <c r="AE131" s="282">
        <f>AD131/6</f>
        <v>1.1111111111111109</v>
      </c>
      <c r="AF131" s="62">
        <f t="shared" si="43"/>
        <v>1.1111111111111107</v>
      </c>
      <c r="AG131" s="114">
        <f t="shared" si="0"/>
        <v>0.10899999999999997</v>
      </c>
      <c r="AH131" s="117">
        <v>0.04</v>
      </c>
      <c r="AI131" s="60">
        <f t="shared" si="41"/>
        <v>272.71800000000002</v>
      </c>
      <c r="AJ131" s="121">
        <f t="shared" si="47"/>
        <v>18.977478666666666</v>
      </c>
      <c r="AK131" s="152">
        <f t="shared" si="67"/>
        <v>6804.5907065498013</v>
      </c>
      <c r="AL131" s="171">
        <v>772.22222222222194</v>
      </c>
      <c r="AM131" s="169">
        <f t="shared" si="44"/>
        <v>7868.5084074386896</v>
      </c>
      <c r="AN131" s="61">
        <f t="shared" si="66"/>
        <v>8742.7871193763185</v>
      </c>
      <c r="AO131" s="61">
        <f t="shared" si="45"/>
        <v>50913.21288062368</v>
      </c>
      <c r="AP131" s="176">
        <f t="shared" si="46"/>
        <v>8742.7871193763185</v>
      </c>
      <c r="AQ131" s="180"/>
    </row>
    <row r="132" spans="21:43" x14ac:dyDescent="0.25">
      <c r="U132" s="280"/>
      <c r="V132" s="72">
        <f>V131*2</f>
        <v>23.333333333333332</v>
      </c>
      <c r="W132" s="77">
        <f t="shared" ref="W132:W135" si="74">$W$130+V132</f>
        <v>807.33333333333337</v>
      </c>
      <c r="X132" s="37">
        <v>110</v>
      </c>
      <c r="Y132" s="47">
        <v>2</v>
      </c>
      <c r="Z132" s="83">
        <v>3.8200000000000003</v>
      </c>
      <c r="AA132" s="96">
        <f>AA135*4</f>
        <v>1.3333333333333333</v>
      </c>
      <c r="AB132" s="89">
        <f t="shared" ref="AB132:AB136" si="75">$AB$130+AA132</f>
        <v>6.333333333333333</v>
      </c>
      <c r="AC132" s="40">
        <f t="shared" ref="AC132:AC135" si="76">AC131+$AE$131</f>
        <v>7.2222222222222214</v>
      </c>
      <c r="AD132" s="283"/>
      <c r="AE132" s="283"/>
      <c r="AF132" s="58">
        <f t="shared" si="43"/>
        <v>1.1111111111111107</v>
      </c>
      <c r="AG132" s="116">
        <f t="shared" si="0"/>
        <v>0.10899999999999997</v>
      </c>
      <c r="AH132" s="39">
        <v>0.04</v>
      </c>
      <c r="AI132" s="41">
        <f t="shared" si="41"/>
        <v>272.71800000000002</v>
      </c>
      <c r="AJ132" s="41">
        <f t="shared" si="47"/>
        <v>26.505734666666662</v>
      </c>
      <c r="AK132" s="121">
        <f t="shared" si="67"/>
        <v>4278.6305880634709</v>
      </c>
      <c r="AL132" s="154">
        <v>772.22222222222194</v>
      </c>
      <c r="AM132" s="41">
        <f t="shared" si="44"/>
        <v>5350.0765449523597</v>
      </c>
      <c r="AN132" s="42">
        <f t="shared" si="66"/>
        <v>5944.5294943915087</v>
      </c>
      <c r="AO132" s="42">
        <f t="shared" si="45"/>
        <v>53711.470505608493</v>
      </c>
      <c r="AP132" s="176">
        <f t="shared" si="46"/>
        <v>5944.5294943915087</v>
      </c>
      <c r="AQ132" s="180"/>
    </row>
    <row r="133" spans="21:43" x14ac:dyDescent="0.25">
      <c r="U133" s="280"/>
      <c r="V133" s="72">
        <f>V131*3</f>
        <v>35</v>
      </c>
      <c r="W133" s="72">
        <f t="shared" si="74"/>
        <v>819</v>
      </c>
      <c r="X133" s="37">
        <v>111</v>
      </c>
      <c r="Y133" s="47">
        <v>3</v>
      </c>
      <c r="Z133" s="83">
        <v>2.8650000000000002</v>
      </c>
      <c r="AA133" s="96">
        <f>AA135*3</f>
        <v>1</v>
      </c>
      <c r="AB133" s="89">
        <f t="shared" si="75"/>
        <v>6</v>
      </c>
      <c r="AC133" s="40">
        <f t="shared" si="76"/>
        <v>8.3333333333333321</v>
      </c>
      <c r="AD133" s="283"/>
      <c r="AE133" s="283"/>
      <c r="AF133" s="58">
        <f t="shared" si="43"/>
        <v>1.1111111111111107</v>
      </c>
      <c r="AG133" s="116">
        <f t="shared" si="0"/>
        <v>0.10899999999999997</v>
      </c>
      <c r="AH133" s="39">
        <v>0.04</v>
      </c>
      <c r="AI133" s="41">
        <f t="shared" si="41"/>
        <v>272.71800000000002</v>
      </c>
      <c r="AJ133" s="41">
        <f t="shared" si="47"/>
        <v>35.288699999999992</v>
      </c>
      <c r="AK133" s="121">
        <f t="shared" si="67"/>
        <v>-1861.8417079012552</v>
      </c>
      <c r="AL133" s="154">
        <v>772.22222222222194</v>
      </c>
      <c r="AM133" s="41">
        <f t="shared" si="44"/>
        <v>-781.61278567903332</v>
      </c>
      <c r="AN133" s="42">
        <f t="shared" si="66"/>
        <v>-868.45865075448114</v>
      </c>
      <c r="AO133" s="42">
        <f t="shared" si="45"/>
        <v>60524.458650754481</v>
      </c>
      <c r="AP133" s="176">
        <f t="shared" si="46"/>
        <v>-868.45865075448114</v>
      </c>
      <c r="AQ133" s="180"/>
    </row>
    <row r="134" spans="21:43" x14ac:dyDescent="0.25">
      <c r="U134" s="280"/>
      <c r="V134" s="72">
        <f>V131*4</f>
        <v>46.666666666666664</v>
      </c>
      <c r="W134" s="77">
        <f t="shared" si="74"/>
        <v>830.66666666666663</v>
      </c>
      <c r="X134" s="37">
        <v>112</v>
      </c>
      <c r="Y134" s="47">
        <v>4</v>
      </c>
      <c r="Z134" s="83">
        <v>1.9100000000000001</v>
      </c>
      <c r="AA134" s="96">
        <f>AA135*2</f>
        <v>0.66666666666666663</v>
      </c>
      <c r="AB134" s="89">
        <f t="shared" si="75"/>
        <v>5.666666666666667</v>
      </c>
      <c r="AC134" s="40">
        <f t="shared" si="76"/>
        <v>9.4444444444444429</v>
      </c>
      <c r="AD134" s="283"/>
      <c r="AE134" s="283"/>
      <c r="AF134" s="58">
        <f t="shared" si="43"/>
        <v>1.1111111111111107</v>
      </c>
      <c r="AG134" s="116">
        <f t="shared" si="0"/>
        <v>0.10899999999999997</v>
      </c>
      <c r="AH134" s="39">
        <v>0.04</v>
      </c>
      <c r="AI134" s="41">
        <f t="shared" si="41"/>
        <v>272.71800000000002</v>
      </c>
      <c r="AJ134" s="41">
        <f t="shared" si="47"/>
        <v>45.326374666666659</v>
      </c>
      <c r="AK134" s="121">
        <f t="shared" si="67"/>
        <v>-6429.4627405387273</v>
      </c>
      <c r="AL134" s="154">
        <v>772.22222222222194</v>
      </c>
      <c r="AM134" s="60">
        <f t="shared" si="44"/>
        <v>-5339.1961436498386</v>
      </c>
      <c r="AN134" s="42">
        <f t="shared" si="66"/>
        <v>-5932.4401596109301</v>
      </c>
      <c r="AO134" s="42">
        <f t="shared" si="45"/>
        <v>65588.440159610924</v>
      </c>
      <c r="AP134" s="176">
        <f t="shared" si="46"/>
        <v>-5932.4401596109301</v>
      </c>
      <c r="AQ134" s="180"/>
    </row>
    <row r="135" spans="21:43" x14ac:dyDescent="0.25">
      <c r="U135" s="280"/>
      <c r="V135" s="72">
        <f>V131*5</f>
        <v>58.333333333333329</v>
      </c>
      <c r="W135" s="72">
        <f t="shared" si="74"/>
        <v>842.33333333333337</v>
      </c>
      <c r="X135" s="37">
        <v>113</v>
      </c>
      <c r="Y135" s="47">
        <v>5</v>
      </c>
      <c r="Z135" s="83">
        <v>0.95500000000000007</v>
      </c>
      <c r="AA135" s="96">
        <f>AA130/6</f>
        <v>0.33333333333333331</v>
      </c>
      <c r="AB135" s="89">
        <f t="shared" si="75"/>
        <v>5.333333333333333</v>
      </c>
      <c r="AC135" s="40">
        <f t="shared" si="76"/>
        <v>10.555555555555554</v>
      </c>
      <c r="AD135" s="283"/>
      <c r="AE135" s="283"/>
      <c r="AF135" s="58">
        <f t="shared" si="43"/>
        <v>1.1111111111111107</v>
      </c>
      <c r="AG135" s="116">
        <f t="shared" si="0"/>
        <v>0.10899999999999997</v>
      </c>
      <c r="AH135" s="39">
        <v>0.04</v>
      </c>
      <c r="AI135" s="41">
        <f t="shared" si="41"/>
        <v>272.71800000000002</v>
      </c>
      <c r="AJ135" s="41">
        <f t="shared" si="47"/>
        <v>56.61875866666665</v>
      </c>
      <c r="AK135" s="121">
        <f t="shared" si="67"/>
        <v>-5565.5862666716484</v>
      </c>
      <c r="AL135" s="154">
        <v>772.22222222222194</v>
      </c>
      <c r="AM135" s="60">
        <f t="shared" si="44"/>
        <v>-4464.0272857827604</v>
      </c>
      <c r="AN135" s="42">
        <f t="shared" si="66"/>
        <v>-4960.0303175363988</v>
      </c>
      <c r="AO135" s="42">
        <f t="shared" si="45"/>
        <v>64616.030317536395</v>
      </c>
      <c r="AP135" s="176">
        <f t="shared" si="46"/>
        <v>-4960.0303175363988</v>
      </c>
      <c r="AQ135" s="180"/>
    </row>
    <row r="136" spans="21:43" ht="15.75" thickBot="1" x14ac:dyDescent="0.3">
      <c r="U136" s="281"/>
      <c r="V136" s="75">
        <v>70</v>
      </c>
      <c r="W136" s="48">
        <f>W130+V136</f>
        <v>854</v>
      </c>
      <c r="X136" s="49">
        <f>X130+Y136</f>
        <v>114</v>
      </c>
      <c r="Y136" s="50">
        <v>6</v>
      </c>
      <c r="Z136" s="81">
        <v>0</v>
      </c>
      <c r="AA136" s="94">
        <v>0</v>
      </c>
      <c r="AB136" s="93">
        <f t="shared" si="75"/>
        <v>5</v>
      </c>
      <c r="AC136" s="102">
        <f>V136/Y136</f>
        <v>11.666666666666666</v>
      </c>
      <c r="AD136" s="284"/>
      <c r="AE136" s="284"/>
      <c r="AF136" s="64">
        <f t="shared" si="43"/>
        <v>1.1111111111111125</v>
      </c>
      <c r="AG136" s="115">
        <f t="shared" si="0"/>
        <v>0.10900000000000014</v>
      </c>
      <c r="AH136" s="118">
        <v>0.04</v>
      </c>
      <c r="AI136" s="121">
        <f t="shared" si="41"/>
        <v>272.71800000000002</v>
      </c>
      <c r="AJ136" s="119">
        <f t="shared" si="47"/>
        <v>69.165851999999987</v>
      </c>
      <c r="AK136" s="121">
        <f t="shared" si="67"/>
        <v>0</v>
      </c>
      <c r="AL136" s="66">
        <v>772.22222222222319</v>
      </c>
      <c r="AM136" s="152">
        <f t="shared" si="44"/>
        <v>1114.1060742222232</v>
      </c>
      <c r="AN136" s="164">
        <f t="shared" si="66"/>
        <v>1237.8956380246941</v>
      </c>
      <c r="AO136" s="164">
        <f t="shared" si="45"/>
        <v>58418.104361975304</v>
      </c>
      <c r="AP136" s="177">
        <f t="shared" si="46"/>
        <v>1237.8956380246941</v>
      </c>
      <c r="AQ136" s="180"/>
    </row>
    <row r="137" spans="21:43" x14ac:dyDescent="0.25">
      <c r="U137" s="279" t="s">
        <v>57</v>
      </c>
      <c r="V137" s="71">
        <f>V140/4</f>
        <v>5</v>
      </c>
      <c r="W137" s="71">
        <f>$W$136+V137</f>
        <v>859</v>
      </c>
      <c r="X137" s="45">
        <v>115</v>
      </c>
      <c r="Y137" s="46">
        <v>1</v>
      </c>
      <c r="Z137" s="84">
        <v>-1.43</v>
      </c>
      <c r="AA137" s="95">
        <f>AA140/4</f>
        <v>-0.5</v>
      </c>
      <c r="AB137" s="91">
        <f>$AB$136+AA137</f>
        <v>4.5</v>
      </c>
      <c r="AC137" s="111">
        <f>AC136+$AE$137</f>
        <v>10</v>
      </c>
      <c r="AD137" s="282">
        <f>AC140-AC136</f>
        <v>-6.6666666666666661</v>
      </c>
      <c r="AE137" s="282">
        <f>AD137/4</f>
        <v>-1.6666666666666665</v>
      </c>
      <c r="AF137" s="58">
        <f t="shared" si="43"/>
        <v>-1.6666666666666661</v>
      </c>
      <c r="AG137" s="114">
        <f t="shared" si="0"/>
        <v>-0.16349999999999995</v>
      </c>
      <c r="AH137" s="117">
        <v>0.04</v>
      </c>
      <c r="AI137" s="151">
        <f t="shared" si="41"/>
        <v>272.71800000000002</v>
      </c>
      <c r="AJ137" s="121">
        <f t="shared" si="47"/>
        <v>50.815728000000007</v>
      </c>
      <c r="AK137" s="151">
        <f t="shared" si="67"/>
        <v>6750.4833871508617</v>
      </c>
      <c r="AL137" s="174">
        <v>-1158.333333333333</v>
      </c>
      <c r="AM137" s="169">
        <f t="shared" si="44"/>
        <v>5915.6837818175291</v>
      </c>
      <c r="AN137" s="61">
        <f t="shared" si="66"/>
        <v>-9859.4729696958784</v>
      </c>
      <c r="AO137" s="61">
        <f t="shared" si="45"/>
        <v>69515.472969695882</v>
      </c>
      <c r="AP137" s="176">
        <f t="shared" si="46"/>
        <v>-9859.4729696958784</v>
      </c>
      <c r="AQ137" s="180"/>
    </row>
    <row r="138" spans="21:43" x14ac:dyDescent="0.25">
      <c r="U138" s="280"/>
      <c r="V138" s="72">
        <f>V137*2</f>
        <v>10</v>
      </c>
      <c r="W138" s="77">
        <f t="shared" ref="W138:W139" si="77">$W$136+V138</f>
        <v>864</v>
      </c>
      <c r="X138" s="37">
        <v>116</v>
      </c>
      <c r="Y138" s="47">
        <v>2</v>
      </c>
      <c r="Z138" s="83">
        <v>-2.86</v>
      </c>
      <c r="AA138" s="96">
        <f>AA137*2</f>
        <v>-1</v>
      </c>
      <c r="AB138" s="89">
        <f t="shared" ref="AB138:AB140" si="78">$AB$136+AA138</f>
        <v>4</v>
      </c>
      <c r="AC138" s="40">
        <f t="shared" ref="AC138:AC139" si="79">AC137+$AE$137</f>
        <v>8.3333333333333339</v>
      </c>
      <c r="AD138" s="283"/>
      <c r="AE138" s="283"/>
      <c r="AF138" s="58">
        <f t="shared" si="43"/>
        <v>-1.6666666666666661</v>
      </c>
      <c r="AG138" s="116">
        <f t="shared" si="0"/>
        <v>-0.16349999999999995</v>
      </c>
      <c r="AH138" s="39">
        <v>0.04</v>
      </c>
      <c r="AI138" s="41">
        <f t="shared" si="41"/>
        <v>272.71800000000002</v>
      </c>
      <c r="AJ138" s="41">
        <f t="shared" si="47"/>
        <v>35.288700000000013</v>
      </c>
      <c r="AK138" s="121">
        <f t="shared" si="67"/>
        <v>1894.6123479211981</v>
      </c>
      <c r="AL138" s="154">
        <v>-1158.333333333333</v>
      </c>
      <c r="AM138" s="41">
        <f t="shared" si="44"/>
        <v>1044.2857145878652</v>
      </c>
      <c r="AN138" s="42">
        <f t="shared" si="66"/>
        <v>-1740.4761909797746</v>
      </c>
      <c r="AO138" s="42">
        <f t="shared" si="45"/>
        <v>61396.476190979774</v>
      </c>
      <c r="AP138" s="176">
        <f t="shared" si="46"/>
        <v>-1740.4761909797746</v>
      </c>
      <c r="AQ138" s="180"/>
    </row>
    <row r="139" spans="21:43" x14ac:dyDescent="0.25">
      <c r="U139" s="280"/>
      <c r="V139" s="72">
        <f>V137*3</f>
        <v>15</v>
      </c>
      <c r="W139" s="72">
        <f t="shared" si="77"/>
        <v>869</v>
      </c>
      <c r="X139" s="37">
        <v>117</v>
      </c>
      <c r="Y139" s="47">
        <v>3</v>
      </c>
      <c r="Z139" s="83">
        <v>-4.29</v>
      </c>
      <c r="AA139" s="96">
        <f>AA137*3</f>
        <v>-1.5</v>
      </c>
      <c r="AB139" s="89">
        <f t="shared" si="78"/>
        <v>3.5</v>
      </c>
      <c r="AC139" s="40">
        <f t="shared" si="79"/>
        <v>6.6666666666666679</v>
      </c>
      <c r="AD139" s="283"/>
      <c r="AE139" s="283"/>
      <c r="AF139" s="58">
        <f t="shared" si="43"/>
        <v>-1.6666666666666661</v>
      </c>
      <c r="AG139" s="116">
        <f t="shared" si="0"/>
        <v>-0.16349999999999995</v>
      </c>
      <c r="AH139" s="39">
        <v>0.04</v>
      </c>
      <c r="AI139" s="41">
        <f t="shared" si="41"/>
        <v>272.71800000000002</v>
      </c>
      <c r="AJ139" s="41">
        <f t="shared" si="47"/>
        <v>22.584768000000008</v>
      </c>
      <c r="AK139" s="121">
        <f t="shared" si="67"/>
        <v>-6218.7354006691867</v>
      </c>
      <c r="AL139" s="41">
        <v>-1158.333333333333</v>
      </c>
      <c r="AM139" s="41">
        <f t="shared" si="44"/>
        <v>-7081.7659660025192</v>
      </c>
      <c r="AN139" s="42">
        <f t="shared" si="66"/>
        <v>11802.943276670861</v>
      </c>
      <c r="AO139" s="42">
        <f t="shared" si="45"/>
        <v>47853.056723329137</v>
      </c>
      <c r="AP139" s="176">
        <f t="shared" si="46"/>
        <v>11802.943276670861</v>
      </c>
      <c r="AQ139" s="180"/>
    </row>
    <row r="140" spans="21:43" ht="15.75" thickBot="1" x14ac:dyDescent="0.3">
      <c r="U140" s="281"/>
      <c r="V140" s="75">
        <v>20</v>
      </c>
      <c r="W140" s="48">
        <f>W136+V140</f>
        <v>874</v>
      </c>
      <c r="X140" s="49">
        <f>X136+Y140</f>
        <v>118</v>
      </c>
      <c r="Y140" s="50">
        <v>4</v>
      </c>
      <c r="Z140" s="81">
        <v>-5.72</v>
      </c>
      <c r="AA140" s="94">
        <v>-2</v>
      </c>
      <c r="AB140" s="93">
        <f t="shared" si="78"/>
        <v>3</v>
      </c>
      <c r="AC140" s="102">
        <f>V140/Y140</f>
        <v>5</v>
      </c>
      <c r="AD140" s="284"/>
      <c r="AE140" s="284"/>
      <c r="AF140" s="64">
        <f t="shared" si="43"/>
        <v>-1.6666666666666679</v>
      </c>
      <c r="AG140" s="115">
        <f t="shared" si="0"/>
        <v>-0.16350000000000012</v>
      </c>
      <c r="AH140" s="118">
        <v>0.04</v>
      </c>
      <c r="AI140" s="66">
        <f t="shared" si="41"/>
        <v>272.71800000000002</v>
      </c>
      <c r="AJ140" s="119">
        <f t="shared" si="47"/>
        <v>12.703932000000002</v>
      </c>
      <c r="AK140" s="66">
        <f t="shared" si="67"/>
        <v>-3639.9825981449112</v>
      </c>
      <c r="AL140" s="119">
        <v>-1158.3333333333342</v>
      </c>
      <c r="AM140" s="66">
        <f t="shared" si="44"/>
        <v>-4512.893999478245</v>
      </c>
      <c r="AN140" s="164">
        <f t="shared" si="66"/>
        <v>7521.4899991304137</v>
      </c>
      <c r="AO140" s="164">
        <f t="shared" si="45"/>
        <v>52134.510000869588</v>
      </c>
      <c r="AP140" s="177">
        <f t="shared" si="46"/>
        <v>7521.4899991304137</v>
      </c>
      <c r="AQ140" s="180"/>
    </row>
    <row r="141" spans="21:43" x14ac:dyDescent="0.25">
      <c r="U141" s="279" t="s">
        <v>58</v>
      </c>
      <c r="V141" s="71">
        <f>V145/5</f>
        <v>10.8</v>
      </c>
      <c r="W141" s="71">
        <f>$W$140+V141</f>
        <v>884.8</v>
      </c>
      <c r="X141" s="45">
        <v>119</v>
      </c>
      <c r="Y141" s="46">
        <v>1</v>
      </c>
      <c r="Z141" s="84">
        <v>-4.5759999999999996</v>
      </c>
      <c r="AA141" s="95">
        <f>AA144*4</f>
        <v>-1.6</v>
      </c>
      <c r="AB141" s="91">
        <f>$AB$140+AA141</f>
        <v>1.4</v>
      </c>
      <c r="AC141" s="111">
        <f>AC140+$AE$141</f>
        <v>6.16</v>
      </c>
      <c r="AD141" s="282">
        <f>AC145-AC140</f>
        <v>5.8000000000000007</v>
      </c>
      <c r="AE141" s="282">
        <f>AD141/5</f>
        <v>1.1600000000000001</v>
      </c>
      <c r="AF141" s="58">
        <f t="shared" si="43"/>
        <v>1.1600000000000001</v>
      </c>
      <c r="AG141" s="114">
        <f t="shared" si="0"/>
        <v>0.11379600000000002</v>
      </c>
      <c r="AH141" s="117">
        <v>0.04</v>
      </c>
      <c r="AI141" s="60">
        <f t="shared" si="41"/>
        <v>272.71800000000002</v>
      </c>
      <c r="AJ141" s="121">
        <f t="shared" si="47"/>
        <v>19.282332883967999</v>
      </c>
      <c r="AK141" s="152">
        <f t="shared" si="67"/>
        <v>-6754.634644430359</v>
      </c>
      <c r="AL141" s="171">
        <v>806.2</v>
      </c>
      <c r="AM141" s="169">
        <f t="shared" si="44"/>
        <v>-5656.4343115463907</v>
      </c>
      <c r="AN141" s="61">
        <f t="shared" si="66"/>
        <v>-6561.4638013938138</v>
      </c>
      <c r="AO141" s="61">
        <f t="shared" si="45"/>
        <v>66217.463801393809</v>
      </c>
      <c r="AP141" s="176">
        <f t="shared" si="46"/>
        <v>-6561.4638013938138</v>
      </c>
      <c r="AQ141" s="180"/>
    </row>
    <row r="142" spans="21:43" x14ac:dyDescent="0.25">
      <c r="U142" s="280"/>
      <c r="V142" s="72">
        <f>V141*2</f>
        <v>21.6</v>
      </c>
      <c r="W142" s="72">
        <f t="shared" ref="W142:W144" si="80">$W$140+V142</f>
        <v>895.6</v>
      </c>
      <c r="X142" s="37">
        <v>120</v>
      </c>
      <c r="Y142" s="47">
        <v>2</v>
      </c>
      <c r="Z142" s="83">
        <v>-3.4319999999999995</v>
      </c>
      <c r="AA142" s="96">
        <f>AA144*3</f>
        <v>-1.2000000000000002</v>
      </c>
      <c r="AB142" s="89">
        <f t="shared" ref="AB142:AB145" si="81">$AB$140+AA142</f>
        <v>1.7999999999999998</v>
      </c>
      <c r="AC142" s="40">
        <f t="shared" ref="AC142:AC144" si="82">AC141+$AE$141</f>
        <v>7.32</v>
      </c>
      <c r="AD142" s="283"/>
      <c r="AE142" s="283"/>
      <c r="AF142" s="58">
        <f t="shared" si="43"/>
        <v>1.1600000000000001</v>
      </c>
      <c r="AG142" s="116">
        <f t="shared" si="0"/>
        <v>0.11379600000000002</v>
      </c>
      <c r="AH142" s="39">
        <v>0.04</v>
      </c>
      <c r="AI142" s="41">
        <f t="shared" si="41"/>
        <v>272.71800000000002</v>
      </c>
      <c r="AJ142" s="41">
        <f t="shared" si="47"/>
        <v>27.228286639872007</v>
      </c>
      <c r="AK142" s="121">
        <f t="shared" si="67"/>
        <v>-1952.2691108613985</v>
      </c>
      <c r="AL142" s="154">
        <v>806.2</v>
      </c>
      <c r="AM142" s="41">
        <f t="shared" si="44"/>
        <v>-846.12282422152634</v>
      </c>
      <c r="AN142" s="42">
        <f t="shared" si="66"/>
        <v>-981.50247609697067</v>
      </c>
      <c r="AO142" s="42">
        <f t="shared" si="45"/>
        <v>60637.502476096968</v>
      </c>
      <c r="AP142" s="176">
        <f t="shared" si="46"/>
        <v>-981.50247609697067</v>
      </c>
      <c r="AQ142" s="180"/>
    </row>
    <row r="143" spans="21:43" x14ac:dyDescent="0.25">
      <c r="U143" s="280"/>
      <c r="V143" s="72">
        <f>V141*3</f>
        <v>32.400000000000006</v>
      </c>
      <c r="W143" s="72">
        <f t="shared" si="80"/>
        <v>906.4</v>
      </c>
      <c r="X143" s="37">
        <v>121</v>
      </c>
      <c r="Y143" s="47">
        <v>3</v>
      </c>
      <c r="Z143" s="83">
        <v>-2.2879999999999998</v>
      </c>
      <c r="AA143" s="96">
        <f>AA144*2</f>
        <v>-0.8</v>
      </c>
      <c r="AB143" s="89">
        <f t="shared" si="81"/>
        <v>2.2000000000000002</v>
      </c>
      <c r="AC143" s="40">
        <f t="shared" si="82"/>
        <v>8.48</v>
      </c>
      <c r="AD143" s="283"/>
      <c r="AE143" s="283"/>
      <c r="AF143" s="58">
        <f t="shared" si="43"/>
        <v>1.1600000000000001</v>
      </c>
      <c r="AG143" s="116">
        <f t="shared" si="0"/>
        <v>0.11379600000000002</v>
      </c>
      <c r="AH143" s="39">
        <v>0.04</v>
      </c>
      <c r="AI143" s="41">
        <f t="shared" si="41"/>
        <v>272.71800000000002</v>
      </c>
      <c r="AJ143" s="41">
        <f t="shared" si="47"/>
        <v>36.541793267712009</v>
      </c>
      <c r="AK143" s="121">
        <f t="shared" si="67"/>
        <v>5138.3251256531803</v>
      </c>
      <c r="AL143" s="154">
        <v>806.2</v>
      </c>
      <c r="AM143" s="41">
        <f t="shared" si="44"/>
        <v>6253.7849189208919</v>
      </c>
      <c r="AN143" s="42">
        <f t="shared" si="66"/>
        <v>7254.3905059482358</v>
      </c>
      <c r="AO143" s="42">
        <f t="shared" si="45"/>
        <v>52401.609494051765</v>
      </c>
      <c r="AP143" s="176">
        <f t="shared" si="46"/>
        <v>7254.3905059482358</v>
      </c>
      <c r="AQ143" s="180"/>
    </row>
    <row r="144" spans="21:43" x14ac:dyDescent="0.25">
      <c r="U144" s="280"/>
      <c r="V144" s="72">
        <f>V141*4</f>
        <v>43.2</v>
      </c>
      <c r="W144" s="74">
        <f t="shared" si="80"/>
        <v>917.2</v>
      </c>
      <c r="X144" s="37">
        <v>122</v>
      </c>
      <c r="Y144" s="47">
        <v>4</v>
      </c>
      <c r="Z144" s="83">
        <v>-1.1439999999999999</v>
      </c>
      <c r="AA144" s="96">
        <f>AA140/5</f>
        <v>-0.4</v>
      </c>
      <c r="AB144" s="89">
        <f t="shared" si="81"/>
        <v>2.6</v>
      </c>
      <c r="AC144" s="40">
        <f t="shared" si="82"/>
        <v>9.64</v>
      </c>
      <c r="AD144" s="283"/>
      <c r="AE144" s="283"/>
      <c r="AF144" s="58">
        <f t="shared" si="43"/>
        <v>1.1600000000000001</v>
      </c>
      <c r="AG144" s="116">
        <f t="shared" si="0"/>
        <v>0.11379600000000002</v>
      </c>
      <c r="AH144" s="39">
        <v>0.04</v>
      </c>
      <c r="AI144" s="41">
        <f t="shared" si="41"/>
        <v>272.71800000000002</v>
      </c>
      <c r="AJ144" s="41">
        <f t="shared" si="47"/>
        <v>47.222852767488007</v>
      </c>
      <c r="AK144" s="121">
        <f t="shared" si="67"/>
        <v>6206.3567081910069</v>
      </c>
      <c r="AL144" s="154">
        <v>806.2</v>
      </c>
      <c r="AM144" s="152">
        <f t="shared" si="44"/>
        <v>7332.4975609584944</v>
      </c>
      <c r="AN144" s="42">
        <f t="shared" si="66"/>
        <v>8505.6971707118537</v>
      </c>
      <c r="AO144" s="42">
        <f t="shared" si="45"/>
        <v>51150.30282928815</v>
      </c>
      <c r="AP144" s="176">
        <f t="shared" si="46"/>
        <v>8505.6971707118537</v>
      </c>
      <c r="AQ144" s="180"/>
    </row>
    <row r="145" spans="21:43" ht="15.75" thickBot="1" x14ac:dyDescent="0.3">
      <c r="U145" s="281"/>
      <c r="V145" s="75">
        <v>54</v>
      </c>
      <c r="W145" s="48">
        <f>W140+V145</f>
        <v>928</v>
      </c>
      <c r="X145" s="49">
        <f>X140+Y145</f>
        <v>123</v>
      </c>
      <c r="Y145" s="50">
        <v>5</v>
      </c>
      <c r="Z145" s="81">
        <v>0</v>
      </c>
      <c r="AA145" s="94">
        <v>0</v>
      </c>
      <c r="AB145" s="93">
        <f t="shared" si="81"/>
        <v>3</v>
      </c>
      <c r="AC145" s="102">
        <f>V145/Y145</f>
        <v>10.8</v>
      </c>
      <c r="AD145" s="284"/>
      <c r="AE145" s="284"/>
      <c r="AF145" s="109">
        <f t="shared" si="43"/>
        <v>1.1600000000000001</v>
      </c>
      <c r="AG145" s="115">
        <f t="shared" si="0"/>
        <v>0.11379600000000002</v>
      </c>
      <c r="AH145" s="118">
        <v>0.04</v>
      </c>
      <c r="AI145" s="121">
        <f t="shared" si="41"/>
        <v>272.71800000000002</v>
      </c>
      <c r="AJ145" s="119">
        <f t="shared" si="47"/>
        <v>59.271465139200011</v>
      </c>
      <c r="AK145" s="66">
        <f t="shared" si="67"/>
        <v>0</v>
      </c>
      <c r="AL145" s="66">
        <v>806.2</v>
      </c>
      <c r="AM145" s="66">
        <f t="shared" si="44"/>
        <v>1138.1894651392001</v>
      </c>
      <c r="AN145" s="164">
        <f t="shared" si="66"/>
        <v>1320.2997795614724</v>
      </c>
      <c r="AO145" s="164">
        <f t="shared" si="45"/>
        <v>58335.700220438528</v>
      </c>
      <c r="AP145" s="177">
        <f t="shared" si="46"/>
        <v>1320.2997795614724</v>
      </c>
      <c r="AQ145" s="180"/>
    </row>
    <row r="146" spans="21:43" x14ac:dyDescent="0.25">
      <c r="U146" s="279" t="s">
        <v>59</v>
      </c>
      <c r="V146" s="71">
        <f>V148/3</f>
        <v>5</v>
      </c>
      <c r="W146" s="71">
        <f>$W$145+V146</f>
        <v>933</v>
      </c>
      <c r="X146" s="45">
        <v>124</v>
      </c>
      <c r="Y146" s="46">
        <v>1</v>
      </c>
      <c r="Z146" s="84">
        <v>-1.3733333333333333</v>
      </c>
      <c r="AA146" s="95">
        <f>AA148/3</f>
        <v>-0.33333333333333331</v>
      </c>
      <c r="AB146" s="91">
        <f>$AB$145+AA146</f>
        <v>2.6666666666666665</v>
      </c>
      <c r="AC146" s="111">
        <f>AC145+$AE$146</f>
        <v>8.8666666666666671</v>
      </c>
      <c r="AD146" s="282">
        <f>AC148-AC145</f>
        <v>-5.8000000000000007</v>
      </c>
      <c r="AE146" s="282">
        <f>AD146/3</f>
        <v>-1.9333333333333336</v>
      </c>
      <c r="AF146" s="62">
        <f t="shared" si="43"/>
        <v>-1.9333333333333336</v>
      </c>
      <c r="AG146" s="114">
        <f t="shared" si="0"/>
        <v>-0.18966000000000002</v>
      </c>
      <c r="AH146" s="117">
        <v>0.04</v>
      </c>
      <c r="AI146" s="151">
        <f t="shared" si="41"/>
        <v>272.71800000000002</v>
      </c>
      <c r="AJ146" s="121">
        <f t="shared" si="47"/>
        <v>39.950196115200008</v>
      </c>
      <c r="AK146" s="152">
        <f t="shared" si="67"/>
        <v>6685.4598364696467</v>
      </c>
      <c r="AL146" s="171">
        <v>-1343.6666666666667</v>
      </c>
      <c r="AM146" s="169">
        <f t="shared" si="44"/>
        <v>5654.4613659181796</v>
      </c>
      <c r="AN146" s="61">
        <f t="shared" si="66"/>
        <v>-10931.958640775149</v>
      </c>
      <c r="AO146" s="61">
        <f t="shared" si="45"/>
        <v>70587.958640775149</v>
      </c>
      <c r="AP146" s="176">
        <f t="shared" si="46"/>
        <v>-10931.958640775149</v>
      </c>
      <c r="AQ146" s="180"/>
    </row>
    <row r="147" spans="21:43" x14ac:dyDescent="0.25">
      <c r="U147" s="280"/>
      <c r="V147" s="72">
        <f>V146*2</f>
        <v>10</v>
      </c>
      <c r="W147" s="74">
        <f>$W$145+V147</f>
        <v>938</v>
      </c>
      <c r="X147" s="37">
        <v>125</v>
      </c>
      <c r="Y147" s="47">
        <v>2</v>
      </c>
      <c r="Z147" s="83">
        <v>-2.7466666666666666</v>
      </c>
      <c r="AA147" s="96">
        <f>AA146*2</f>
        <v>-0.66666666666666663</v>
      </c>
      <c r="AB147" s="89">
        <f>$AB$145+AA147</f>
        <v>2.3333333333333335</v>
      </c>
      <c r="AC147" s="40">
        <f>AC146+$AE$146</f>
        <v>6.9333333333333336</v>
      </c>
      <c r="AD147" s="283"/>
      <c r="AE147" s="283"/>
      <c r="AF147" s="58">
        <f t="shared" si="43"/>
        <v>-1.9333333333333336</v>
      </c>
      <c r="AG147" s="116">
        <f t="shared" si="0"/>
        <v>-0.18966000000000002</v>
      </c>
      <c r="AH147" s="39">
        <v>0.04</v>
      </c>
      <c r="AI147" s="41">
        <f t="shared" si="41"/>
        <v>272.71800000000002</v>
      </c>
      <c r="AJ147" s="41">
        <f t="shared" si="47"/>
        <v>24.427685068800002</v>
      </c>
      <c r="AK147" s="121">
        <f t="shared" si="67"/>
        <v>2623.1372235200743</v>
      </c>
      <c r="AL147" s="41">
        <v>-1343.6666666666667</v>
      </c>
      <c r="AM147" s="41">
        <f t="shared" si="44"/>
        <v>1576.6162419222076</v>
      </c>
      <c r="AN147" s="42">
        <f t="shared" si="66"/>
        <v>-3048.124734382935</v>
      </c>
      <c r="AO147" s="42">
        <f t="shared" si="45"/>
        <v>62704.124734382938</v>
      </c>
      <c r="AP147" s="176">
        <f t="shared" si="46"/>
        <v>-3048.124734382935</v>
      </c>
      <c r="AQ147" s="180"/>
    </row>
    <row r="148" spans="21:43" ht="15.75" thickBot="1" x14ac:dyDescent="0.3">
      <c r="U148" s="281"/>
      <c r="V148" s="75">
        <v>15</v>
      </c>
      <c r="W148" s="48">
        <f>W145+V148</f>
        <v>943</v>
      </c>
      <c r="X148" s="49">
        <f>X145+Y148</f>
        <v>126</v>
      </c>
      <c r="Y148" s="50">
        <v>3</v>
      </c>
      <c r="Z148" s="81">
        <v>-4.12</v>
      </c>
      <c r="AA148" s="94">
        <v>-1</v>
      </c>
      <c r="AB148" s="93">
        <f>$AB$145+AA148</f>
        <v>2</v>
      </c>
      <c r="AC148" s="102">
        <f>V148/Y148</f>
        <v>5</v>
      </c>
      <c r="AD148" s="284"/>
      <c r="AE148" s="284"/>
      <c r="AF148" s="64">
        <f t="shared" si="43"/>
        <v>-1.9333333333333336</v>
      </c>
      <c r="AG148" s="115">
        <f t="shared" si="0"/>
        <v>-0.18966000000000002</v>
      </c>
      <c r="AH148" s="118">
        <v>0.04</v>
      </c>
      <c r="AI148" s="66">
        <f t="shared" si="41"/>
        <v>272.71800000000002</v>
      </c>
      <c r="AJ148" s="119">
        <f t="shared" si="47"/>
        <v>12.703932000000002</v>
      </c>
      <c r="AK148" s="66">
        <f t="shared" si="67"/>
        <v>-5656.2338652236467</v>
      </c>
      <c r="AL148" s="173">
        <v>-1343.6666666666667</v>
      </c>
      <c r="AM148" s="152">
        <f t="shared" si="44"/>
        <v>-6714.4785998903135</v>
      </c>
      <c r="AN148" s="164">
        <f t="shared" si="66"/>
        <v>12981.325293121274</v>
      </c>
      <c r="AO148" s="164">
        <f t="shared" si="45"/>
        <v>46674.674706878723</v>
      </c>
      <c r="AP148" s="177">
        <f t="shared" si="46"/>
        <v>12981.325293121274</v>
      </c>
      <c r="AQ148" s="180"/>
    </row>
    <row r="149" spans="21:43" x14ac:dyDescent="0.25">
      <c r="U149" s="279" t="s">
        <v>60</v>
      </c>
      <c r="V149" s="71">
        <f>V151/3</f>
        <v>4</v>
      </c>
      <c r="W149" s="78">
        <f>$W$148+V149</f>
        <v>947</v>
      </c>
      <c r="X149" s="45">
        <v>127</v>
      </c>
      <c r="Y149" s="46">
        <v>1</v>
      </c>
      <c r="Z149" s="84">
        <v>-2.7466666666666666</v>
      </c>
      <c r="AA149" s="95">
        <f>AA150*2</f>
        <v>-0.66666666666666663</v>
      </c>
      <c r="AB149" s="91">
        <f>$AB$148+AA149</f>
        <v>1.3333333333333335</v>
      </c>
      <c r="AC149" s="111">
        <f>AC148+$AE$149</f>
        <v>4.666666666666667</v>
      </c>
      <c r="AD149" s="282">
        <f>AC151-AC148</f>
        <v>-1</v>
      </c>
      <c r="AE149" s="282">
        <f>AD149/3</f>
        <v>-0.33333333333333331</v>
      </c>
      <c r="AF149" s="58">
        <f t="shared" si="43"/>
        <v>-0.33333333333333304</v>
      </c>
      <c r="AG149" s="114">
        <f t="shared" si="0"/>
        <v>-3.2699999999999972E-2</v>
      </c>
      <c r="AH149" s="117">
        <v>0.04</v>
      </c>
      <c r="AI149" s="60">
        <f t="shared" si="41"/>
        <v>272.71800000000002</v>
      </c>
      <c r="AJ149" s="121">
        <f t="shared" si="47"/>
        <v>11.066536320000003</v>
      </c>
      <c r="AK149" s="152">
        <f t="shared" si="67"/>
        <v>2623.1372235200743</v>
      </c>
      <c r="AL149" s="171">
        <v>-231.66666666666646</v>
      </c>
      <c r="AM149" s="169">
        <f t="shared" si="44"/>
        <v>2675.2550931734077</v>
      </c>
      <c r="AN149" s="61">
        <f t="shared" si="66"/>
        <v>-891.75169772446839</v>
      </c>
      <c r="AO149" s="61">
        <f t="shared" si="45"/>
        <v>60547.751697724467</v>
      </c>
      <c r="AP149" s="176">
        <f t="shared" si="46"/>
        <v>-891.75169772446839</v>
      </c>
      <c r="AQ149" s="180"/>
    </row>
    <row r="150" spans="21:43" x14ac:dyDescent="0.25">
      <c r="U150" s="280"/>
      <c r="V150" s="72">
        <f>V149*2</f>
        <v>8</v>
      </c>
      <c r="W150" s="72">
        <f>$W$148+V150</f>
        <v>951</v>
      </c>
      <c r="X150" s="37">
        <v>128</v>
      </c>
      <c r="Y150" s="47">
        <v>2</v>
      </c>
      <c r="Z150" s="83">
        <v>-1.3733333333333333</v>
      </c>
      <c r="AA150" s="96">
        <f>AA148/3</f>
        <v>-0.33333333333333331</v>
      </c>
      <c r="AB150" s="89">
        <f t="shared" ref="AB150:AB151" si="83">$AB$148+AA150</f>
        <v>1.6666666666666667</v>
      </c>
      <c r="AC150" s="40">
        <f>AC149+$AE$149</f>
        <v>4.3333333333333339</v>
      </c>
      <c r="AD150" s="283"/>
      <c r="AE150" s="283"/>
      <c r="AF150" s="58">
        <f t="shared" si="43"/>
        <v>-0.33333333333333304</v>
      </c>
      <c r="AG150" s="116">
        <f t="shared" si="0"/>
        <v>-3.2699999999999972E-2</v>
      </c>
      <c r="AH150" s="39">
        <v>0.04</v>
      </c>
      <c r="AI150" s="41">
        <f t="shared" si="41"/>
        <v>272.71800000000002</v>
      </c>
      <c r="AJ150" s="41">
        <f t="shared" si="47"/>
        <v>9.5420644800000023</v>
      </c>
      <c r="AK150" s="121">
        <f t="shared" si="67"/>
        <v>6685.4598364696467</v>
      </c>
      <c r="AL150" s="154">
        <v>-231.66666666666646</v>
      </c>
      <c r="AM150" s="41">
        <f t="shared" si="44"/>
        <v>6736.0532342829811</v>
      </c>
      <c r="AN150" s="42">
        <f t="shared" ref="AN150:AN181" si="84">AM150*AF150</f>
        <v>-2245.3510780943252</v>
      </c>
      <c r="AO150" s="42">
        <f t="shared" si="45"/>
        <v>61901.351078094325</v>
      </c>
      <c r="AP150" s="176">
        <f t="shared" si="46"/>
        <v>-2245.3510780943252</v>
      </c>
      <c r="AQ150" s="180"/>
    </row>
    <row r="151" spans="21:43" ht="15.75" thickBot="1" x14ac:dyDescent="0.3">
      <c r="U151" s="281"/>
      <c r="V151" s="75">
        <v>12</v>
      </c>
      <c r="W151" s="48">
        <f>W148+V151</f>
        <v>955</v>
      </c>
      <c r="X151" s="49">
        <f>X148+Y151</f>
        <v>129</v>
      </c>
      <c r="Y151" s="50">
        <v>3</v>
      </c>
      <c r="Z151" s="81">
        <v>0</v>
      </c>
      <c r="AA151" s="94">
        <v>0</v>
      </c>
      <c r="AB151" s="93">
        <f t="shared" si="83"/>
        <v>2</v>
      </c>
      <c r="AC151" s="102">
        <f>V151/Y151</f>
        <v>4</v>
      </c>
      <c r="AD151" s="284"/>
      <c r="AE151" s="284"/>
      <c r="AF151" s="109">
        <f t="shared" si="43"/>
        <v>-0.33333333333333393</v>
      </c>
      <c r="AG151" s="115">
        <f t="shared" si="0"/>
        <v>-3.2700000000000062E-2</v>
      </c>
      <c r="AH151" s="118">
        <v>0.04</v>
      </c>
      <c r="AI151" s="121">
        <f t="shared" ref="AI151:AI205" si="85">$C$6*9.81*AH151</f>
        <v>272.71800000000002</v>
      </c>
      <c r="AJ151" s="119">
        <f t="shared" si="47"/>
        <v>8.1305164800000007</v>
      </c>
      <c r="AK151" s="121">
        <f t="shared" ref="AK151:AK182" si="86">$C$6*9.81*-SIN(Z151)</f>
        <v>0</v>
      </c>
      <c r="AL151" s="66">
        <v>-231.66666666666708</v>
      </c>
      <c r="AM151" s="66">
        <f t="shared" si="44"/>
        <v>49.181849813332917</v>
      </c>
      <c r="AN151" s="164">
        <f t="shared" si="84"/>
        <v>-16.39394993777767</v>
      </c>
      <c r="AO151" s="164">
        <f t="shared" si="45"/>
        <v>59672.393949937781</v>
      </c>
      <c r="AP151" s="177">
        <f t="shared" si="46"/>
        <v>-16.39394993777767</v>
      </c>
      <c r="AQ151" s="180"/>
    </row>
    <row r="152" spans="21:43" x14ac:dyDescent="0.25">
      <c r="U152" s="279" t="s">
        <v>61</v>
      </c>
      <c r="V152" s="71">
        <f>V155/4</f>
        <v>5.75</v>
      </c>
      <c r="W152" s="71">
        <f>$W$151+V152</f>
        <v>960.75</v>
      </c>
      <c r="X152" s="45">
        <v>130</v>
      </c>
      <c r="Y152" s="46">
        <v>1</v>
      </c>
      <c r="Z152" s="84">
        <v>-1.3274999999999999</v>
      </c>
      <c r="AA152" s="95">
        <f>AA155/4</f>
        <v>-0.5</v>
      </c>
      <c r="AB152" s="91">
        <f>$AB$151+AA152</f>
        <v>1.5</v>
      </c>
      <c r="AC152" s="111">
        <f>AC151+$AE$152</f>
        <v>4.4375</v>
      </c>
      <c r="AD152" s="282">
        <f>AC155-AC151</f>
        <v>1.75</v>
      </c>
      <c r="AE152" s="282">
        <f>AD152/4</f>
        <v>0.4375</v>
      </c>
      <c r="AF152" s="62">
        <f t="shared" ref="AF152:AF205" si="87">AC152-AC151</f>
        <v>0.4375</v>
      </c>
      <c r="AG152" s="114">
        <f t="shared" si="0"/>
        <v>4.2918750000000006E-2</v>
      </c>
      <c r="AH152" s="117">
        <v>0.04</v>
      </c>
      <c r="AI152" s="151">
        <f t="shared" si="85"/>
        <v>272.71800000000002</v>
      </c>
      <c r="AJ152" s="121">
        <f t="shared" si="47"/>
        <v>10.006331439375002</v>
      </c>
      <c r="AK152" s="151">
        <f t="shared" si="86"/>
        <v>6617.155601592066</v>
      </c>
      <c r="AL152" s="174">
        <v>304.0625</v>
      </c>
      <c r="AM152" s="151">
        <f t="shared" ref="AM152:AM205" si="88">AI152+AJ152+AK152+AL152</f>
        <v>7203.9424330314414</v>
      </c>
      <c r="AN152" s="61">
        <f t="shared" si="84"/>
        <v>3151.7248144512555</v>
      </c>
      <c r="AO152" s="61">
        <f t="shared" ref="AO152:AO205" si="89">$C$5-AN152</f>
        <v>56504.275185548744</v>
      </c>
      <c r="AP152" s="176">
        <f t="shared" si="46"/>
        <v>3151.7248144512555</v>
      </c>
      <c r="AQ152" s="180"/>
    </row>
    <row r="153" spans="21:43" x14ac:dyDescent="0.25">
      <c r="U153" s="280"/>
      <c r="V153" s="72">
        <f>V152*2</f>
        <v>11.5</v>
      </c>
      <c r="W153" s="74">
        <f t="shared" ref="W153:W154" si="90">$W$151+V153</f>
        <v>966.5</v>
      </c>
      <c r="X153" s="37">
        <v>131</v>
      </c>
      <c r="Y153" s="47">
        <v>2</v>
      </c>
      <c r="Z153" s="83">
        <v>-2.6549999999999998</v>
      </c>
      <c r="AA153" s="96">
        <f>AA152*2</f>
        <v>-1</v>
      </c>
      <c r="AB153" s="89">
        <f t="shared" ref="AB153:AB155" si="91">$AB$151+AA153</f>
        <v>1</v>
      </c>
      <c r="AC153" s="40">
        <f t="shared" ref="AC153:AC154" si="92">AC152+$AE$152</f>
        <v>4.875</v>
      </c>
      <c r="AD153" s="283"/>
      <c r="AE153" s="283"/>
      <c r="AF153" s="58">
        <f t="shared" si="87"/>
        <v>0.4375</v>
      </c>
      <c r="AG153" s="116">
        <f t="shared" si="0"/>
        <v>4.2918750000000006E-2</v>
      </c>
      <c r="AH153" s="39">
        <v>0.04</v>
      </c>
      <c r="AI153" s="41">
        <f t="shared" si="85"/>
        <v>272.71800000000002</v>
      </c>
      <c r="AJ153" s="41">
        <f t="shared" si="47"/>
        <v>12.076675357500001</v>
      </c>
      <c r="AK153" s="121">
        <f t="shared" si="86"/>
        <v>3188.1876091216914</v>
      </c>
      <c r="AL153" s="154">
        <v>304.0625</v>
      </c>
      <c r="AM153" s="41">
        <f t="shared" si="88"/>
        <v>3777.0447844791915</v>
      </c>
      <c r="AN153" s="42">
        <f t="shared" si="84"/>
        <v>1652.4570932096462</v>
      </c>
      <c r="AO153" s="42">
        <f t="shared" si="89"/>
        <v>58003.542906790353</v>
      </c>
      <c r="AP153" s="176">
        <f t="shared" ref="AP153:AP205" si="93">AN153/$Y$23</f>
        <v>1652.4570932096462</v>
      </c>
      <c r="AQ153" s="180"/>
    </row>
    <row r="154" spans="21:43" x14ac:dyDescent="0.25">
      <c r="U154" s="280"/>
      <c r="V154" s="72">
        <f>V152*3</f>
        <v>17.25</v>
      </c>
      <c r="W154" s="74">
        <f t="shared" si="90"/>
        <v>972.25</v>
      </c>
      <c r="X154" s="37">
        <v>132</v>
      </c>
      <c r="Y154" s="47">
        <v>3</v>
      </c>
      <c r="Z154" s="83">
        <v>-3.9824999999999999</v>
      </c>
      <c r="AA154" s="96">
        <f>AA152*3</f>
        <v>-1.5</v>
      </c>
      <c r="AB154" s="89">
        <f t="shared" si="91"/>
        <v>0.5</v>
      </c>
      <c r="AC154" s="105">
        <f t="shared" si="92"/>
        <v>5.3125</v>
      </c>
      <c r="AD154" s="283"/>
      <c r="AE154" s="283"/>
      <c r="AF154" s="58">
        <f t="shared" si="87"/>
        <v>0.4375</v>
      </c>
      <c r="AG154" s="116">
        <f t="shared" si="0"/>
        <v>4.2918750000000006E-2</v>
      </c>
      <c r="AH154" s="39">
        <v>0.04</v>
      </c>
      <c r="AI154" s="41">
        <f t="shared" si="85"/>
        <v>272.71800000000002</v>
      </c>
      <c r="AJ154" s="41">
        <f t="shared" si="47"/>
        <v>14.341548234375001</v>
      </c>
      <c r="AK154" s="121">
        <f t="shared" si="86"/>
        <v>-5081.0665562458271</v>
      </c>
      <c r="AL154" s="154">
        <v>304.0625</v>
      </c>
      <c r="AM154" s="152">
        <f t="shared" si="88"/>
        <v>-4489.9445080114519</v>
      </c>
      <c r="AN154" s="42">
        <f t="shared" si="84"/>
        <v>-1964.3507222550102</v>
      </c>
      <c r="AO154" s="42">
        <f t="shared" si="89"/>
        <v>61620.350722255011</v>
      </c>
      <c r="AP154" s="176">
        <f t="shared" si="93"/>
        <v>-1964.3507222550102</v>
      </c>
      <c r="AQ154" s="180"/>
    </row>
    <row r="155" spans="21:43" ht="15.75" thickBot="1" x14ac:dyDescent="0.3">
      <c r="U155" s="281"/>
      <c r="V155" s="75">
        <v>23</v>
      </c>
      <c r="W155" s="48">
        <f>W151+V155</f>
        <v>978</v>
      </c>
      <c r="X155" s="49">
        <f>X151+Y155</f>
        <v>133</v>
      </c>
      <c r="Y155" s="50">
        <v>4</v>
      </c>
      <c r="Z155" s="81">
        <v>-5.31</v>
      </c>
      <c r="AA155" s="94">
        <v>-2</v>
      </c>
      <c r="AB155" s="93">
        <f t="shared" si="91"/>
        <v>0</v>
      </c>
      <c r="AC155" s="102">
        <f>V155/Y155</f>
        <v>5.75</v>
      </c>
      <c r="AD155" s="284"/>
      <c r="AE155" s="284"/>
      <c r="AF155" s="64">
        <f t="shared" si="87"/>
        <v>0.4375</v>
      </c>
      <c r="AG155" s="115">
        <f t="shared" si="0"/>
        <v>4.2918750000000006E-2</v>
      </c>
      <c r="AH155" s="118">
        <v>0.04</v>
      </c>
      <c r="AI155" s="121">
        <f t="shared" si="85"/>
        <v>272.71800000000002</v>
      </c>
      <c r="AJ155" s="119">
        <f t="shared" si="47"/>
        <v>16.800950070000003</v>
      </c>
      <c r="AK155" s="121">
        <f t="shared" si="86"/>
        <v>-5636.2777570771123</v>
      </c>
      <c r="AL155" s="66">
        <v>304.0625</v>
      </c>
      <c r="AM155" s="66">
        <f t="shared" si="88"/>
        <v>-5042.6963070071124</v>
      </c>
      <c r="AN155" s="164">
        <f t="shared" si="84"/>
        <v>-2206.1796343156116</v>
      </c>
      <c r="AO155" s="164">
        <f t="shared" si="89"/>
        <v>61862.179634315609</v>
      </c>
      <c r="AP155" s="177">
        <f t="shared" si="93"/>
        <v>-2206.1796343156116</v>
      </c>
      <c r="AQ155" s="180"/>
    </row>
    <row r="156" spans="21:43" x14ac:dyDescent="0.25">
      <c r="U156" s="279" t="s">
        <v>62</v>
      </c>
      <c r="V156" s="71">
        <f>V161/6</f>
        <v>22</v>
      </c>
      <c r="W156" s="78">
        <f>$W$155+V156</f>
        <v>1000</v>
      </c>
      <c r="X156" s="45">
        <v>134</v>
      </c>
      <c r="Y156" s="46">
        <v>1</v>
      </c>
      <c r="Z156" s="84">
        <v>-4.4249999999999998</v>
      </c>
      <c r="AA156" s="95">
        <f>AA160*5</f>
        <v>-1.6666666666666665</v>
      </c>
      <c r="AB156" s="91">
        <f>$AB$155+AA156</f>
        <v>-1.6666666666666665</v>
      </c>
      <c r="AC156" s="111">
        <f>AC155+$AE$156</f>
        <v>8.4583333333333339</v>
      </c>
      <c r="AD156" s="282">
        <f>AC161-AC155</f>
        <v>16.25</v>
      </c>
      <c r="AE156" s="282">
        <f>AD156/6</f>
        <v>2.7083333333333335</v>
      </c>
      <c r="AF156" s="58">
        <f t="shared" si="87"/>
        <v>2.7083333333333339</v>
      </c>
      <c r="AG156" s="114">
        <f t="shared" si="0"/>
        <v>0.26568750000000008</v>
      </c>
      <c r="AH156" s="117">
        <v>0.04</v>
      </c>
      <c r="AI156" s="151">
        <f t="shared" si="85"/>
        <v>272.71800000000002</v>
      </c>
      <c r="AJ156" s="121">
        <f t="shared" ref="AJ156:AJ190" si="94">0.5*$C$18*$C$20*$C$22*(AC156*AC156)</f>
        <v>36.355300957500006</v>
      </c>
      <c r="AK156" s="151">
        <f t="shared" si="86"/>
        <v>-6538.3270199446215</v>
      </c>
      <c r="AL156" s="174">
        <v>1882.291666666667</v>
      </c>
      <c r="AM156" s="169">
        <f t="shared" si="88"/>
        <v>-4346.9620523204549</v>
      </c>
      <c r="AN156" s="61">
        <f t="shared" si="84"/>
        <v>-11773.022225034569</v>
      </c>
      <c r="AO156" s="61">
        <f t="shared" si="89"/>
        <v>71429.022225034569</v>
      </c>
      <c r="AP156" s="176">
        <f t="shared" si="93"/>
        <v>-11773.022225034569</v>
      </c>
      <c r="AQ156" s="180"/>
    </row>
    <row r="157" spans="21:43" x14ac:dyDescent="0.25">
      <c r="U157" s="280"/>
      <c r="V157" s="72">
        <f>V156*2</f>
        <v>44</v>
      </c>
      <c r="W157" s="72">
        <f t="shared" ref="W157:W160" si="95">$W$155+V157</f>
        <v>1022</v>
      </c>
      <c r="X157" s="37">
        <v>135</v>
      </c>
      <c r="Y157" s="47">
        <v>2</v>
      </c>
      <c r="Z157" s="83">
        <v>-3.5399999999999996</v>
      </c>
      <c r="AA157" s="96">
        <f>AA160*4</f>
        <v>-1.3333333333333333</v>
      </c>
      <c r="AB157" s="89">
        <f t="shared" ref="AB157:AB161" si="96">$AB$155+AA157</f>
        <v>-1.3333333333333333</v>
      </c>
      <c r="AC157" s="40">
        <f t="shared" ref="AC157:AC160" si="97">AC156+$AE$156</f>
        <v>11.166666666666668</v>
      </c>
      <c r="AD157" s="283"/>
      <c r="AE157" s="283"/>
      <c r="AF157" s="58">
        <f t="shared" si="87"/>
        <v>2.7083333333333339</v>
      </c>
      <c r="AG157" s="116">
        <f t="shared" si="0"/>
        <v>0.26568750000000008</v>
      </c>
      <c r="AH157" s="39">
        <v>0.04</v>
      </c>
      <c r="AI157" s="41">
        <f t="shared" si="85"/>
        <v>272.71800000000002</v>
      </c>
      <c r="AJ157" s="41">
        <f t="shared" si="94"/>
        <v>63.36438972000002</v>
      </c>
      <c r="AK157" s="121">
        <f t="shared" si="86"/>
        <v>-2645.029960980818</v>
      </c>
      <c r="AL157" s="154">
        <v>1882.291666666667</v>
      </c>
      <c r="AM157" s="41">
        <f t="shared" si="88"/>
        <v>-426.65590459415125</v>
      </c>
      <c r="AN157" s="42">
        <f t="shared" si="84"/>
        <v>-1155.5264082758265</v>
      </c>
      <c r="AO157" s="42">
        <f t="shared" si="89"/>
        <v>60811.526408275829</v>
      </c>
      <c r="AP157" s="176">
        <f t="shared" si="93"/>
        <v>-1155.5264082758265</v>
      </c>
      <c r="AQ157" s="180"/>
    </row>
    <row r="158" spans="21:43" x14ac:dyDescent="0.25">
      <c r="U158" s="280"/>
      <c r="V158" s="72">
        <f>V156*3</f>
        <v>66</v>
      </c>
      <c r="W158" s="76">
        <f t="shared" si="95"/>
        <v>1044</v>
      </c>
      <c r="X158" s="37">
        <v>136</v>
      </c>
      <c r="Y158" s="47">
        <v>3</v>
      </c>
      <c r="Z158" s="83">
        <v>-2.6549999999999998</v>
      </c>
      <c r="AA158" s="96">
        <f>AA160*3</f>
        <v>-1</v>
      </c>
      <c r="AB158" s="89">
        <f t="shared" si="96"/>
        <v>-1</v>
      </c>
      <c r="AC158" s="40">
        <f t="shared" si="97"/>
        <v>13.875000000000002</v>
      </c>
      <c r="AD158" s="283"/>
      <c r="AE158" s="283"/>
      <c r="AF158" s="58">
        <f t="shared" si="87"/>
        <v>2.7083333333333339</v>
      </c>
      <c r="AG158" s="116">
        <f t="shared" si="0"/>
        <v>0.26568750000000008</v>
      </c>
      <c r="AH158" s="39">
        <v>0.04</v>
      </c>
      <c r="AI158" s="41">
        <f t="shared" si="85"/>
        <v>272.71800000000002</v>
      </c>
      <c r="AJ158" s="41">
        <f t="shared" si="94"/>
        <v>97.82821635750004</v>
      </c>
      <c r="AK158" s="121">
        <f t="shared" si="86"/>
        <v>3188.1876091216914</v>
      </c>
      <c r="AL158" s="154">
        <v>1882.291666666667</v>
      </c>
      <c r="AM158" s="41">
        <f t="shared" si="88"/>
        <v>5441.0254921458582</v>
      </c>
      <c r="AN158" s="42">
        <f t="shared" si="84"/>
        <v>14736.110707895035</v>
      </c>
      <c r="AO158" s="42">
        <f t="shared" si="89"/>
        <v>44919.889292104963</v>
      </c>
      <c r="AP158" s="176">
        <f t="shared" si="93"/>
        <v>14736.110707895035</v>
      </c>
      <c r="AQ158" s="180"/>
    </row>
    <row r="159" spans="21:43" x14ac:dyDescent="0.25">
      <c r="U159" s="280"/>
      <c r="V159" s="72">
        <f>V156*4</f>
        <v>88</v>
      </c>
      <c r="W159" s="72">
        <f t="shared" si="95"/>
        <v>1066</v>
      </c>
      <c r="X159" s="37">
        <v>137</v>
      </c>
      <c r="Y159" s="47">
        <v>4</v>
      </c>
      <c r="Z159" s="83">
        <v>-1.7699999999999998</v>
      </c>
      <c r="AA159" s="96">
        <f>AA160*2</f>
        <v>-0.66666666666666663</v>
      </c>
      <c r="AB159" s="89">
        <f t="shared" si="96"/>
        <v>-0.66666666666666663</v>
      </c>
      <c r="AC159" s="40">
        <f t="shared" si="97"/>
        <v>16.583333333333336</v>
      </c>
      <c r="AD159" s="283"/>
      <c r="AE159" s="283"/>
      <c r="AF159" s="58">
        <f t="shared" si="87"/>
        <v>2.7083333333333339</v>
      </c>
      <c r="AG159" s="116">
        <f t="shared" si="0"/>
        <v>0.26568750000000008</v>
      </c>
      <c r="AH159" s="39">
        <v>0.04</v>
      </c>
      <c r="AI159" s="41">
        <f t="shared" si="85"/>
        <v>272.71800000000002</v>
      </c>
      <c r="AJ159" s="41">
        <f t="shared" si="94"/>
        <v>139.74678087000004</v>
      </c>
      <c r="AK159" s="121">
        <f t="shared" si="86"/>
        <v>6683.1214442452556</v>
      </c>
      <c r="AL159" s="154">
        <v>1882.291666666667</v>
      </c>
      <c r="AM159" s="152">
        <f t="shared" si="88"/>
        <v>8977.8778917819218</v>
      </c>
      <c r="AN159" s="42">
        <f t="shared" si="84"/>
        <v>24315.085956909377</v>
      </c>
      <c r="AO159" s="42">
        <f t="shared" si="89"/>
        <v>35340.914043090626</v>
      </c>
      <c r="AP159" s="176">
        <f t="shared" si="93"/>
        <v>24315.085956909377</v>
      </c>
      <c r="AQ159" s="180"/>
    </row>
    <row r="160" spans="21:43" x14ac:dyDescent="0.25">
      <c r="U160" s="280"/>
      <c r="V160" s="72">
        <f>V156*5</f>
        <v>110</v>
      </c>
      <c r="W160" s="74">
        <f t="shared" si="95"/>
        <v>1088</v>
      </c>
      <c r="X160" s="37">
        <v>138</v>
      </c>
      <c r="Y160" s="47">
        <v>5</v>
      </c>
      <c r="Z160" s="83">
        <v>-0.8849999999999999</v>
      </c>
      <c r="AA160" s="96">
        <f>AA155/6</f>
        <v>-0.33333333333333331</v>
      </c>
      <c r="AB160" s="89">
        <f t="shared" si="96"/>
        <v>-0.33333333333333331</v>
      </c>
      <c r="AC160" s="40">
        <f t="shared" si="97"/>
        <v>19.291666666666668</v>
      </c>
      <c r="AD160" s="283"/>
      <c r="AE160" s="283"/>
      <c r="AF160" s="58">
        <f t="shared" si="87"/>
        <v>2.7083333333333321</v>
      </c>
      <c r="AG160" s="116">
        <f t="shared" si="0"/>
        <v>0.26568749999999991</v>
      </c>
      <c r="AH160" s="39">
        <v>0.04</v>
      </c>
      <c r="AI160" s="41">
        <f t="shared" si="85"/>
        <v>272.71800000000002</v>
      </c>
      <c r="AJ160" s="41">
        <f t="shared" si="94"/>
        <v>189.12008325750006</v>
      </c>
      <c r="AK160" s="121">
        <f t="shared" si="86"/>
        <v>5276.5136865035411</v>
      </c>
      <c r="AL160" s="154">
        <v>1882.2916666666658</v>
      </c>
      <c r="AM160" s="41">
        <f t="shared" si="88"/>
        <v>7620.6434364277075</v>
      </c>
      <c r="AN160" s="42">
        <f t="shared" si="84"/>
        <v>20639.242640325032</v>
      </c>
      <c r="AO160" s="42">
        <f t="shared" si="89"/>
        <v>39016.757359674972</v>
      </c>
      <c r="AP160" s="176">
        <f t="shared" si="93"/>
        <v>20639.242640325032</v>
      </c>
      <c r="AQ160" s="180"/>
    </row>
    <row r="161" spans="21:43" ht="15.75" thickBot="1" x14ac:dyDescent="0.3">
      <c r="U161" s="281"/>
      <c r="V161" s="75">
        <v>132</v>
      </c>
      <c r="W161" s="48">
        <f>W155+V161</f>
        <v>1110</v>
      </c>
      <c r="X161" s="49">
        <f>X155+Y161</f>
        <v>139</v>
      </c>
      <c r="Y161" s="50">
        <v>6</v>
      </c>
      <c r="Z161" s="81">
        <v>0</v>
      </c>
      <c r="AA161" s="94">
        <v>0</v>
      </c>
      <c r="AB161" s="93">
        <f t="shared" si="96"/>
        <v>0</v>
      </c>
      <c r="AC161" s="102">
        <f>V161/Y161</f>
        <v>22</v>
      </c>
      <c r="AD161" s="284"/>
      <c r="AE161" s="284"/>
      <c r="AF161" s="64">
        <f t="shared" si="87"/>
        <v>2.7083333333333321</v>
      </c>
      <c r="AG161" s="115">
        <f t="shared" si="0"/>
        <v>0.26568749999999991</v>
      </c>
      <c r="AH161" s="118">
        <v>0.04</v>
      </c>
      <c r="AI161" s="121">
        <f t="shared" si="85"/>
        <v>272.71800000000002</v>
      </c>
      <c r="AJ161" s="119">
        <f t="shared" si="94"/>
        <v>245.94812352000002</v>
      </c>
      <c r="AK161" s="66">
        <f t="shared" si="86"/>
        <v>0</v>
      </c>
      <c r="AL161" s="66">
        <v>1882.2916666666658</v>
      </c>
      <c r="AM161" s="66">
        <f t="shared" si="88"/>
        <v>2400.957790186666</v>
      </c>
      <c r="AN161" s="164">
        <f t="shared" si="84"/>
        <v>6502.5940150888846</v>
      </c>
      <c r="AO161" s="164">
        <f t="shared" si="89"/>
        <v>53153.405984911115</v>
      </c>
      <c r="AP161" s="177">
        <f t="shared" si="93"/>
        <v>6502.5940150888846</v>
      </c>
      <c r="AQ161" s="180"/>
    </row>
    <row r="162" spans="21:43" x14ac:dyDescent="0.25">
      <c r="U162" s="279" t="s">
        <v>63</v>
      </c>
      <c r="V162" s="71">
        <f>V164/3</f>
        <v>4.666666666666667</v>
      </c>
      <c r="W162" s="71">
        <f>$W$161+V162</f>
        <v>1114.6666666666667</v>
      </c>
      <c r="X162" s="45">
        <v>140</v>
      </c>
      <c r="Y162" s="46">
        <v>1</v>
      </c>
      <c r="Z162" s="84">
        <v>-2.4866666666666668</v>
      </c>
      <c r="AA162" s="95">
        <f>AA164/3</f>
        <v>-0.33333333333333331</v>
      </c>
      <c r="AB162" s="91">
        <f>$AB$161+AA162</f>
        <v>-0.33333333333333331</v>
      </c>
      <c r="AC162" s="111">
        <f>AC161+$AE$162</f>
        <v>16.222222222222221</v>
      </c>
      <c r="AD162" s="282">
        <f>AC164-AC161</f>
        <v>-17.333333333333332</v>
      </c>
      <c r="AE162" s="282">
        <f>AD162/3</f>
        <v>-5.7777777777777777</v>
      </c>
      <c r="AF162" s="58">
        <f t="shared" si="87"/>
        <v>-5.7777777777777786</v>
      </c>
      <c r="AG162" s="114">
        <f t="shared" si="0"/>
        <v>-0.56680000000000008</v>
      </c>
      <c r="AH162" s="117">
        <v>0.04</v>
      </c>
      <c r="AI162" s="151">
        <f t="shared" si="85"/>
        <v>272.71800000000002</v>
      </c>
      <c r="AJ162" s="121">
        <f t="shared" si="94"/>
        <v>133.72692074666665</v>
      </c>
      <c r="AK162" s="60">
        <f t="shared" si="86"/>
        <v>4152.8170658534909</v>
      </c>
      <c r="AL162" s="171">
        <v>-4015.5555555555561</v>
      </c>
      <c r="AM162" s="151">
        <f t="shared" si="88"/>
        <v>543.70643104460169</v>
      </c>
      <c r="AN162" s="61">
        <f t="shared" si="84"/>
        <v>-3141.4149349243658</v>
      </c>
      <c r="AO162" s="61">
        <f t="shared" si="89"/>
        <v>62797.414934924367</v>
      </c>
      <c r="AP162" s="176">
        <f t="shared" si="93"/>
        <v>-3141.4149349243658</v>
      </c>
      <c r="AQ162" s="180"/>
    </row>
    <row r="163" spans="21:43" x14ac:dyDescent="0.25">
      <c r="U163" s="280"/>
      <c r="V163" s="72">
        <f>V162*2</f>
        <v>9.3333333333333339</v>
      </c>
      <c r="W163" s="74">
        <f>$W$161+V163</f>
        <v>1119.3333333333333</v>
      </c>
      <c r="X163" s="37">
        <v>141</v>
      </c>
      <c r="Y163" s="47">
        <v>2</v>
      </c>
      <c r="Z163" s="83">
        <v>-3.7300000000000004</v>
      </c>
      <c r="AA163" s="96">
        <f>AA162*2</f>
        <v>-0.66666666666666663</v>
      </c>
      <c r="AB163" s="89">
        <f t="shared" ref="AB163:AB164" si="98">$AB$161+AA163</f>
        <v>-0.66666666666666663</v>
      </c>
      <c r="AC163" s="40">
        <f>AC162+$AE$162</f>
        <v>10.444444444444443</v>
      </c>
      <c r="AD163" s="283"/>
      <c r="AE163" s="283"/>
      <c r="AF163" s="58">
        <f t="shared" si="87"/>
        <v>-5.7777777777777786</v>
      </c>
      <c r="AG163" s="116">
        <f t="shared" si="0"/>
        <v>-0.56680000000000008</v>
      </c>
      <c r="AH163" s="39">
        <v>0.04</v>
      </c>
      <c r="AI163" s="41">
        <f t="shared" si="85"/>
        <v>272.71800000000002</v>
      </c>
      <c r="AJ163" s="41">
        <f t="shared" si="94"/>
        <v>55.433058346666655</v>
      </c>
      <c r="AK163" s="121">
        <f t="shared" si="86"/>
        <v>-3784.2139496198142</v>
      </c>
      <c r="AL163" s="41">
        <v>-4015.5555555555561</v>
      </c>
      <c r="AM163" s="60">
        <f t="shared" si="88"/>
        <v>-7471.6184468287038</v>
      </c>
      <c r="AN163" s="42">
        <f t="shared" si="84"/>
        <v>43169.351026121403</v>
      </c>
      <c r="AO163" s="42">
        <f t="shared" si="89"/>
        <v>16486.648973878597</v>
      </c>
      <c r="AP163" s="176">
        <f t="shared" si="93"/>
        <v>43169.351026121403</v>
      </c>
      <c r="AQ163" s="180"/>
    </row>
    <row r="164" spans="21:43" ht="15.75" thickBot="1" x14ac:dyDescent="0.3">
      <c r="U164" s="281"/>
      <c r="V164" s="75">
        <v>14</v>
      </c>
      <c r="W164" s="48">
        <f>W161+V164</f>
        <v>1124</v>
      </c>
      <c r="X164" s="49">
        <f>X161+Y164</f>
        <v>142</v>
      </c>
      <c r="Y164" s="50">
        <v>3</v>
      </c>
      <c r="Z164" s="81">
        <v>-3.73</v>
      </c>
      <c r="AA164" s="94">
        <v>-1</v>
      </c>
      <c r="AB164" s="90">
        <f t="shared" si="98"/>
        <v>-1</v>
      </c>
      <c r="AC164" s="102">
        <f>V164/Y164</f>
        <v>4.666666666666667</v>
      </c>
      <c r="AD164" s="284"/>
      <c r="AE164" s="284"/>
      <c r="AF164" s="109">
        <f t="shared" si="87"/>
        <v>-5.7777777777777759</v>
      </c>
      <c r="AG164" s="115">
        <f t="shared" si="0"/>
        <v>-0.56679999999999986</v>
      </c>
      <c r="AH164" s="118">
        <v>0.04</v>
      </c>
      <c r="AI164" s="121">
        <f t="shared" si="85"/>
        <v>272.71800000000002</v>
      </c>
      <c r="AJ164" s="119">
        <f t="shared" si="94"/>
        <v>11.066536320000003</v>
      </c>
      <c r="AK164" s="121">
        <f t="shared" si="86"/>
        <v>-3784.213949619812</v>
      </c>
      <c r="AL164" s="171">
        <v>-4015.5555555555543</v>
      </c>
      <c r="AM164" s="152">
        <f t="shared" si="88"/>
        <v>-7515.9849688553659</v>
      </c>
      <c r="AN164" s="164">
        <f t="shared" si="84"/>
        <v>43425.690931164325</v>
      </c>
      <c r="AO164" s="164">
        <f t="shared" si="89"/>
        <v>16230.309068835675</v>
      </c>
      <c r="AP164" s="177">
        <f t="shared" si="93"/>
        <v>43425.690931164325</v>
      </c>
      <c r="AQ164" s="180"/>
    </row>
    <row r="165" spans="21:43" ht="15.75" thickBot="1" x14ac:dyDescent="0.3">
      <c r="U165" s="52" t="s">
        <v>64</v>
      </c>
      <c r="V165" s="73">
        <v>5</v>
      </c>
      <c r="W165" s="53">
        <f t="shared" ref="W165" si="99">W164+V165</f>
        <v>1129</v>
      </c>
      <c r="X165" s="54">
        <f t="shared" ref="X165" si="100">X164+Y165</f>
        <v>143</v>
      </c>
      <c r="Y165" s="55">
        <v>1</v>
      </c>
      <c r="Z165" s="79">
        <v>0</v>
      </c>
      <c r="AA165" s="101">
        <v>0</v>
      </c>
      <c r="AB165" s="107">
        <f>$AB$164+AA165</f>
        <v>-1</v>
      </c>
      <c r="AC165" s="106">
        <f>V165/Y165</f>
        <v>5</v>
      </c>
      <c r="AD165" s="106">
        <f>AC165-AC161</f>
        <v>-17</v>
      </c>
      <c r="AE165" s="106"/>
      <c r="AF165" s="68">
        <f t="shared" si="87"/>
        <v>0.33333333333333304</v>
      </c>
      <c r="AG165" s="65">
        <f t="shared" si="0"/>
        <v>3.2699999999999972E-2</v>
      </c>
      <c r="AH165" s="69">
        <v>0.04</v>
      </c>
      <c r="AI165" s="153">
        <f t="shared" si="85"/>
        <v>272.71800000000002</v>
      </c>
      <c r="AJ165" s="66">
        <f t="shared" si="94"/>
        <v>12.703932000000002</v>
      </c>
      <c r="AK165" s="153">
        <f t="shared" si="86"/>
        <v>0</v>
      </c>
      <c r="AL165" s="175">
        <v>231.66666666666646</v>
      </c>
      <c r="AM165" s="169">
        <f t="shared" si="88"/>
        <v>517.08859866666648</v>
      </c>
      <c r="AN165" s="120">
        <f t="shared" si="84"/>
        <v>172.36286622222201</v>
      </c>
      <c r="AO165" s="120">
        <f t="shared" si="89"/>
        <v>59483.637133777775</v>
      </c>
      <c r="AP165" s="178">
        <f t="shared" si="93"/>
        <v>172.36286622222201</v>
      </c>
      <c r="AQ165" s="180"/>
    </row>
    <row r="166" spans="21:43" x14ac:dyDescent="0.25">
      <c r="U166" s="279" t="s">
        <v>65</v>
      </c>
      <c r="V166" s="71">
        <f>V169/4</f>
        <v>4.25</v>
      </c>
      <c r="W166" s="78">
        <f>$W$165+V166</f>
        <v>1133.25</v>
      </c>
      <c r="X166" s="45">
        <v>144</v>
      </c>
      <c r="Y166" s="46">
        <v>1</v>
      </c>
      <c r="Z166" s="84">
        <v>2.2574999999999998</v>
      </c>
      <c r="AA166" s="95">
        <f>AA169/4</f>
        <v>0.75</v>
      </c>
      <c r="AB166" s="91">
        <f>$AB$165+AA166</f>
        <v>-0.25</v>
      </c>
      <c r="AC166" s="111">
        <f>AC165+$AE$166</f>
        <v>4.8125</v>
      </c>
      <c r="AD166" s="282">
        <f>AC169-AC165</f>
        <v>-0.75</v>
      </c>
      <c r="AE166" s="282">
        <f>AD166/4</f>
        <v>-0.1875</v>
      </c>
      <c r="AF166" s="62">
        <f t="shared" si="87"/>
        <v>-0.1875</v>
      </c>
      <c r="AG166" s="114">
        <f t="shared" si="0"/>
        <v>-1.839375E-2</v>
      </c>
      <c r="AH166" s="117">
        <v>0.04</v>
      </c>
      <c r="AI166" s="151">
        <f t="shared" si="85"/>
        <v>272.71800000000002</v>
      </c>
      <c r="AJ166" s="121">
        <f t="shared" si="94"/>
        <v>11.769002004375</v>
      </c>
      <c r="AK166" s="152">
        <f t="shared" si="86"/>
        <v>-5272.5938326217502</v>
      </c>
      <c r="AL166" s="171">
        <v>-130.3125</v>
      </c>
      <c r="AM166" s="169">
        <f t="shared" si="88"/>
        <v>-5118.4193306173747</v>
      </c>
      <c r="AN166" s="61">
        <f t="shared" si="84"/>
        <v>959.70362449075776</v>
      </c>
      <c r="AO166" s="61">
        <f t="shared" si="89"/>
        <v>58696.296375509242</v>
      </c>
      <c r="AP166" s="176">
        <f t="shared" si="93"/>
        <v>959.70362449075776</v>
      </c>
      <c r="AQ166" s="180"/>
    </row>
    <row r="167" spans="21:43" x14ac:dyDescent="0.25">
      <c r="U167" s="280"/>
      <c r="V167" s="72">
        <f>V166*2</f>
        <v>8.5</v>
      </c>
      <c r="W167" s="76">
        <f t="shared" ref="W167:W168" si="101">$W$165+V167</f>
        <v>1137.5</v>
      </c>
      <c r="X167" s="37">
        <v>145</v>
      </c>
      <c r="Y167" s="47">
        <v>2</v>
      </c>
      <c r="Z167" s="83">
        <v>4.5149999999999997</v>
      </c>
      <c r="AA167" s="96">
        <f>AA166*2</f>
        <v>1.5</v>
      </c>
      <c r="AB167" s="89">
        <f t="shared" ref="AB167:AB169" si="102">$AB$165+AA167</f>
        <v>0.5</v>
      </c>
      <c r="AC167" s="40">
        <f t="shared" ref="AC167:AC168" si="103">AC166+$AE$166</f>
        <v>4.625</v>
      </c>
      <c r="AD167" s="283"/>
      <c r="AE167" s="283"/>
      <c r="AF167" s="58">
        <f t="shared" si="87"/>
        <v>-0.1875</v>
      </c>
      <c r="AG167" s="116">
        <f t="shared" si="0"/>
        <v>-1.839375E-2</v>
      </c>
      <c r="AH167" s="39">
        <v>0.04</v>
      </c>
      <c r="AI167" s="41">
        <f t="shared" si="85"/>
        <v>272.71800000000002</v>
      </c>
      <c r="AJ167" s="41">
        <f t="shared" si="94"/>
        <v>10.869801817500001</v>
      </c>
      <c r="AK167" s="121">
        <f t="shared" si="86"/>
        <v>6685.5588151509282</v>
      </c>
      <c r="AL167" s="154">
        <v>-130.3125</v>
      </c>
      <c r="AM167" s="41">
        <f t="shared" si="88"/>
        <v>6838.8341169684281</v>
      </c>
      <c r="AN167" s="42">
        <f t="shared" si="84"/>
        <v>-1282.2813969315803</v>
      </c>
      <c r="AO167" s="42">
        <f t="shared" si="89"/>
        <v>60938.281396931583</v>
      </c>
      <c r="AP167" s="176">
        <f t="shared" si="93"/>
        <v>-1282.2813969315803</v>
      </c>
      <c r="AQ167" s="180"/>
    </row>
    <row r="168" spans="21:43" x14ac:dyDescent="0.25">
      <c r="U168" s="280"/>
      <c r="V168" s="72">
        <f>V166*3</f>
        <v>12.75</v>
      </c>
      <c r="W168" s="72">
        <f t="shared" si="101"/>
        <v>1141.75</v>
      </c>
      <c r="X168" s="37">
        <v>146</v>
      </c>
      <c r="Y168" s="47">
        <v>3</v>
      </c>
      <c r="Z168" s="83">
        <v>6.7724999999999991</v>
      </c>
      <c r="AA168" s="96">
        <f>AA166*3</f>
        <v>2.25</v>
      </c>
      <c r="AB168" s="89">
        <f t="shared" si="102"/>
        <v>1.25</v>
      </c>
      <c r="AC168" s="105">
        <f t="shared" si="103"/>
        <v>4.4375</v>
      </c>
      <c r="AD168" s="283"/>
      <c r="AE168" s="283"/>
      <c r="AF168" s="58">
        <f t="shared" si="87"/>
        <v>-0.1875</v>
      </c>
      <c r="AG168" s="116">
        <f t="shared" si="0"/>
        <v>-1.839375E-2</v>
      </c>
      <c r="AH168" s="39">
        <v>0.04</v>
      </c>
      <c r="AI168" s="41">
        <f t="shared" si="85"/>
        <v>272.71800000000002</v>
      </c>
      <c r="AJ168" s="41">
        <f t="shared" si="94"/>
        <v>10.006331439375002</v>
      </c>
      <c r="AK168" s="121">
        <f t="shared" si="86"/>
        <v>-3204.5804178016365</v>
      </c>
      <c r="AL168" s="154">
        <v>-130.3125</v>
      </c>
      <c r="AM168" s="121">
        <f t="shared" si="88"/>
        <v>-3052.1685863622615</v>
      </c>
      <c r="AN168" s="42">
        <f t="shared" si="84"/>
        <v>572.28160994292398</v>
      </c>
      <c r="AO168" s="42">
        <f t="shared" si="89"/>
        <v>59083.718390057074</v>
      </c>
      <c r="AP168" s="176">
        <f t="shared" si="93"/>
        <v>572.28160994292398</v>
      </c>
      <c r="AQ168" s="180"/>
    </row>
    <row r="169" spans="21:43" ht="15.75" thickBot="1" x14ac:dyDescent="0.3">
      <c r="U169" s="281"/>
      <c r="V169" s="75">
        <v>17</v>
      </c>
      <c r="W169" s="48">
        <f>W165+V169</f>
        <v>1146</v>
      </c>
      <c r="X169" s="49">
        <f>X165+Y169</f>
        <v>147</v>
      </c>
      <c r="Y169" s="50">
        <v>4</v>
      </c>
      <c r="Z169" s="81">
        <v>9.0299999999999994</v>
      </c>
      <c r="AA169" s="94">
        <v>3</v>
      </c>
      <c r="AB169" s="93">
        <f t="shared" si="102"/>
        <v>2</v>
      </c>
      <c r="AC169" s="102">
        <f>V169/Y169</f>
        <v>4.25</v>
      </c>
      <c r="AD169" s="284"/>
      <c r="AE169" s="284"/>
      <c r="AF169" s="109">
        <f t="shared" si="87"/>
        <v>-0.1875</v>
      </c>
      <c r="AG169" s="115">
        <f t="shared" si="0"/>
        <v>-1.839375E-2</v>
      </c>
      <c r="AH169" s="118">
        <v>0.04</v>
      </c>
      <c r="AI169" s="121">
        <f t="shared" si="85"/>
        <v>272.71800000000002</v>
      </c>
      <c r="AJ169" s="119">
        <f t="shared" si="94"/>
        <v>9.1785908700000007</v>
      </c>
      <c r="AK169" s="121">
        <f t="shared" si="86"/>
        <v>-2622.2056456842988</v>
      </c>
      <c r="AL169" s="66">
        <v>-130.3125</v>
      </c>
      <c r="AM169" s="66">
        <f t="shared" si="88"/>
        <v>-2470.6215548142986</v>
      </c>
      <c r="AN169" s="164">
        <f t="shared" si="84"/>
        <v>463.24154152768097</v>
      </c>
      <c r="AO169" s="164">
        <f t="shared" si="89"/>
        <v>59192.758458472323</v>
      </c>
      <c r="AP169" s="177">
        <f t="shared" si="93"/>
        <v>463.24154152768097</v>
      </c>
      <c r="AQ169" s="180"/>
    </row>
    <row r="170" spans="21:43" x14ac:dyDescent="0.25">
      <c r="U170" s="279" t="s">
        <v>66</v>
      </c>
      <c r="V170" s="71">
        <f>V172/3</f>
        <v>6.666666666666667</v>
      </c>
      <c r="W170" s="78">
        <f>$W$169+V170</f>
        <v>1152.6666666666667</v>
      </c>
      <c r="X170" s="45">
        <v>148</v>
      </c>
      <c r="Y170" s="46">
        <v>1</v>
      </c>
      <c r="Z170" s="84">
        <v>6.02</v>
      </c>
      <c r="AA170" s="95">
        <f>AA171*2</f>
        <v>2</v>
      </c>
      <c r="AB170" s="91">
        <f>$AB$169+AA170</f>
        <v>4</v>
      </c>
      <c r="AC170" s="111">
        <f>AC169+$AE$170</f>
        <v>5.0555555555555554</v>
      </c>
      <c r="AD170" s="282">
        <f>AC172-AC169</f>
        <v>2.416666666666667</v>
      </c>
      <c r="AE170" s="282">
        <f>AD170/3</f>
        <v>0.80555555555555569</v>
      </c>
      <c r="AF170" s="62">
        <f t="shared" si="87"/>
        <v>0.80555555555555536</v>
      </c>
      <c r="AG170" s="114">
        <f t="shared" si="0"/>
        <v>7.9024999999999984E-2</v>
      </c>
      <c r="AH170" s="117">
        <v>0.04</v>
      </c>
      <c r="AI170" s="151">
        <f t="shared" si="85"/>
        <v>272.71800000000002</v>
      </c>
      <c r="AJ170" s="121">
        <f t="shared" si="94"/>
        <v>12.987809986666667</v>
      </c>
      <c r="AK170" s="151">
        <f t="shared" si="86"/>
        <v>1773.7407686983656</v>
      </c>
      <c r="AL170" s="174">
        <v>559.86111111111097</v>
      </c>
      <c r="AM170" s="151">
        <f t="shared" si="88"/>
        <v>2619.3076897961432</v>
      </c>
      <c r="AN170" s="61">
        <f t="shared" si="84"/>
        <v>2109.9978612246705</v>
      </c>
      <c r="AO170" s="61">
        <f t="shared" si="89"/>
        <v>57546.00213877533</v>
      </c>
      <c r="AP170" s="176">
        <f t="shared" si="93"/>
        <v>2109.9978612246705</v>
      </c>
      <c r="AQ170" s="180"/>
    </row>
    <row r="171" spans="21:43" x14ac:dyDescent="0.25">
      <c r="U171" s="280"/>
      <c r="V171" s="72">
        <f>V170*2</f>
        <v>13.333333333333334</v>
      </c>
      <c r="W171" s="72">
        <f>$W$169+V171</f>
        <v>1159.3333333333333</v>
      </c>
      <c r="X171" s="37">
        <v>149</v>
      </c>
      <c r="Y171" s="47">
        <v>2</v>
      </c>
      <c r="Z171" s="83">
        <v>3.01</v>
      </c>
      <c r="AA171" s="96">
        <f>AA169/3</f>
        <v>1</v>
      </c>
      <c r="AB171" s="89">
        <f t="shared" ref="AB171:AB172" si="104">$AB$169+AA171</f>
        <v>3</v>
      </c>
      <c r="AC171" s="40">
        <f>AC170+$AE$170</f>
        <v>5.8611111111111107</v>
      </c>
      <c r="AD171" s="283"/>
      <c r="AE171" s="283"/>
      <c r="AF171" s="58">
        <f t="shared" si="87"/>
        <v>0.80555555555555536</v>
      </c>
      <c r="AG171" s="116">
        <f t="shared" si="0"/>
        <v>7.9024999999999984E-2</v>
      </c>
      <c r="AH171" s="39">
        <v>0.04</v>
      </c>
      <c r="AI171" s="41">
        <f t="shared" si="85"/>
        <v>272.71800000000002</v>
      </c>
      <c r="AJ171" s="41">
        <f t="shared" si="94"/>
        <v>17.456535696666666</v>
      </c>
      <c r="AK171" s="121">
        <f t="shared" si="86"/>
        <v>-894.60498342034873</v>
      </c>
      <c r="AL171" s="154">
        <v>559.86111111111097</v>
      </c>
      <c r="AM171" s="60">
        <f t="shared" si="88"/>
        <v>-44.569336612571078</v>
      </c>
      <c r="AN171" s="42">
        <f t="shared" si="84"/>
        <v>-35.903076715682246</v>
      </c>
      <c r="AO171" s="42">
        <f t="shared" si="89"/>
        <v>59691.90307671568</v>
      </c>
      <c r="AP171" s="176">
        <f t="shared" si="93"/>
        <v>-35.903076715682246</v>
      </c>
      <c r="AQ171" s="180"/>
    </row>
    <row r="172" spans="21:43" ht="15.75" thickBot="1" x14ac:dyDescent="0.3">
      <c r="U172" s="281"/>
      <c r="V172" s="75">
        <v>20</v>
      </c>
      <c r="W172" s="48">
        <f>W169+V172</f>
        <v>1166</v>
      </c>
      <c r="X172" s="49">
        <f>X169+Y172</f>
        <v>150</v>
      </c>
      <c r="Y172" s="50">
        <v>3</v>
      </c>
      <c r="Z172" s="81">
        <v>0</v>
      </c>
      <c r="AA172" s="94">
        <v>0</v>
      </c>
      <c r="AB172" s="93">
        <f t="shared" si="104"/>
        <v>2</v>
      </c>
      <c r="AC172" s="102">
        <f>V172/Y172</f>
        <v>6.666666666666667</v>
      </c>
      <c r="AD172" s="284"/>
      <c r="AE172" s="284"/>
      <c r="AF172" s="109">
        <f t="shared" si="87"/>
        <v>0.80555555555555625</v>
      </c>
      <c r="AG172" s="115">
        <f t="shared" si="0"/>
        <v>7.9025000000000067E-2</v>
      </c>
      <c r="AH172" s="118">
        <v>0.04</v>
      </c>
      <c r="AI172" s="66">
        <f t="shared" si="85"/>
        <v>272.71800000000002</v>
      </c>
      <c r="AJ172" s="119">
        <f t="shared" si="94"/>
        <v>22.584768000000004</v>
      </c>
      <c r="AK172" s="121">
        <f t="shared" si="86"/>
        <v>0</v>
      </c>
      <c r="AL172" s="66">
        <v>559.86111111111154</v>
      </c>
      <c r="AM172" s="152">
        <f t="shared" si="88"/>
        <v>855.16387911111156</v>
      </c>
      <c r="AN172" s="164">
        <f t="shared" si="84"/>
        <v>688.88201372839603</v>
      </c>
      <c r="AO172" s="164">
        <f t="shared" si="89"/>
        <v>58967.117986271602</v>
      </c>
      <c r="AP172" s="177">
        <f t="shared" si="93"/>
        <v>688.88201372839603</v>
      </c>
      <c r="AQ172" s="180"/>
    </row>
    <row r="173" spans="21:43" x14ac:dyDescent="0.25">
      <c r="U173" s="279" t="s">
        <v>67</v>
      </c>
      <c r="V173" s="71">
        <f>V176/4</f>
        <v>2.25</v>
      </c>
      <c r="W173" s="71">
        <f>$W$172+V173</f>
        <v>1168.25</v>
      </c>
      <c r="X173" s="45">
        <v>151</v>
      </c>
      <c r="Y173" s="46">
        <v>1</v>
      </c>
      <c r="Z173" s="84">
        <v>1.6475</v>
      </c>
      <c r="AA173" s="95">
        <f>AA176/4</f>
        <v>0.25</v>
      </c>
      <c r="AB173" s="91">
        <f>$AB$172+AA173</f>
        <v>2.25</v>
      </c>
      <c r="AC173" s="111">
        <f>AC172+$AE$173</f>
        <v>5.5625</v>
      </c>
      <c r="AD173" s="282">
        <f>AC176-AC172</f>
        <v>-4.416666666666667</v>
      </c>
      <c r="AE173" s="282">
        <f>AD173/4</f>
        <v>-1.1041666666666667</v>
      </c>
      <c r="AF173" s="62">
        <f t="shared" si="87"/>
        <v>-1.104166666666667</v>
      </c>
      <c r="AG173" s="114">
        <f t="shared" si="0"/>
        <v>-0.10831875000000003</v>
      </c>
      <c r="AH173" s="117">
        <v>0.04</v>
      </c>
      <c r="AI173" s="60">
        <f t="shared" si="85"/>
        <v>272.71800000000002</v>
      </c>
      <c r="AJ173" s="121">
        <f t="shared" si="94"/>
        <v>15.723100839375002</v>
      </c>
      <c r="AK173" s="151">
        <f t="shared" si="86"/>
        <v>-6797.9032857135098</v>
      </c>
      <c r="AL173" s="174">
        <v>-767.39583333333348</v>
      </c>
      <c r="AM173" s="169">
        <f t="shared" si="88"/>
        <v>-7276.8580182074675</v>
      </c>
      <c r="AN173" s="61">
        <f t="shared" si="84"/>
        <v>8034.8640617707479</v>
      </c>
      <c r="AO173" s="61">
        <f t="shared" si="89"/>
        <v>51621.13593822925</v>
      </c>
      <c r="AP173" s="176">
        <f t="shared" si="93"/>
        <v>8034.8640617707479</v>
      </c>
      <c r="AQ173" s="180"/>
    </row>
    <row r="174" spans="21:43" x14ac:dyDescent="0.25">
      <c r="U174" s="280"/>
      <c r="V174" s="72">
        <f>V173*2</f>
        <v>4.5</v>
      </c>
      <c r="W174" s="72">
        <f t="shared" ref="W174:W175" si="105">$W$172+V174</f>
        <v>1170.5</v>
      </c>
      <c r="X174" s="37">
        <v>152</v>
      </c>
      <c r="Y174" s="47">
        <v>2</v>
      </c>
      <c r="Z174" s="83">
        <v>3.2949999999999999</v>
      </c>
      <c r="AA174" s="96">
        <f>AA173*2</f>
        <v>0.5</v>
      </c>
      <c r="AB174" s="89">
        <f t="shared" ref="AB174:AB176" si="106">$AB$172+AA174</f>
        <v>2.5</v>
      </c>
      <c r="AC174" s="40">
        <f t="shared" ref="AC174:AC175" si="107">AC173+$AE$173</f>
        <v>4.458333333333333</v>
      </c>
      <c r="AD174" s="283"/>
      <c r="AE174" s="283"/>
      <c r="AF174" s="58">
        <f t="shared" si="87"/>
        <v>-1.104166666666667</v>
      </c>
      <c r="AG174" s="116">
        <f t="shared" si="0"/>
        <v>-0.10831875000000003</v>
      </c>
      <c r="AH174" s="39">
        <v>0.04</v>
      </c>
      <c r="AI174" s="41">
        <f t="shared" si="85"/>
        <v>272.71800000000002</v>
      </c>
      <c r="AJ174" s="41">
        <f t="shared" si="94"/>
        <v>10.100508157499998</v>
      </c>
      <c r="AK174" s="121">
        <f t="shared" si="86"/>
        <v>1041.8260134095931</v>
      </c>
      <c r="AL174" s="154">
        <v>-767.39583333333348</v>
      </c>
      <c r="AM174" s="121">
        <f t="shared" si="88"/>
        <v>557.24868823375959</v>
      </c>
      <c r="AN174" s="42">
        <f t="shared" si="84"/>
        <v>-615.29542659144306</v>
      </c>
      <c r="AO174" s="42">
        <f t="shared" si="89"/>
        <v>60271.295426591445</v>
      </c>
      <c r="AP174" s="176">
        <f t="shared" si="93"/>
        <v>-615.29542659144306</v>
      </c>
      <c r="AQ174" s="180"/>
    </row>
    <row r="175" spans="21:43" x14ac:dyDescent="0.25">
      <c r="U175" s="280"/>
      <c r="V175" s="72">
        <f>V173*3</f>
        <v>6.75</v>
      </c>
      <c r="W175" s="74">
        <f t="shared" si="105"/>
        <v>1172.75</v>
      </c>
      <c r="X175" s="37">
        <v>153</v>
      </c>
      <c r="Y175" s="47">
        <v>3</v>
      </c>
      <c r="Z175" s="83">
        <v>4.9424999999999999</v>
      </c>
      <c r="AA175" s="96">
        <f>AA173*3</f>
        <v>0.75</v>
      </c>
      <c r="AB175" s="89">
        <f t="shared" si="106"/>
        <v>2.75</v>
      </c>
      <c r="AC175" s="105">
        <f t="shared" si="107"/>
        <v>3.3541666666666661</v>
      </c>
      <c r="AD175" s="283"/>
      <c r="AE175" s="283"/>
      <c r="AF175" s="58">
        <f t="shared" si="87"/>
        <v>-1.104166666666667</v>
      </c>
      <c r="AG175" s="116">
        <f t="shared" si="0"/>
        <v>-0.10831875000000003</v>
      </c>
      <c r="AH175" s="39">
        <v>0.04</v>
      </c>
      <c r="AI175" s="41">
        <f t="shared" si="85"/>
        <v>272.71800000000002</v>
      </c>
      <c r="AJ175" s="41">
        <f t="shared" si="94"/>
        <v>5.7169899543749985</v>
      </c>
      <c r="AK175" s="121">
        <f t="shared" si="86"/>
        <v>6638.2361947594482</v>
      </c>
      <c r="AL175" s="41">
        <v>-767.39583333333348</v>
      </c>
      <c r="AM175" s="41">
        <f t="shared" si="88"/>
        <v>6149.2753513804892</v>
      </c>
      <c r="AN175" s="42">
        <f t="shared" si="84"/>
        <v>-6789.824867149292</v>
      </c>
      <c r="AO175" s="42">
        <f t="shared" si="89"/>
        <v>66445.824867149291</v>
      </c>
      <c r="AP175" s="176">
        <f t="shared" si="93"/>
        <v>-6789.824867149292</v>
      </c>
      <c r="AQ175" s="180"/>
    </row>
    <row r="176" spans="21:43" ht="15.75" thickBot="1" x14ac:dyDescent="0.3">
      <c r="U176" s="281"/>
      <c r="V176" s="75">
        <v>9</v>
      </c>
      <c r="W176" s="48">
        <f>W172+V176</f>
        <v>1175</v>
      </c>
      <c r="X176" s="49">
        <f>X172+Y176</f>
        <v>154</v>
      </c>
      <c r="Y176" s="50">
        <v>4</v>
      </c>
      <c r="Z176" s="81">
        <v>6.59</v>
      </c>
      <c r="AA176" s="94">
        <v>1</v>
      </c>
      <c r="AB176" s="93">
        <f t="shared" si="106"/>
        <v>3</v>
      </c>
      <c r="AC176" s="102">
        <f>V176/Y176</f>
        <v>2.25</v>
      </c>
      <c r="AD176" s="284"/>
      <c r="AE176" s="284"/>
      <c r="AF176" s="64">
        <f t="shared" si="87"/>
        <v>-1.1041666666666661</v>
      </c>
      <c r="AG176" s="115">
        <f t="shared" si="0"/>
        <v>-0.10831874999999995</v>
      </c>
      <c r="AH176" s="118">
        <v>0.04</v>
      </c>
      <c r="AI176" s="66">
        <f t="shared" si="85"/>
        <v>272.71800000000002</v>
      </c>
      <c r="AJ176" s="119">
        <f t="shared" si="94"/>
        <v>2.5725462300000004</v>
      </c>
      <c r="AK176" s="66">
        <f t="shared" si="86"/>
        <v>-2059.18193334331</v>
      </c>
      <c r="AL176" s="173">
        <v>-767.39583333333292</v>
      </c>
      <c r="AM176" s="66">
        <f t="shared" si="88"/>
        <v>-2551.287220446643</v>
      </c>
      <c r="AN176" s="164">
        <f t="shared" si="84"/>
        <v>2817.0463059098333</v>
      </c>
      <c r="AO176" s="164">
        <f t="shared" si="89"/>
        <v>56838.953694090167</v>
      </c>
      <c r="AP176" s="177">
        <f t="shared" si="93"/>
        <v>2817.0463059098333</v>
      </c>
      <c r="AQ176" s="180"/>
    </row>
    <row r="177" spans="21:43" x14ac:dyDescent="0.25">
      <c r="U177" s="279" t="s">
        <v>68</v>
      </c>
      <c r="V177" s="71">
        <f>V180/4</f>
        <v>7</v>
      </c>
      <c r="W177" s="78">
        <f>$W$176+V177</f>
        <v>1182</v>
      </c>
      <c r="X177" s="45">
        <v>155</v>
      </c>
      <c r="Y177" s="46">
        <v>1</v>
      </c>
      <c r="Z177" s="84">
        <v>4.9424999999999999</v>
      </c>
      <c r="AA177" s="95">
        <f>AA179*3</f>
        <v>0.75</v>
      </c>
      <c r="AB177" s="91">
        <f>$AB$176+AA177</f>
        <v>3.75</v>
      </c>
      <c r="AC177" s="111">
        <f>AC176+$AE$177</f>
        <v>3.4375</v>
      </c>
      <c r="AD177" s="282">
        <f>AC180-AC176</f>
        <v>4.75</v>
      </c>
      <c r="AE177" s="282">
        <f>AD177/4</f>
        <v>1.1875</v>
      </c>
      <c r="AF177" s="58">
        <f t="shared" si="87"/>
        <v>1.1875</v>
      </c>
      <c r="AG177" s="114">
        <f t="shared" si="0"/>
        <v>0.11649375000000001</v>
      </c>
      <c r="AH177" s="117">
        <v>0.04</v>
      </c>
      <c r="AI177" s="60">
        <f t="shared" si="85"/>
        <v>272.71800000000002</v>
      </c>
      <c r="AJ177" s="121">
        <f t="shared" si="94"/>
        <v>6.0045928593750002</v>
      </c>
      <c r="AK177" s="152">
        <f t="shared" si="86"/>
        <v>6638.2361947594482</v>
      </c>
      <c r="AL177" s="171">
        <v>825.3125</v>
      </c>
      <c r="AM177" s="169">
        <f t="shared" si="88"/>
        <v>7742.2712876188234</v>
      </c>
      <c r="AN177" s="61">
        <f t="shared" si="84"/>
        <v>9193.9471540473533</v>
      </c>
      <c r="AO177" s="61">
        <f t="shared" si="89"/>
        <v>50462.052845952647</v>
      </c>
      <c r="AP177" s="176">
        <f t="shared" si="93"/>
        <v>9193.9471540473533</v>
      </c>
      <c r="AQ177" s="180"/>
    </row>
    <row r="178" spans="21:43" x14ac:dyDescent="0.25">
      <c r="U178" s="280"/>
      <c r="V178" s="72">
        <f>V177*2</f>
        <v>14</v>
      </c>
      <c r="W178" s="72">
        <f t="shared" ref="W178:W179" si="108">$W$176+V178</f>
        <v>1189</v>
      </c>
      <c r="X178" s="37">
        <v>156</v>
      </c>
      <c r="Y178" s="47">
        <v>2</v>
      </c>
      <c r="Z178" s="83">
        <v>3.2949999999999999</v>
      </c>
      <c r="AA178" s="96">
        <f>AA179*2</f>
        <v>0.5</v>
      </c>
      <c r="AB178" s="89">
        <f t="shared" ref="AB178:AB180" si="109">$AB$176+AA178</f>
        <v>3.5</v>
      </c>
      <c r="AC178" s="40">
        <f t="shared" ref="AC178:AC179" si="110">AC177+$AE$177</f>
        <v>4.625</v>
      </c>
      <c r="AD178" s="283"/>
      <c r="AE178" s="283"/>
      <c r="AF178" s="58">
        <f t="shared" si="87"/>
        <v>1.1875</v>
      </c>
      <c r="AG178" s="116">
        <f t="shared" si="0"/>
        <v>0.11649375000000001</v>
      </c>
      <c r="AH178" s="39">
        <v>0.04</v>
      </c>
      <c r="AI178" s="41">
        <f t="shared" si="85"/>
        <v>272.71800000000002</v>
      </c>
      <c r="AJ178" s="41">
        <f t="shared" si="94"/>
        <v>10.869801817500001</v>
      </c>
      <c r="AK178" s="121">
        <f t="shared" si="86"/>
        <v>1041.8260134095931</v>
      </c>
      <c r="AL178" s="154">
        <v>825.3125</v>
      </c>
      <c r="AM178" s="41">
        <f t="shared" si="88"/>
        <v>2150.726315227093</v>
      </c>
      <c r="AN178" s="42">
        <f t="shared" si="84"/>
        <v>2553.9874993321728</v>
      </c>
      <c r="AO178" s="42">
        <f t="shared" si="89"/>
        <v>57102.012500667828</v>
      </c>
      <c r="AP178" s="176">
        <f t="shared" si="93"/>
        <v>2553.9874993321728</v>
      </c>
      <c r="AQ178" s="180"/>
    </row>
    <row r="179" spans="21:43" x14ac:dyDescent="0.25">
      <c r="U179" s="280"/>
      <c r="V179" s="72">
        <f>V177*3</f>
        <v>21</v>
      </c>
      <c r="W179" s="74">
        <f t="shared" si="108"/>
        <v>1196</v>
      </c>
      <c r="X179" s="37">
        <v>157</v>
      </c>
      <c r="Y179" s="47">
        <v>3</v>
      </c>
      <c r="Z179" s="83">
        <v>1.6475</v>
      </c>
      <c r="AA179" s="96">
        <f>AA176/4</f>
        <v>0.25</v>
      </c>
      <c r="AB179" s="89">
        <f t="shared" si="109"/>
        <v>3.25</v>
      </c>
      <c r="AC179" s="105">
        <f t="shared" si="110"/>
        <v>5.8125</v>
      </c>
      <c r="AD179" s="283"/>
      <c r="AE179" s="283"/>
      <c r="AF179" s="58">
        <f t="shared" si="87"/>
        <v>1.1875</v>
      </c>
      <c r="AG179" s="116">
        <f t="shared" si="0"/>
        <v>0.11649375000000001</v>
      </c>
      <c r="AH179" s="39">
        <v>0.04</v>
      </c>
      <c r="AI179" s="41">
        <f t="shared" si="85"/>
        <v>272.71800000000002</v>
      </c>
      <c r="AJ179" s="41">
        <f t="shared" si="94"/>
        <v>17.168173104375001</v>
      </c>
      <c r="AK179" s="121">
        <f t="shared" si="86"/>
        <v>-6797.9032857135098</v>
      </c>
      <c r="AL179" s="154">
        <v>825.3125</v>
      </c>
      <c r="AM179" s="60">
        <f t="shared" si="88"/>
        <v>-5682.7046126091345</v>
      </c>
      <c r="AN179" s="42">
        <f t="shared" si="84"/>
        <v>-6748.2117274733473</v>
      </c>
      <c r="AO179" s="42">
        <f t="shared" si="89"/>
        <v>66404.211727473346</v>
      </c>
      <c r="AP179" s="176">
        <f t="shared" si="93"/>
        <v>-6748.2117274733473</v>
      </c>
      <c r="AQ179" s="180"/>
    </row>
    <row r="180" spans="21:43" ht="15.75" thickBot="1" x14ac:dyDescent="0.3">
      <c r="U180" s="281"/>
      <c r="V180" s="75">
        <v>28</v>
      </c>
      <c r="W180" s="48">
        <f>W176+V180</f>
        <v>1203</v>
      </c>
      <c r="X180" s="49">
        <f>X176+Y180</f>
        <v>158</v>
      </c>
      <c r="Y180" s="50">
        <v>4</v>
      </c>
      <c r="Z180" s="81">
        <v>0</v>
      </c>
      <c r="AA180" s="94">
        <v>0</v>
      </c>
      <c r="AB180" s="90">
        <f t="shared" si="109"/>
        <v>3</v>
      </c>
      <c r="AC180" s="102">
        <f>V180/Y180</f>
        <v>7</v>
      </c>
      <c r="AD180" s="284"/>
      <c r="AE180" s="284"/>
      <c r="AF180" s="64">
        <f t="shared" si="87"/>
        <v>1.1875</v>
      </c>
      <c r="AG180" s="115">
        <f t="shared" si="0"/>
        <v>0.11649375000000001</v>
      </c>
      <c r="AH180" s="118">
        <v>0.04</v>
      </c>
      <c r="AI180" s="121">
        <f t="shared" si="85"/>
        <v>272.71800000000002</v>
      </c>
      <c r="AJ180" s="119">
        <f t="shared" si="94"/>
        <v>24.899706720000001</v>
      </c>
      <c r="AK180" s="121">
        <f t="shared" si="86"/>
        <v>0</v>
      </c>
      <c r="AL180" s="66">
        <v>825.3125</v>
      </c>
      <c r="AM180" s="152">
        <f t="shared" si="88"/>
        <v>1122.9302067200001</v>
      </c>
      <c r="AN180" s="164">
        <f t="shared" si="84"/>
        <v>1333.4796204800002</v>
      </c>
      <c r="AO180" s="164">
        <f t="shared" si="89"/>
        <v>58322.52037952</v>
      </c>
      <c r="AP180" s="177">
        <f t="shared" si="93"/>
        <v>1333.4796204800002</v>
      </c>
      <c r="AQ180" s="180"/>
    </row>
    <row r="181" spans="21:43" x14ac:dyDescent="0.25">
      <c r="U181" s="279" t="s">
        <v>69</v>
      </c>
      <c r="V181" s="71">
        <f>V185/5</f>
        <v>2.8</v>
      </c>
      <c r="W181" s="78">
        <f>$W$180+V181</f>
        <v>1205.8</v>
      </c>
      <c r="X181" s="45">
        <v>159</v>
      </c>
      <c r="Y181" s="46">
        <v>1</v>
      </c>
      <c r="Z181" s="84">
        <v>0.74399999999999999</v>
      </c>
      <c r="AA181" s="95">
        <f>AA185/5</f>
        <v>0.2</v>
      </c>
      <c r="AB181" s="88">
        <f>$AB$180+AA181</f>
        <v>3.2</v>
      </c>
      <c r="AC181" s="111">
        <f>AC180+$AE$181</f>
        <v>6.16</v>
      </c>
      <c r="AD181" s="282">
        <f>AC185-AC180</f>
        <v>-4.2</v>
      </c>
      <c r="AE181" s="282">
        <f>AD181/5</f>
        <v>-0.84000000000000008</v>
      </c>
      <c r="AF181" s="58">
        <f t="shared" si="87"/>
        <v>-0.83999999999999986</v>
      </c>
      <c r="AG181" s="114">
        <f t="shared" si="0"/>
        <v>-8.2403999999999991E-2</v>
      </c>
      <c r="AH181" s="117">
        <v>0.04</v>
      </c>
      <c r="AI181" s="151">
        <f t="shared" si="85"/>
        <v>272.71800000000002</v>
      </c>
      <c r="AJ181" s="121">
        <f t="shared" si="94"/>
        <v>19.282332883967999</v>
      </c>
      <c r="AK181" s="151">
        <f t="shared" si="86"/>
        <v>-4617.3638021790384</v>
      </c>
      <c r="AL181" s="174">
        <v>-583.79999999999995</v>
      </c>
      <c r="AM181" s="169">
        <f t="shared" si="88"/>
        <v>-4909.1634692950702</v>
      </c>
      <c r="AN181" s="61">
        <f t="shared" si="84"/>
        <v>4123.6973142078587</v>
      </c>
      <c r="AO181" s="61">
        <f t="shared" si="89"/>
        <v>55532.302685792143</v>
      </c>
      <c r="AP181" s="176">
        <f t="shared" si="93"/>
        <v>4123.6973142078587</v>
      </c>
      <c r="AQ181" s="180"/>
    </row>
    <row r="182" spans="21:43" x14ac:dyDescent="0.25">
      <c r="U182" s="280"/>
      <c r="V182" s="72">
        <f>V181*2</f>
        <v>5.6</v>
      </c>
      <c r="W182" s="76">
        <f t="shared" ref="W182:W184" si="111">$W$180+V182</f>
        <v>1208.5999999999999</v>
      </c>
      <c r="X182" s="37">
        <v>160</v>
      </c>
      <c r="Y182" s="47">
        <v>2</v>
      </c>
      <c r="Z182" s="83">
        <v>1.488</v>
      </c>
      <c r="AA182" s="96">
        <f>AA181*2</f>
        <v>0.4</v>
      </c>
      <c r="AB182" s="89">
        <f t="shared" ref="AB182:AB185" si="112">$AB$180+AA182</f>
        <v>3.4</v>
      </c>
      <c r="AC182" s="40">
        <f t="shared" ref="AC182:AC184" si="113">AC181+$AE$181</f>
        <v>5.32</v>
      </c>
      <c r="AD182" s="283"/>
      <c r="AE182" s="283"/>
      <c r="AF182" s="58">
        <f t="shared" si="87"/>
        <v>-0.83999999999999986</v>
      </c>
      <c r="AG182" s="116">
        <f t="shared" si="0"/>
        <v>-8.2403999999999991E-2</v>
      </c>
      <c r="AH182" s="39">
        <v>0.04</v>
      </c>
      <c r="AI182" s="41">
        <f t="shared" si="85"/>
        <v>272.71800000000002</v>
      </c>
      <c r="AJ182" s="41">
        <f t="shared" si="94"/>
        <v>14.382070601472002</v>
      </c>
      <c r="AK182" s="121">
        <f t="shared" si="86"/>
        <v>-6794.5940335321702</v>
      </c>
      <c r="AL182" s="154">
        <v>-583.79999999999995</v>
      </c>
      <c r="AM182" s="121">
        <f t="shared" si="88"/>
        <v>-7091.2939629306984</v>
      </c>
      <c r="AN182" s="42">
        <f t="shared" ref="AN182:AN205" si="114">AM182*AF182</f>
        <v>5956.6869288617854</v>
      </c>
      <c r="AO182" s="42">
        <f t="shared" si="89"/>
        <v>53699.313071138211</v>
      </c>
      <c r="AP182" s="176">
        <f t="shared" si="93"/>
        <v>5956.6869288617854</v>
      </c>
      <c r="AQ182" s="180"/>
    </row>
    <row r="183" spans="21:43" x14ac:dyDescent="0.25">
      <c r="U183" s="280"/>
      <c r="V183" s="72">
        <f>V181*3</f>
        <v>8.3999999999999986</v>
      </c>
      <c r="W183" s="76">
        <f t="shared" si="111"/>
        <v>1211.4000000000001</v>
      </c>
      <c r="X183" s="37">
        <v>161</v>
      </c>
      <c r="Y183" s="47">
        <v>3</v>
      </c>
      <c r="Z183" s="83">
        <v>2.2320000000000002</v>
      </c>
      <c r="AA183" s="96">
        <f>AA181*3</f>
        <v>0.60000000000000009</v>
      </c>
      <c r="AB183" s="89">
        <f t="shared" si="112"/>
        <v>3.6</v>
      </c>
      <c r="AC183" s="40">
        <f t="shared" si="113"/>
        <v>4.4800000000000004</v>
      </c>
      <c r="AD183" s="283"/>
      <c r="AE183" s="283"/>
      <c r="AF183" s="58">
        <f t="shared" si="87"/>
        <v>-0.83999999999999986</v>
      </c>
      <c r="AG183" s="116">
        <f t="shared" si="0"/>
        <v>-8.2403999999999991E-2</v>
      </c>
      <c r="AH183" s="39">
        <v>0.04</v>
      </c>
      <c r="AI183" s="41">
        <f t="shared" si="85"/>
        <v>272.71800000000002</v>
      </c>
      <c r="AJ183" s="41">
        <f t="shared" si="94"/>
        <v>10.198919872512002</v>
      </c>
      <c r="AK183" s="121">
        <f t="shared" ref="AK183:AK205" si="115">$C$6*9.81*-SIN(Z183)</f>
        <v>-5381.0920393823171</v>
      </c>
      <c r="AL183" s="154">
        <v>-583.79999999999995</v>
      </c>
      <c r="AM183" s="41">
        <f t="shared" si="88"/>
        <v>-5681.9751195098052</v>
      </c>
      <c r="AN183" s="42">
        <f t="shared" si="114"/>
        <v>4772.8591003882357</v>
      </c>
      <c r="AO183" s="42">
        <f t="shared" si="89"/>
        <v>54883.140899611768</v>
      </c>
      <c r="AP183" s="176">
        <f t="shared" si="93"/>
        <v>4772.8591003882357</v>
      </c>
      <c r="AQ183" s="180"/>
    </row>
    <row r="184" spans="21:43" x14ac:dyDescent="0.25">
      <c r="U184" s="280"/>
      <c r="V184" s="72">
        <f>V181*4</f>
        <v>11.2</v>
      </c>
      <c r="W184" s="72">
        <f t="shared" si="111"/>
        <v>1214.2</v>
      </c>
      <c r="X184" s="37">
        <v>162</v>
      </c>
      <c r="Y184" s="47">
        <v>4</v>
      </c>
      <c r="Z184" s="83">
        <v>2.976</v>
      </c>
      <c r="AA184" s="96">
        <f>AA181*4</f>
        <v>0.8</v>
      </c>
      <c r="AB184" s="89">
        <f t="shared" si="112"/>
        <v>3.8</v>
      </c>
      <c r="AC184" s="40">
        <f t="shared" si="113"/>
        <v>3.6400000000000006</v>
      </c>
      <c r="AD184" s="283"/>
      <c r="AE184" s="283"/>
      <c r="AF184" s="58">
        <f t="shared" si="87"/>
        <v>-0.83999999999999986</v>
      </c>
      <c r="AG184" s="116">
        <f t="shared" si="0"/>
        <v>-8.2403999999999991E-2</v>
      </c>
      <c r="AH184" s="39">
        <v>0.04</v>
      </c>
      <c r="AI184" s="41">
        <f t="shared" si="85"/>
        <v>272.71800000000002</v>
      </c>
      <c r="AJ184" s="41">
        <f t="shared" si="94"/>
        <v>6.7328806970880031</v>
      </c>
      <c r="AK184" s="121">
        <f t="shared" si="115"/>
        <v>-1123.8497866017251</v>
      </c>
      <c r="AL184" s="154">
        <v>-583.79999999999995</v>
      </c>
      <c r="AM184" s="41">
        <f t="shared" si="88"/>
        <v>-1428.1989059046371</v>
      </c>
      <c r="AN184" s="42">
        <f t="shared" si="114"/>
        <v>1199.687080959895</v>
      </c>
      <c r="AO184" s="42">
        <f t="shared" si="89"/>
        <v>58456.312919040109</v>
      </c>
      <c r="AP184" s="176">
        <f t="shared" si="93"/>
        <v>1199.687080959895</v>
      </c>
      <c r="AQ184" s="180"/>
    </row>
    <row r="185" spans="21:43" ht="15.75" thickBot="1" x14ac:dyDescent="0.3">
      <c r="U185" s="281"/>
      <c r="V185" s="75">
        <v>14</v>
      </c>
      <c r="W185" s="48">
        <f>W180+V185</f>
        <v>1217</v>
      </c>
      <c r="X185" s="49">
        <f>X180+Y185</f>
        <v>163</v>
      </c>
      <c r="Y185" s="50">
        <v>5</v>
      </c>
      <c r="Z185" s="81">
        <v>3.72</v>
      </c>
      <c r="AA185" s="94">
        <v>1</v>
      </c>
      <c r="AB185" s="93">
        <f t="shared" si="112"/>
        <v>4</v>
      </c>
      <c r="AC185" s="102">
        <f>V185/Y185</f>
        <v>2.8</v>
      </c>
      <c r="AD185" s="284"/>
      <c r="AE185" s="284"/>
      <c r="AF185" s="64">
        <f t="shared" si="87"/>
        <v>-0.84000000000000075</v>
      </c>
      <c r="AG185" s="115">
        <f t="shared" si="0"/>
        <v>-8.2404000000000074E-2</v>
      </c>
      <c r="AH185" s="118">
        <v>0.04</v>
      </c>
      <c r="AI185" s="121">
        <f t="shared" si="85"/>
        <v>272.71800000000002</v>
      </c>
      <c r="AJ185" s="119">
        <f t="shared" si="94"/>
        <v>3.9839530751999996</v>
      </c>
      <c r="AK185" s="121">
        <f t="shared" si="115"/>
        <v>3727.3122243660468</v>
      </c>
      <c r="AL185" s="66">
        <v>-583.80000000000052</v>
      </c>
      <c r="AM185" s="152">
        <f t="shared" si="88"/>
        <v>3420.2141774412462</v>
      </c>
      <c r="AN185" s="164">
        <f t="shared" si="114"/>
        <v>-2872.9799090506494</v>
      </c>
      <c r="AO185" s="164">
        <f t="shared" si="89"/>
        <v>62528.979909050649</v>
      </c>
      <c r="AP185" s="177">
        <f t="shared" si="93"/>
        <v>-2872.9799090506494</v>
      </c>
      <c r="AQ185" s="180"/>
    </row>
    <row r="186" spans="21:43" x14ac:dyDescent="0.25">
      <c r="U186" s="279" t="s">
        <v>70</v>
      </c>
      <c r="V186" s="71">
        <f>V188/3</f>
        <v>19.666666666666668</v>
      </c>
      <c r="W186" s="78">
        <f>$W$185+V186</f>
        <v>1236.6666666666667</v>
      </c>
      <c r="X186" s="45">
        <v>164</v>
      </c>
      <c r="Y186" s="46">
        <v>1</v>
      </c>
      <c r="Z186" s="84">
        <v>2.48</v>
      </c>
      <c r="AA186" s="95">
        <f>AA187*2</f>
        <v>0.66666666666666663</v>
      </c>
      <c r="AB186" s="91">
        <f>$AB$185+AA186</f>
        <v>4.666666666666667</v>
      </c>
      <c r="AC186" s="111">
        <f>AC185+$AE$186</f>
        <v>8.4222222222222225</v>
      </c>
      <c r="AD186" s="282">
        <f>AC188-AC185</f>
        <v>16.866666666666667</v>
      </c>
      <c r="AE186" s="282">
        <f>AD186/3</f>
        <v>5.6222222222222227</v>
      </c>
      <c r="AF186" s="58">
        <f t="shared" si="87"/>
        <v>5.6222222222222227</v>
      </c>
      <c r="AG186" s="114">
        <f t="shared" si="0"/>
        <v>0.55154000000000003</v>
      </c>
      <c r="AH186" s="117">
        <v>0.04</v>
      </c>
      <c r="AI186" s="151">
        <f t="shared" si="85"/>
        <v>272.71800000000002</v>
      </c>
      <c r="AJ186" s="121">
        <f t="shared" si="94"/>
        <v>36.045540669866675</v>
      </c>
      <c r="AK186" s="151">
        <f t="shared" si="115"/>
        <v>-4188.7729710064532</v>
      </c>
      <c r="AL186" s="174">
        <v>3907.4444444444448</v>
      </c>
      <c r="AM186" s="169">
        <f t="shared" si="88"/>
        <v>27.435014107858478</v>
      </c>
      <c r="AN186" s="61">
        <f t="shared" si="114"/>
        <v>154.24574598418212</v>
      </c>
      <c r="AO186" s="61">
        <f t="shared" si="89"/>
        <v>59501.754254015817</v>
      </c>
      <c r="AP186" s="176">
        <f t="shared" si="93"/>
        <v>154.24574598418212</v>
      </c>
      <c r="AQ186" s="180"/>
    </row>
    <row r="187" spans="21:43" x14ac:dyDescent="0.25">
      <c r="U187" s="280"/>
      <c r="V187" s="72">
        <f>V186*2</f>
        <v>39.333333333333336</v>
      </c>
      <c r="W187" s="72">
        <f>$W$185+V187</f>
        <v>1256.3333333333333</v>
      </c>
      <c r="X187" s="37">
        <v>165</v>
      </c>
      <c r="Y187" s="47">
        <v>2</v>
      </c>
      <c r="Z187" s="83">
        <v>1.24</v>
      </c>
      <c r="AA187" s="96">
        <f>AA185/3</f>
        <v>0.33333333333333331</v>
      </c>
      <c r="AB187" s="89">
        <f t="shared" ref="AB187:AB188" si="116">$AB$185+AA187</f>
        <v>4.333333333333333</v>
      </c>
      <c r="AC187" s="40">
        <f>AC186+$AE$186</f>
        <v>14.044444444444444</v>
      </c>
      <c r="AD187" s="283"/>
      <c r="AE187" s="283"/>
      <c r="AF187" s="58">
        <f t="shared" si="87"/>
        <v>5.6222222222222218</v>
      </c>
      <c r="AG187" s="116">
        <f t="shared" si="0"/>
        <v>0.55154000000000003</v>
      </c>
      <c r="AH187" s="39">
        <v>0.04</v>
      </c>
      <c r="AI187" s="41">
        <f t="shared" si="85"/>
        <v>272.71800000000002</v>
      </c>
      <c r="AJ187" s="41">
        <f t="shared" si="94"/>
        <v>100.23220415146668</v>
      </c>
      <c r="AK187" s="121">
        <f t="shared" si="115"/>
        <v>-6448.3080190469846</v>
      </c>
      <c r="AL187" s="154">
        <v>3907.4444444444443</v>
      </c>
      <c r="AM187" s="41">
        <f t="shared" si="88"/>
        <v>-2167.9133704510732</v>
      </c>
      <c r="AN187" s="42">
        <f t="shared" si="114"/>
        <v>-12188.490727202699</v>
      </c>
      <c r="AO187" s="42">
        <f t="shared" si="89"/>
        <v>71844.490727202705</v>
      </c>
      <c r="AP187" s="176">
        <f t="shared" si="93"/>
        <v>-12188.490727202699</v>
      </c>
      <c r="AQ187" s="180"/>
    </row>
    <row r="188" spans="21:43" ht="15.75" thickBot="1" x14ac:dyDescent="0.3">
      <c r="U188" s="281"/>
      <c r="V188" s="75">
        <v>59</v>
      </c>
      <c r="W188" s="48">
        <f>W185+V188</f>
        <v>1276</v>
      </c>
      <c r="X188" s="49">
        <f>X185+Y188</f>
        <v>166</v>
      </c>
      <c r="Y188" s="50">
        <v>3</v>
      </c>
      <c r="Z188" s="81">
        <v>0</v>
      </c>
      <c r="AA188" s="94">
        <v>0</v>
      </c>
      <c r="AB188" s="93">
        <f t="shared" si="116"/>
        <v>4</v>
      </c>
      <c r="AC188" s="102">
        <f>V188/Y188</f>
        <v>19.666666666666668</v>
      </c>
      <c r="AD188" s="284"/>
      <c r="AE188" s="284"/>
      <c r="AF188" s="64">
        <f t="shared" si="87"/>
        <v>5.6222222222222236</v>
      </c>
      <c r="AG188" s="115">
        <f t="shared" si="0"/>
        <v>0.55154000000000014</v>
      </c>
      <c r="AH188" s="118">
        <v>0.04</v>
      </c>
      <c r="AI188" s="121">
        <f t="shared" si="85"/>
        <v>272.71800000000002</v>
      </c>
      <c r="AJ188" s="119">
        <f t="shared" si="94"/>
        <v>196.54394352000006</v>
      </c>
      <c r="AK188" s="121">
        <f t="shared" si="115"/>
        <v>0</v>
      </c>
      <c r="AL188" s="66">
        <v>3907.4444444444453</v>
      </c>
      <c r="AM188" s="152">
        <f t="shared" si="88"/>
        <v>4376.7063879644456</v>
      </c>
      <c r="AN188" s="164">
        <f t="shared" si="114"/>
        <v>24606.815914555667</v>
      </c>
      <c r="AO188" s="164">
        <f t="shared" si="89"/>
        <v>35049.184085444329</v>
      </c>
      <c r="AP188" s="177">
        <f t="shared" si="93"/>
        <v>24606.815914555667</v>
      </c>
      <c r="AQ188" s="180"/>
    </row>
    <row r="189" spans="21:43" x14ac:dyDescent="0.25">
      <c r="U189" s="279" t="s">
        <v>71</v>
      </c>
      <c r="V189" s="71">
        <f>V192/4</f>
        <v>2.25</v>
      </c>
      <c r="W189" s="78">
        <f>$W$188+V189</f>
        <v>1278.25</v>
      </c>
      <c r="X189" s="45">
        <v>167</v>
      </c>
      <c r="Y189" s="46">
        <v>1</v>
      </c>
      <c r="Z189" s="84">
        <v>-3.2250000000000001</v>
      </c>
      <c r="AA189" s="95">
        <f>AA192/4</f>
        <v>-0.5</v>
      </c>
      <c r="AB189" s="91">
        <f>$AB$188+AA189</f>
        <v>3.5</v>
      </c>
      <c r="AC189" s="111">
        <f>AC188+$AE$189</f>
        <v>15.3125</v>
      </c>
      <c r="AD189" s="282">
        <f>AC192-AC188</f>
        <v>-17.416666666666668</v>
      </c>
      <c r="AE189" s="282">
        <f>AD189/4</f>
        <v>-4.354166666666667</v>
      </c>
      <c r="AF189" s="58">
        <f t="shared" si="87"/>
        <v>-4.3541666666666679</v>
      </c>
      <c r="AG189" s="114">
        <f t="shared" si="0"/>
        <v>-0.42714375000000016</v>
      </c>
      <c r="AH189" s="117">
        <v>0.04</v>
      </c>
      <c r="AI189" s="151">
        <f t="shared" si="85"/>
        <v>272.71800000000002</v>
      </c>
      <c r="AJ189" s="121">
        <f t="shared" si="94"/>
        <v>119.14898723437501</v>
      </c>
      <c r="AK189" s="151">
        <f t="shared" si="115"/>
        <v>-568.00799758032576</v>
      </c>
      <c r="AL189" s="174">
        <v>-3026.1458333333339</v>
      </c>
      <c r="AM189" s="169">
        <f t="shared" si="88"/>
        <v>-3202.2868436792846</v>
      </c>
      <c r="AN189" s="61">
        <f t="shared" si="114"/>
        <v>13943.290631853555</v>
      </c>
      <c r="AO189" s="61">
        <f t="shared" si="89"/>
        <v>45712.709368146447</v>
      </c>
      <c r="AP189" s="176">
        <f t="shared" si="93"/>
        <v>13943.290631853555</v>
      </c>
      <c r="AQ189" s="180"/>
    </row>
    <row r="190" spans="21:43" x14ac:dyDescent="0.25">
      <c r="U190" s="280"/>
      <c r="V190" s="72">
        <f>V189*2</f>
        <v>4.5</v>
      </c>
      <c r="W190" s="76">
        <f t="shared" ref="W190:W191" si="117">$W$188+V190</f>
        <v>1280.5</v>
      </c>
      <c r="X190" s="37">
        <v>168</v>
      </c>
      <c r="Y190" s="47">
        <v>2</v>
      </c>
      <c r="Z190" s="83">
        <v>-6.45</v>
      </c>
      <c r="AA190" s="96">
        <f>AA189*2</f>
        <v>-1</v>
      </c>
      <c r="AB190" s="89">
        <f t="shared" ref="AB190:AB192" si="118">$AB$188+AA190</f>
        <v>3</v>
      </c>
      <c r="AC190" s="40">
        <f t="shared" ref="AC190:AC191" si="119">AC189+$AE$189</f>
        <v>10.958333333333332</v>
      </c>
      <c r="AD190" s="283"/>
      <c r="AE190" s="283"/>
      <c r="AF190" s="58">
        <f t="shared" si="87"/>
        <v>-4.3541666666666679</v>
      </c>
      <c r="AG190" s="116">
        <f t="shared" si="0"/>
        <v>-0.42714375000000016</v>
      </c>
      <c r="AH190" s="39">
        <v>0.04</v>
      </c>
      <c r="AI190" s="41">
        <f t="shared" si="85"/>
        <v>272.71800000000002</v>
      </c>
      <c r="AJ190" s="41">
        <f t="shared" si="94"/>
        <v>61.022102257499988</v>
      </c>
      <c r="AK190" s="121">
        <f t="shared" si="115"/>
        <v>1132.0667756819851</v>
      </c>
      <c r="AL190" s="154">
        <v>-3026.1458333333339</v>
      </c>
      <c r="AM190" s="41">
        <f t="shared" si="88"/>
        <v>-1560.3389553938489</v>
      </c>
      <c r="AN190" s="42">
        <f t="shared" si="114"/>
        <v>6793.9758682773854</v>
      </c>
      <c r="AO190" s="42">
        <f t="shared" si="89"/>
        <v>52862.024131722617</v>
      </c>
      <c r="AP190" s="176">
        <f t="shared" si="93"/>
        <v>6793.9758682773854</v>
      </c>
      <c r="AQ190" s="180"/>
    </row>
    <row r="191" spans="21:43" x14ac:dyDescent="0.25">
      <c r="U191" s="280"/>
      <c r="V191" s="72">
        <f>V189*3</f>
        <v>6.75</v>
      </c>
      <c r="W191" s="72">
        <f t="shared" si="117"/>
        <v>1282.75</v>
      </c>
      <c r="X191" s="37">
        <v>169</v>
      </c>
      <c r="Y191" s="47">
        <v>3</v>
      </c>
      <c r="Z191" s="83">
        <v>-9.6750000000000007</v>
      </c>
      <c r="AA191" s="96">
        <f>AA189*3</f>
        <v>-1.5</v>
      </c>
      <c r="AB191" s="89">
        <f t="shared" si="118"/>
        <v>2.5</v>
      </c>
      <c r="AC191" s="105">
        <f t="shared" si="119"/>
        <v>6.6041666666666652</v>
      </c>
      <c r="AD191" s="283"/>
      <c r="AE191" s="283"/>
      <c r="AF191" s="58">
        <f t="shared" si="87"/>
        <v>-4.354166666666667</v>
      </c>
      <c r="AG191" s="116">
        <f t="shared" si="0"/>
        <v>-0.42714375000000004</v>
      </c>
      <c r="AH191" s="39">
        <v>0.04</v>
      </c>
      <c r="AI191" s="41">
        <f t="shared" si="85"/>
        <v>272.71800000000002</v>
      </c>
      <c r="AJ191" s="41">
        <f>0.5*$C$18*$C$20*$C$22*(AC191*AC191)</f>
        <v>22.163288589374993</v>
      </c>
      <c r="AK191" s="121">
        <f t="shared" si="115"/>
        <v>-1688.2545727750714</v>
      </c>
      <c r="AL191" s="154">
        <v>-3026.1458333333335</v>
      </c>
      <c r="AM191" s="41">
        <f t="shared" si="88"/>
        <v>-4419.5191175190303</v>
      </c>
      <c r="AN191" s="42">
        <f t="shared" si="114"/>
        <v>19243.322824197447</v>
      </c>
      <c r="AO191" s="42">
        <f t="shared" si="89"/>
        <v>40412.677175802557</v>
      </c>
      <c r="AP191" s="176">
        <f t="shared" si="93"/>
        <v>19243.322824197447</v>
      </c>
      <c r="AQ191" s="180"/>
    </row>
    <row r="192" spans="21:43" ht="15.75" thickBot="1" x14ac:dyDescent="0.3">
      <c r="U192" s="281"/>
      <c r="V192" s="75">
        <v>9</v>
      </c>
      <c r="W192" s="48">
        <f>W188+V192</f>
        <v>1285</v>
      </c>
      <c r="X192" s="49">
        <f>X188+Y192</f>
        <v>170</v>
      </c>
      <c r="Y192" s="50">
        <v>4</v>
      </c>
      <c r="Z192" s="81">
        <v>-12.9</v>
      </c>
      <c r="AA192" s="94">
        <v>-2</v>
      </c>
      <c r="AB192" s="93">
        <f t="shared" si="118"/>
        <v>2</v>
      </c>
      <c r="AC192" s="102">
        <f>V192/Y192</f>
        <v>2.25</v>
      </c>
      <c r="AD192" s="284"/>
      <c r="AE192" s="284"/>
      <c r="AF192" s="109">
        <f t="shared" si="87"/>
        <v>-4.3541666666666652</v>
      </c>
      <c r="AG192" s="115">
        <f t="shared" si="0"/>
        <v>-0.42714374999999988</v>
      </c>
      <c r="AH192" s="118">
        <v>0.04</v>
      </c>
      <c r="AI192" s="66">
        <f t="shared" si="85"/>
        <v>272.71800000000002</v>
      </c>
      <c r="AJ192" s="119">
        <f t="shared" ref="AJ192:AJ205" si="120">0.5*$C$18*$C$20*$C$22*(AC192*AC192)</f>
        <v>2.5725462300000004</v>
      </c>
      <c r="AK192" s="66">
        <f t="shared" si="115"/>
        <v>2232.7043523188345</v>
      </c>
      <c r="AL192" s="66">
        <v>-3026.1458333333321</v>
      </c>
      <c r="AM192" s="66">
        <f t="shared" si="88"/>
        <v>-518.15093478449762</v>
      </c>
      <c r="AN192" s="164">
        <f t="shared" si="114"/>
        <v>2256.1155285408327</v>
      </c>
      <c r="AO192" s="164">
        <f t="shared" si="89"/>
        <v>57399.884471459169</v>
      </c>
      <c r="AP192" s="177">
        <f t="shared" si="93"/>
        <v>2256.1155285408327</v>
      </c>
      <c r="AQ192" s="180"/>
    </row>
    <row r="193" spans="21:43" x14ac:dyDescent="0.25">
      <c r="U193" s="279" t="s">
        <v>72</v>
      </c>
      <c r="V193" s="71">
        <f>V197/5</f>
        <v>0.8</v>
      </c>
      <c r="W193" s="78">
        <f>$W$192+V193</f>
        <v>1285.8</v>
      </c>
      <c r="X193" s="45">
        <v>171</v>
      </c>
      <c r="Y193" s="46">
        <v>1</v>
      </c>
      <c r="Z193" s="84">
        <v>-10.32</v>
      </c>
      <c r="AA193" s="95">
        <f>AA196*4</f>
        <v>-1.6</v>
      </c>
      <c r="AB193" s="91">
        <f>$AB$192+AA193</f>
        <v>0.39999999999999991</v>
      </c>
      <c r="AC193" s="111">
        <f>AC192+$AE$193</f>
        <v>1.96</v>
      </c>
      <c r="AD193" s="282">
        <f>AC197-AC192</f>
        <v>-1.45</v>
      </c>
      <c r="AE193" s="282">
        <f>AD193/5</f>
        <v>-0.28999999999999998</v>
      </c>
      <c r="AF193" s="62">
        <f t="shared" si="87"/>
        <v>-0.29000000000000004</v>
      </c>
      <c r="AG193" s="114">
        <f t="shared" si="0"/>
        <v>-2.8449000000000006E-2</v>
      </c>
      <c r="AH193" s="117">
        <v>0.04</v>
      </c>
      <c r="AI193" s="60">
        <f t="shared" si="85"/>
        <v>272.71800000000002</v>
      </c>
      <c r="AJ193" s="121">
        <f t="shared" si="120"/>
        <v>1.952137006848</v>
      </c>
      <c r="AK193" s="60">
        <f t="shared" si="115"/>
        <v>-5320.3733169741508</v>
      </c>
      <c r="AL193" s="171">
        <v>-201.55</v>
      </c>
      <c r="AM193" s="151">
        <f t="shared" si="88"/>
        <v>-5247.2531799673034</v>
      </c>
      <c r="AN193" s="61">
        <f t="shared" si="114"/>
        <v>1521.7034221905183</v>
      </c>
      <c r="AO193" s="61">
        <f t="shared" si="89"/>
        <v>58134.29657780948</v>
      </c>
      <c r="AP193" s="176">
        <f t="shared" si="93"/>
        <v>1521.7034221905183</v>
      </c>
      <c r="AQ193" s="180"/>
    </row>
    <row r="194" spans="21:43" x14ac:dyDescent="0.25">
      <c r="U194" s="280"/>
      <c r="V194" s="72">
        <f>V193*2</f>
        <v>1.6</v>
      </c>
      <c r="W194" s="72">
        <f t="shared" ref="W194:W196" si="121">$W$192+V194</f>
        <v>1286.5999999999999</v>
      </c>
      <c r="X194" s="37">
        <v>172</v>
      </c>
      <c r="Y194" s="47">
        <v>2</v>
      </c>
      <c r="Z194" s="83">
        <v>-7.74</v>
      </c>
      <c r="AA194" s="96">
        <f>AA196*3</f>
        <v>-1.2000000000000002</v>
      </c>
      <c r="AB194" s="89">
        <f t="shared" ref="AB194:AB197" si="122">$AB$192+AA194</f>
        <v>0.79999999999999982</v>
      </c>
      <c r="AC194" s="40">
        <f t="shared" ref="AC194:AC196" si="123">AC193+$AE$193</f>
        <v>1.67</v>
      </c>
      <c r="AD194" s="283"/>
      <c r="AE194" s="283"/>
      <c r="AF194" s="58">
        <f t="shared" si="87"/>
        <v>-0.29000000000000004</v>
      </c>
      <c r="AG194" s="116">
        <f t="shared" si="0"/>
        <v>-2.8449000000000006E-2</v>
      </c>
      <c r="AH194" s="39">
        <v>0.04</v>
      </c>
      <c r="AI194" s="41">
        <f t="shared" si="85"/>
        <v>272.71800000000002</v>
      </c>
      <c r="AJ194" s="41">
        <f t="shared" si="120"/>
        <v>1.4171998381920001</v>
      </c>
      <c r="AK194" s="121">
        <f t="shared" si="115"/>
        <v>6773.7091631947042</v>
      </c>
      <c r="AL194" s="154">
        <v>-201.55</v>
      </c>
      <c r="AM194" s="152">
        <f t="shared" si="88"/>
        <v>6846.2943630328964</v>
      </c>
      <c r="AN194" s="42">
        <f t="shared" si="114"/>
        <v>-1985.4253652795403</v>
      </c>
      <c r="AO194" s="42">
        <f t="shared" si="89"/>
        <v>61641.425365279538</v>
      </c>
      <c r="AP194" s="176">
        <f t="shared" si="93"/>
        <v>-1985.4253652795403</v>
      </c>
      <c r="AQ194" s="180"/>
    </row>
    <row r="195" spans="21:43" x14ac:dyDescent="0.25">
      <c r="U195" s="280"/>
      <c r="V195" s="72">
        <f>V193*3</f>
        <v>2.4000000000000004</v>
      </c>
      <c r="W195" s="77">
        <f t="shared" si="121"/>
        <v>1287.4000000000001</v>
      </c>
      <c r="X195" s="37">
        <v>173</v>
      </c>
      <c r="Y195" s="47">
        <v>3</v>
      </c>
      <c r="Z195" s="83">
        <v>-5.16</v>
      </c>
      <c r="AA195" s="96">
        <f>AA196*2</f>
        <v>-0.8</v>
      </c>
      <c r="AB195" s="89">
        <f t="shared" si="122"/>
        <v>1.2</v>
      </c>
      <c r="AC195" s="40">
        <f t="shared" si="123"/>
        <v>1.38</v>
      </c>
      <c r="AD195" s="283"/>
      <c r="AE195" s="283"/>
      <c r="AF195" s="58">
        <f t="shared" si="87"/>
        <v>-0.29000000000000004</v>
      </c>
      <c r="AG195" s="116">
        <f t="shared" si="0"/>
        <v>-2.8449000000000006E-2</v>
      </c>
      <c r="AH195" s="39">
        <v>0.04</v>
      </c>
      <c r="AI195" s="41">
        <f t="shared" si="85"/>
        <v>272.71800000000002</v>
      </c>
      <c r="AJ195" s="41">
        <f t="shared" si="120"/>
        <v>0.96773472403199989</v>
      </c>
      <c r="AK195" s="121">
        <f t="shared" si="115"/>
        <v>-6146.2704921958093</v>
      </c>
      <c r="AL195" s="154">
        <v>-201.55</v>
      </c>
      <c r="AM195" s="41">
        <f t="shared" si="88"/>
        <v>-6074.1347574717774</v>
      </c>
      <c r="AN195" s="42">
        <f t="shared" si="114"/>
        <v>1761.4990796668158</v>
      </c>
      <c r="AO195" s="42">
        <f t="shared" si="89"/>
        <v>57894.500920333187</v>
      </c>
      <c r="AP195" s="176">
        <f t="shared" si="93"/>
        <v>1761.4990796668158</v>
      </c>
      <c r="AQ195" s="180"/>
    </row>
    <row r="196" spans="21:43" x14ac:dyDescent="0.25">
      <c r="U196" s="280"/>
      <c r="V196" s="72">
        <f>V193*4</f>
        <v>3.2</v>
      </c>
      <c r="W196" s="72">
        <f t="shared" si="121"/>
        <v>1288.2</v>
      </c>
      <c r="X196" s="37">
        <v>174</v>
      </c>
      <c r="Y196" s="47">
        <v>4</v>
      </c>
      <c r="Z196" s="83">
        <v>-2.58</v>
      </c>
      <c r="AA196" s="96">
        <f>AA192/5</f>
        <v>-0.4</v>
      </c>
      <c r="AB196" s="89">
        <f t="shared" si="122"/>
        <v>1.6</v>
      </c>
      <c r="AC196" s="105">
        <f t="shared" si="123"/>
        <v>1.0899999999999999</v>
      </c>
      <c r="AD196" s="283"/>
      <c r="AE196" s="283"/>
      <c r="AF196" s="58">
        <f t="shared" si="87"/>
        <v>-0.29000000000000004</v>
      </c>
      <c r="AG196" s="116">
        <f t="shared" si="0"/>
        <v>-2.8449000000000006E-2</v>
      </c>
      <c r="AH196" s="39">
        <v>0.04</v>
      </c>
      <c r="AI196" s="41">
        <f t="shared" si="85"/>
        <v>272.71800000000002</v>
      </c>
      <c r="AJ196" s="41">
        <f t="shared" si="120"/>
        <v>0.60374166436799992</v>
      </c>
      <c r="AK196" s="121">
        <f t="shared" si="115"/>
        <v>3630.7963729688477</v>
      </c>
      <c r="AL196" s="154">
        <v>-201.55</v>
      </c>
      <c r="AM196" s="60">
        <f t="shared" si="88"/>
        <v>3702.5681146332154</v>
      </c>
      <c r="AN196" s="42">
        <f t="shared" si="114"/>
        <v>-1073.7447532436327</v>
      </c>
      <c r="AO196" s="42">
        <f t="shared" si="89"/>
        <v>60729.744753243634</v>
      </c>
      <c r="AP196" s="176">
        <f t="shared" si="93"/>
        <v>-1073.7447532436327</v>
      </c>
      <c r="AQ196" s="180"/>
    </row>
    <row r="197" spans="21:43" ht="15.75" thickBot="1" x14ac:dyDescent="0.3">
      <c r="U197" s="281"/>
      <c r="V197" s="75">
        <v>4</v>
      </c>
      <c r="W197" s="48">
        <f>W192+V197</f>
        <v>1289</v>
      </c>
      <c r="X197" s="49">
        <f>X192+Y197</f>
        <v>175</v>
      </c>
      <c r="Y197" s="50">
        <v>5</v>
      </c>
      <c r="Z197" s="81">
        <v>0</v>
      </c>
      <c r="AA197" s="94">
        <v>0</v>
      </c>
      <c r="AB197" s="90">
        <f t="shared" si="122"/>
        <v>2</v>
      </c>
      <c r="AC197" s="102">
        <f>V197/Y197</f>
        <v>0.8</v>
      </c>
      <c r="AD197" s="284"/>
      <c r="AE197" s="284"/>
      <c r="AF197" s="109">
        <f t="shared" si="87"/>
        <v>-0.28999999999999981</v>
      </c>
      <c r="AG197" s="115">
        <f t="shared" si="0"/>
        <v>-2.8448999999999985E-2</v>
      </c>
      <c r="AH197" s="118">
        <v>0.04</v>
      </c>
      <c r="AI197" s="66">
        <f t="shared" si="85"/>
        <v>272.71800000000002</v>
      </c>
      <c r="AJ197" s="119">
        <f t="shared" si="120"/>
        <v>0.3252206592000001</v>
      </c>
      <c r="AK197" s="121">
        <f t="shared" si="115"/>
        <v>0</v>
      </c>
      <c r="AL197" s="66">
        <v>-201.54999999999987</v>
      </c>
      <c r="AM197" s="152">
        <f t="shared" si="88"/>
        <v>71.493220659200148</v>
      </c>
      <c r="AN197" s="164">
        <f t="shared" si="114"/>
        <v>-20.733033991168028</v>
      </c>
      <c r="AO197" s="164">
        <f t="shared" si="89"/>
        <v>59676.733033991171</v>
      </c>
      <c r="AP197" s="177">
        <f t="shared" si="93"/>
        <v>-20.733033991168028</v>
      </c>
      <c r="AQ197" s="180"/>
    </row>
    <row r="198" spans="21:43" x14ac:dyDescent="0.25">
      <c r="U198" s="279" t="s">
        <v>73</v>
      </c>
      <c r="V198" s="71">
        <f>V202/5</f>
        <v>2.2000000000000002</v>
      </c>
      <c r="W198" s="71">
        <f>$W$197+V198</f>
        <v>1291.2</v>
      </c>
      <c r="X198" s="45">
        <v>176</v>
      </c>
      <c r="Y198" s="46">
        <v>1</v>
      </c>
      <c r="Z198" s="84">
        <v>-1.698</v>
      </c>
      <c r="AA198" s="95">
        <f>AA202/5</f>
        <v>-0.4</v>
      </c>
      <c r="AB198" s="88">
        <f>$AB$197+AA198</f>
        <v>1.6</v>
      </c>
      <c r="AC198" s="111">
        <f>AC197+$AE$198</f>
        <v>1.08</v>
      </c>
      <c r="AD198" s="282">
        <f>AC202-AC197</f>
        <v>1.4000000000000001</v>
      </c>
      <c r="AE198" s="282">
        <f>AD198/5</f>
        <v>0.28000000000000003</v>
      </c>
      <c r="AF198" s="62">
        <f t="shared" si="87"/>
        <v>0.28000000000000003</v>
      </c>
      <c r="AG198" s="114">
        <f t="shared" si="0"/>
        <v>2.7468000000000003E-2</v>
      </c>
      <c r="AH198" s="117">
        <v>0.04</v>
      </c>
      <c r="AI198" s="60">
        <f t="shared" si="85"/>
        <v>272.71800000000002</v>
      </c>
      <c r="AJ198" s="121">
        <f t="shared" si="120"/>
        <v>0.59271465139200008</v>
      </c>
      <c r="AK198" s="151">
        <f t="shared" si="115"/>
        <v>6762.8644816552187</v>
      </c>
      <c r="AL198" s="174">
        <v>194.60000000000002</v>
      </c>
      <c r="AM198" s="169">
        <f t="shared" si="88"/>
        <v>7230.7751963066112</v>
      </c>
      <c r="AN198" s="61">
        <f t="shared" si="114"/>
        <v>2024.6170549658514</v>
      </c>
      <c r="AO198" s="61">
        <f t="shared" si="89"/>
        <v>57631.382945034151</v>
      </c>
      <c r="AP198" s="176">
        <f t="shared" si="93"/>
        <v>2024.6170549658514</v>
      </c>
      <c r="AQ198" s="180"/>
    </row>
    <row r="199" spans="21:43" x14ac:dyDescent="0.25">
      <c r="U199" s="280"/>
      <c r="V199" s="72">
        <f>V198*2</f>
        <v>4.4000000000000004</v>
      </c>
      <c r="W199" s="72">
        <f t="shared" ref="W199:W201" si="124">$W$197+V199</f>
        <v>1293.4000000000001</v>
      </c>
      <c r="X199" s="37">
        <v>177</v>
      </c>
      <c r="Y199" s="47">
        <v>2</v>
      </c>
      <c r="Z199" s="83">
        <v>-3.3959999999999999</v>
      </c>
      <c r="AA199" s="96">
        <f>AA198*2</f>
        <v>-0.8</v>
      </c>
      <c r="AB199" s="89">
        <f t="shared" ref="AB199:AB202" si="125">$AB$197+AA199</f>
        <v>1.2</v>
      </c>
      <c r="AC199" s="40">
        <f t="shared" ref="AC199:AC201" si="126">AC198+$AE$198</f>
        <v>1.36</v>
      </c>
      <c r="AD199" s="283"/>
      <c r="AE199" s="283"/>
      <c r="AF199" s="58">
        <f t="shared" si="87"/>
        <v>0.28000000000000003</v>
      </c>
      <c r="AG199" s="116">
        <f t="shared" si="0"/>
        <v>2.7468000000000003E-2</v>
      </c>
      <c r="AH199" s="39">
        <v>0.04</v>
      </c>
      <c r="AI199" s="41">
        <f t="shared" si="85"/>
        <v>272.71800000000002</v>
      </c>
      <c r="AJ199" s="41">
        <f t="shared" si="120"/>
        <v>0.93988770508800024</v>
      </c>
      <c r="AK199" s="121">
        <f t="shared" si="115"/>
        <v>-1715.8862618125261</v>
      </c>
      <c r="AL199" s="154">
        <v>194.60000000000002</v>
      </c>
      <c r="AM199" s="41">
        <f t="shared" si="88"/>
        <v>-1247.628374107438</v>
      </c>
      <c r="AN199" s="42">
        <f t="shared" si="114"/>
        <v>-349.33594475008266</v>
      </c>
      <c r="AO199" s="42">
        <f t="shared" si="89"/>
        <v>60005.335944750084</v>
      </c>
      <c r="AP199" s="176">
        <f t="shared" si="93"/>
        <v>-349.33594475008266</v>
      </c>
      <c r="AQ199" s="180"/>
    </row>
    <row r="200" spans="21:43" x14ac:dyDescent="0.25">
      <c r="U200" s="280"/>
      <c r="V200" s="72">
        <f>V198*3</f>
        <v>6.6000000000000005</v>
      </c>
      <c r="W200" s="72">
        <f t="shared" si="124"/>
        <v>1295.5999999999999</v>
      </c>
      <c r="X200" s="37">
        <v>178</v>
      </c>
      <c r="Y200" s="47">
        <v>3</v>
      </c>
      <c r="Z200" s="83">
        <v>-5.0939999999999994</v>
      </c>
      <c r="AA200" s="96">
        <f>AA198*3</f>
        <v>-1.2000000000000002</v>
      </c>
      <c r="AB200" s="89">
        <f t="shared" si="125"/>
        <v>0.79999999999999982</v>
      </c>
      <c r="AC200" s="40">
        <f t="shared" si="126"/>
        <v>1.6400000000000001</v>
      </c>
      <c r="AD200" s="283"/>
      <c r="AE200" s="283"/>
      <c r="AF200" s="58">
        <f t="shared" si="87"/>
        <v>0.28000000000000003</v>
      </c>
      <c r="AG200" s="116">
        <f t="shared" si="0"/>
        <v>2.7468000000000003E-2</v>
      </c>
      <c r="AH200" s="39">
        <v>0.04</v>
      </c>
      <c r="AI200" s="41">
        <f t="shared" si="85"/>
        <v>272.71800000000002</v>
      </c>
      <c r="AJ200" s="41">
        <f t="shared" si="120"/>
        <v>1.3667398202880003</v>
      </c>
      <c r="AK200" s="41">
        <f t="shared" si="115"/>
        <v>-6327.5067022019257</v>
      </c>
      <c r="AL200" s="155">
        <v>194.60000000000002</v>
      </c>
      <c r="AM200" s="41">
        <f t="shared" si="88"/>
        <v>-5858.8219623816376</v>
      </c>
      <c r="AN200" s="42">
        <f t="shared" si="114"/>
        <v>-1640.4701494668586</v>
      </c>
      <c r="AO200" s="42">
        <f t="shared" si="89"/>
        <v>61296.470149466855</v>
      </c>
      <c r="AP200" s="176">
        <f t="shared" si="93"/>
        <v>-1640.4701494668586</v>
      </c>
      <c r="AQ200" s="180"/>
    </row>
    <row r="201" spans="21:43" x14ac:dyDescent="0.25">
      <c r="U201" s="280"/>
      <c r="V201" s="72">
        <f>V198*4</f>
        <v>8.8000000000000007</v>
      </c>
      <c r="W201" s="74">
        <f t="shared" si="124"/>
        <v>1297.8</v>
      </c>
      <c r="X201" s="37">
        <v>179</v>
      </c>
      <c r="Y201" s="47">
        <v>4</v>
      </c>
      <c r="Z201" s="83">
        <v>-6.7919999999999998</v>
      </c>
      <c r="AA201" s="96">
        <f>AA198*4</f>
        <v>-1.6</v>
      </c>
      <c r="AB201" s="89">
        <f t="shared" si="125"/>
        <v>0.39999999999999991</v>
      </c>
      <c r="AC201" s="40">
        <f t="shared" si="126"/>
        <v>1.9200000000000002</v>
      </c>
      <c r="AD201" s="283"/>
      <c r="AE201" s="283"/>
      <c r="AF201" s="58">
        <f t="shared" si="87"/>
        <v>0.28000000000000003</v>
      </c>
      <c r="AG201" s="116">
        <f t="shared" si="0"/>
        <v>2.7468000000000003E-2</v>
      </c>
      <c r="AH201" s="39">
        <v>0.04</v>
      </c>
      <c r="AI201" s="41">
        <f t="shared" si="85"/>
        <v>272.71800000000002</v>
      </c>
      <c r="AJ201" s="41">
        <f t="shared" si="120"/>
        <v>1.8732709969920005</v>
      </c>
      <c r="AK201" s="168">
        <f t="shared" si="115"/>
        <v>3321.31275694431</v>
      </c>
      <c r="AL201" s="168">
        <v>194.60000000000002</v>
      </c>
      <c r="AM201" s="152">
        <f t="shared" si="88"/>
        <v>3790.504027941302</v>
      </c>
      <c r="AN201" s="42">
        <f t="shared" si="114"/>
        <v>1061.3411278235646</v>
      </c>
      <c r="AO201" s="42">
        <f t="shared" si="89"/>
        <v>58594.658872176435</v>
      </c>
      <c r="AP201" s="176">
        <f t="shared" si="93"/>
        <v>1061.3411278235646</v>
      </c>
      <c r="AQ201" s="180"/>
    </row>
    <row r="202" spans="21:43" ht="15.75" thickBot="1" x14ac:dyDescent="0.3">
      <c r="U202" s="281"/>
      <c r="V202" s="75">
        <v>11</v>
      </c>
      <c r="W202" s="48">
        <f>W197+V202</f>
        <v>1300</v>
      </c>
      <c r="X202" s="49">
        <f>X197+Y202</f>
        <v>180</v>
      </c>
      <c r="Y202" s="50">
        <v>5</v>
      </c>
      <c r="Z202" s="81">
        <v>-8.49</v>
      </c>
      <c r="AA202" s="94">
        <v>-2</v>
      </c>
      <c r="AB202" s="93">
        <f t="shared" si="125"/>
        <v>0</v>
      </c>
      <c r="AC202" s="102">
        <f>V202/Y202</f>
        <v>2.2000000000000002</v>
      </c>
      <c r="AD202" s="284"/>
      <c r="AE202" s="284"/>
      <c r="AF202" s="109">
        <f t="shared" si="87"/>
        <v>0.28000000000000003</v>
      </c>
      <c r="AG202" s="115">
        <f t="shared" si="0"/>
        <v>2.7468000000000003E-2</v>
      </c>
      <c r="AH202" s="118">
        <v>0.04</v>
      </c>
      <c r="AI202" s="121">
        <f t="shared" si="85"/>
        <v>272.71800000000002</v>
      </c>
      <c r="AJ202" s="119">
        <f t="shared" si="120"/>
        <v>2.4594812352000006</v>
      </c>
      <c r="AK202" s="121">
        <f t="shared" si="115"/>
        <v>5484.8171959605397</v>
      </c>
      <c r="AL202" s="66">
        <v>194.60000000000002</v>
      </c>
      <c r="AM202" s="66">
        <f t="shared" si="88"/>
        <v>5954.5946771957397</v>
      </c>
      <c r="AN202" s="164">
        <f t="shared" si="114"/>
        <v>1667.2865096148073</v>
      </c>
      <c r="AO202" s="164">
        <f t="shared" si="89"/>
        <v>57988.713490385191</v>
      </c>
      <c r="AP202" s="177">
        <f t="shared" si="93"/>
        <v>1667.2865096148073</v>
      </c>
      <c r="AQ202" s="180"/>
    </row>
    <row r="203" spans="21:43" x14ac:dyDescent="0.25">
      <c r="U203" s="279" t="s">
        <v>74</v>
      </c>
      <c r="V203" s="74">
        <f>V205/3</f>
        <v>16.666666666666668</v>
      </c>
      <c r="W203" s="74">
        <f>$W$202+V203</f>
        <v>1316.6666666666667</v>
      </c>
      <c r="X203" s="44">
        <v>181</v>
      </c>
      <c r="Y203" s="51">
        <v>1</v>
      </c>
      <c r="Z203" s="84">
        <v>-5.66</v>
      </c>
      <c r="AA203" s="95">
        <f>AA204*2</f>
        <v>-1.3333333333333333</v>
      </c>
      <c r="AB203" s="91">
        <f>$AB$202+AA203</f>
        <v>-1.3333333333333333</v>
      </c>
      <c r="AC203" s="111">
        <f>AC202+$AE$203</f>
        <v>7.022222222222223</v>
      </c>
      <c r="AD203" s="282">
        <f>AC205-AC202</f>
        <v>14.466666666666669</v>
      </c>
      <c r="AE203" s="282">
        <f>AD203/3</f>
        <v>4.8222222222222229</v>
      </c>
      <c r="AF203" s="62">
        <f t="shared" si="87"/>
        <v>4.8222222222222229</v>
      </c>
      <c r="AG203" s="114">
        <f t="shared" si="0"/>
        <v>0.47306000000000009</v>
      </c>
      <c r="AH203" s="117">
        <v>0.04</v>
      </c>
      <c r="AI203" s="151">
        <f t="shared" si="85"/>
        <v>272.71800000000002</v>
      </c>
      <c r="AJ203" s="121">
        <f t="shared" si="120"/>
        <v>25.058051037866672</v>
      </c>
      <c r="AK203" s="151">
        <f t="shared" si="115"/>
        <v>-3979.1237602126339</v>
      </c>
      <c r="AL203" s="174">
        <v>3351.4444444444448</v>
      </c>
      <c r="AM203" s="169">
        <f t="shared" si="88"/>
        <v>-329.90326473032246</v>
      </c>
      <c r="AN203" s="61">
        <f t="shared" si="114"/>
        <v>-1590.8668543662218</v>
      </c>
      <c r="AO203" s="61">
        <f t="shared" si="89"/>
        <v>61246.866854366221</v>
      </c>
      <c r="AP203" s="176">
        <f t="shared" si="93"/>
        <v>-1590.8668543662218</v>
      </c>
      <c r="AQ203" s="180"/>
    </row>
    <row r="204" spans="21:43" x14ac:dyDescent="0.25">
      <c r="U204" s="280"/>
      <c r="V204" s="72">
        <f>V203*2</f>
        <v>33.333333333333336</v>
      </c>
      <c r="W204" s="74">
        <f>$W$202+V204</f>
        <v>1333.3333333333333</v>
      </c>
      <c r="X204" s="37">
        <v>182</v>
      </c>
      <c r="Y204" s="47">
        <v>2</v>
      </c>
      <c r="Z204" s="83">
        <v>-2.83</v>
      </c>
      <c r="AA204" s="96">
        <f>AA202/3</f>
        <v>-0.66666666666666663</v>
      </c>
      <c r="AB204" s="89">
        <f>$AB$202+AA204</f>
        <v>-0.66666666666666663</v>
      </c>
      <c r="AC204" s="40">
        <f>AC203+$AE$203</f>
        <v>11.844444444444445</v>
      </c>
      <c r="AD204" s="283"/>
      <c r="AE204" s="283"/>
      <c r="AF204" s="58">
        <f t="shared" si="87"/>
        <v>4.822222222222222</v>
      </c>
      <c r="AG204" s="116">
        <f t="shared" si="0"/>
        <v>0.47305999999999998</v>
      </c>
      <c r="AH204" s="39">
        <v>0.04</v>
      </c>
      <c r="AI204" s="41">
        <f t="shared" si="85"/>
        <v>272.71800000000002</v>
      </c>
      <c r="AJ204" s="41">
        <f t="shared" si="120"/>
        <v>71.289823959466688</v>
      </c>
      <c r="AK204" s="41">
        <f t="shared" si="115"/>
        <v>2090.2129284135403</v>
      </c>
      <c r="AL204" s="155">
        <v>3351.4444444444443</v>
      </c>
      <c r="AM204" s="41">
        <f t="shared" si="88"/>
        <v>5785.6651968174519</v>
      </c>
      <c r="AN204" s="42">
        <f t="shared" si="114"/>
        <v>27899.763282430824</v>
      </c>
      <c r="AO204" s="42">
        <f t="shared" si="89"/>
        <v>31756.236717569176</v>
      </c>
      <c r="AP204" s="176">
        <f t="shared" si="93"/>
        <v>27899.763282430824</v>
      </c>
      <c r="AQ204" s="180"/>
    </row>
    <row r="205" spans="21:43" ht="15.75" thickBot="1" x14ac:dyDescent="0.3">
      <c r="U205" s="281"/>
      <c r="V205" s="75">
        <v>50</v>
      </c>
      <c r="W205" s="48">
        <f>W202+V205</f>
        <v>1350</v>
      </c>
      <c r="X205" s="49">
        <f>X202+Y205</f>
        <v>183</v>
      </c>
      <c r="Y205" s="50">
        <v>3</v>
      </c>
      <c r="Z205" s="81">
        <v>0</v>
      </c>
      <c r="AA205" s="90">
        <v>0</v>
      </c>
      <c r="AB205" s="107">
        <f>$AB$202+AA205</f>
        <v>0</v>
      </c>
      <c r="AC205" s="64">
        <f>V205/Y205</f>
        <v>16.666666666666668</v>
      </c>
      <c r="AD205" s="284"/>
      <c r="AE205" s="284"/>
      <c r="AF205" s="109">
        <f t="shared" si="87"/>
        <v>4.8222222222222229</v>
      </c>
      <c r="AG205" s="115">
        <f t="shared" si="0"/>
        <v>0.47306000000000009</v>
      </c>
      <c r="AH205" s="118">
        <v>0.04</v>
      </c>
      <c r="AI205" s="121">
        <f t="shared" si="85"/>
        <v>272.71800000000002</v>
      </c>
      <c r="AJ205" s="119">
        <f t="shared" si="120"/>
        <v>141.15480000000005</v>
      </c>
      <c r="AK205" s="170">
        <f t="shared" si="115"/>
        <v>0</v>
      </c>
      <c r="AL205" s="170">
        <v>3351.4444444444448</v>
      </c>
      <c r="AM205" s="119">
        <f t="shared" si="88"/>
        <v>3765.3172444444449</v>
      </c>
      <c r="AN205" s="164">
        <f t="shared" si="114"/>
        <v>18157.196489876547</v>
      </c>
      <c r="AO205" s="163">
        <f t="shared" si="89"/>
        <v>41498.803510123456</v>
      </c>
      <c r="AP205" s="177">
        <f t="shared" si="93"/>
        <v>18157.196489876547</v>
      </c>
      <c r="AQ205" s="180"/>
    </row>
    <row r="206" spans="21:43" x14ac:dyDescent="0.25">
      <c r="AB206" s="108"/>
      <c r="AF206" s="108"/>
      <c r="AI206" s="108"/>
    </row>
    <row r="207" spans="21:43" x14ac:dyDescent="0.25">
      <c r="AM207" s="113" t="s">
        <v>91</v>
      </c>
      <c r="AN207" s="162">
        <f>MAX(AO22:AO205)</f>
        <v>71844.490727202705</v>
      </c>
      <c r="AO207" s="5" t="s">
        <v>96</v>
      </c>
      <c r="AP207" s="89">
        <f>MAX(AP23:AP205)</f>
        <v>43425.690931164325</v>
      </c>
    </row>
    <row r="208" spans="21:43" x14ac:dyDescent="0.25">
      <c r="AM208" s="113" t="s">
        <v>93</v>
      </c>
      <c r="AN208" s="162">
        <f>MIN(AO22:AO205)</f>
        <v>16230.309068835675</v>
      </c>
      <c r="AO208" s="5" t="s">
        <v>97</v>
      </c>
      <c r="AP208" s="89">
        <f>MIN(AP23:AP205)</f>
        <v>-12188.490727202699</v>
      </c>
    </row>
    <row r="209" spans="39:41" x14ac:dyDescent="0.25">
      <c r="AM209" s="113" t="s">
        <v>94</v>
      </c>
      <c r="AN209" s="42">
        <f>AN207-AN208</f>
        <v>55614.18165836703</v>
      </c>
    </row>
    <row r="210" spans="39:41" x14ac:dyDescent="0.25">
      <c r="AN210" s="15"/>
      <c r="AO210" s="110"/>
    </row>
  </sheetData>
  <mergeCells count="126">
    <mergeCell ref="AE189:AE192"/>
    <mergeCell ref="AE193:AE197"/>
    <mergeCell ref="AE198:AE202"/>
    <mergeCell ref="AE203:AE205"/>
    <mergeCell ref="AE166:AE169"/>
    <mergeCell ref="AE170:AE172"/>
    <mergeCell ref="AE173:AE176"/>
    <mergeCell ref="AE177:AE180"/>
    <mergeCell ref="AE181:AE185"/>
    <mergeCell ref="AE152:AE155"/>
    <mergeCell ref="AE156:AE161"/>
    <mergeCell ref="AE162:AE164"/>
    <mergeCell ref="AE121:AE126"/>
    <mergeCell ref="AE127:AE130"/>
    <mergeCell ref="AE131:AE136"/>
    <mergeCell ref="AE137:AE140"/>
    <mergeCell ref="AE141:AE145"/>
    <mergeCell ref="AE186:AE188"/>
    <mergeCell ref="AE110:AE116"/>
    <mergeCell ref="AE117:AE120"/>
    <mergeCell ref="AE72:AE76"/>
    <mergeCell ref="AE77:AE81"/>
    <mergeCell ref="AE82:AE88"/>
    <mergeCell ref="AE89:AE91"/>
    <mergeCell ref="AE92:AE96"/>
    <mergeCell ref="AE146:AE148"/>
    <mergeCell ref="AE149:AE151"/>
    <mergeCell ref="AE59:AE65"/>
    <mergeCell ref="AE66:AE71"/>
    <mergeCell ref="AD186:AD188"/>
    <mergeCell ref="AD189:AD192"/>
    <mergeCell ref="AD193:AD197"/>
    <mergeCell ref="AD198:AD202"/>
    <mergeCell ref="AD121:AD126"/>
    <mergeCell ref="AD127:AD130"/>
    <mergeCell ref="AD131:AD136"/>
    <mergeCell ref="AD137:AD140"/>
    <mergeCell ref="AD141:AD145"/>
    <mergeCell ref="AD97:AD100"/>
    <mergeCell ref="AD101:AD105"/>
    <mergeCell ref="AD106:AD109"/>
    <mergeCell ref="AD110:AD116"/>
    <mergeCell ref="AD117:AD120"/>
    <mergeCell ref="AD72:AD76"/>
    <mergeCell ref="AD77:AD81"/>
    <mergeCell ref="AD82:AD88"/>
    <mergeCell ref="AD89:AD91"/>
    <mergeCell ref="AD92:AD96"/>
    <mergeCell ref="AE97:AE100"/>
    <mergeCell ref="AE101:AE105"/>
    <mergeCell ref="AE106:AE109"/>
    <mergeCell ref="U72:U76"/>
    <mergeCell ref="U77:U81"/>
    <mergeCell ref="U82:U88"/>
    <mergeCell ref="U89:U91"/>
    <mergeCell ref="U92:U96"/>
    <mergeCell ref="AD203:AD205"/>
    <mergeCell ref="AD166:AD169"/>
    <mergeCell ref="AD170:AD172"/>
    <mergeCell ref="AD173:AD176"/>
    <mergeCell ref="AD177:AD180"/>
    <mergeCell ref="AD181:AD185"/>
    <mergeCell ref="AD146:AD148"/>
    <mergeCell ref="AD149:AD151"/>
    <mergeCell ref="AD152:AD155"/>
    <mergeCell ref="AD156:AD161"/>
    <mergeCell ref="AD162:AD164"/>
    <mergeCell ref="U121:U126"/>
    <mergeCell ref="U127:U130"/>
    <mergeCell ref="U131:U136"/>
    <mergeCell ref="U137:U140"/>
    <mergeCell ref="U141:U145"/>
    <mergeCell ref="U97:U100"/>
    <mergeCell ref="U101:U105"/>
    <mergeCell ref="U106:U109"/>
    <mergeCell ref="U110:U116"/>
    <mergeCell ref="U117:U120"/>
    <mergeCell ref="U203:U205"/>
    <mergeCell ref="U166:U169"/>
    <mergeCell ref="U170:U172"/>
    <mergeCell ref="U173:U176"/>
    <mergeCell ref="U177:U180"/>
    <mergeCell ref="U181:U185"/>
    <mergeCell ref="U146:U148"/>
    <mergeCell ref="U149:U151"/>
    <mergeCell ref="U152:U155"/>
    <mergeCell ref="U156:U161"/>
    <mergeCell ref="U162:U164"/>
    <mergeCell ref="U186:U188"/>
    <mergeCell ref="U189:U192"/>
    <mergeCell ref="U193:U197"/>
    <mergeCell ref="U198:U202"/>
    <mergeCell ref="U59:U65"/>
    <mergeCell ref="U66:U71"/>
    <mergeCell ref="E2:H2"/>
    <mergeCell ref="U23:U27"/>
    <mergeCell ref="U28:U31"/>
    <mergeCell ref="U32:U40"/>
    <mergeCell ref="AD23:AD27"/>
    <mergeCell ref="AD28:AD31"/>
    <mergeCell ref="AD32:AD40"/>
    <mergeCell ref="AD41:AD46"/>
    <mergeCell ref="AD47:AD53"/>
    <mergeCell ref="AD54:AD58"/>
    <mergeCell ref="AD59:AD65"/>
    <mergeCell ref="AD66:AD71"/>
    <mergeCell ref="C25:C26"/>
    <mergeCell ref="B25:B26"/>
    <mergeCell ref="B29:B33"/>
    <mergeCell ref="F16:G16"/>
    <mergeCell ref="F21:G21"/>
    <mergeCell ref="U20:AP20"/>
    <mergeCell ref="U41:U46"/>
    <mergeCell ref="U47:U53"/>
    <mergeCell ref="U54:U58"/>
    <mergeCell ref="AE28:AE31"/>
    <mergeCell ref="AE32:AE40"/>
    <mergeCell ref="AE23:AE27"/>
    <mergeCell ref="AE41:AE46"/>
    <mergeCell ref="AE47:AE53"/>
    <mergeCell ref="AE54:AE58"/>
    <mergeCell ref="F26:I26"/>
    <mergeCell ref="K26:N26"/>
    <mergeCell ref="G30:H30"/>
    <mergeCell ref="L31:N31"/>
    <mergeCell ref="L32:N32"/>
  </mergeCells>
  <conditionalFormatting sqref="Y22:Y20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69F6-AAD8-4B20-B9A3-B3A5FFCA336C}">
  <dimension ref="B1:AS215"/>
  <sheetViews>
    <sheetView tabSelected="1" zoomScale="55" zoomScaleNormal="55" workbookViewId="0">
      <selection activeCell="H43" sqref="H43"/>
    </sheetView>
  </sheetViews>
  <sheetFormatPr defaultRowHeight="15" x14ac:dyDescent="0.25"/>
  <cols>
    <col min="2" max="2" width="29.7109375" bestFit="1" customWidth="1"/>
    <col min="3" max="3" width="17.28515625" customWidth="1"/>
    <col min="4" max="4" width="10.5703125" customWidth="1"/>
    <col min="5" max="5" width="18.7109375" bestFit="1" customWidth="1"/>
    <col min="6" max="6" width="27.28515625" bestFit="1" customWidth="1"/>
    <col min="7" max="7" width="29.7109375" customWidth="1"/>
    <col min="8" max="8" width="10.5703125" customWidth="1"/>
    <col min="9" max="9" width="27.140625" bestFit="1" customWidth="1"/>
    <col min="10" max="10" width="19.140625" customWidth="1"/>
    <col min="11" max="11" width="20.140625" bestFit="1" customWidth="1"/>
    <col min="12" max="12" width="11.42578125" customWidth="1"/>
    <col min="13" max="13" width="21.5703125" bestFit="1" customWidth="1"/>
    <col min="14" max="14" width="9.7109375" customWidth="1"/>
    <col min="15" max="15" width="6.28515625" customWidth="1"/>
    <col min="16" max="16" width="9.7109375" customWidth="1"/>
    <col min="21" max="21" width="10.5703125" bestFit="1" customWidth="1"/>
    <col min="22" max="22" width="15.85546875" bestFit="1" customWidth="1"/>
    <col min="23" max="23" width="23" bestFit="1" customWidth="1"/>
    <col min="24" max="24" width="26.42578125" bestFit="1" customWidth="1"/>
    <col min="25" max="25" width="11.5703125" bestFit="1" customWidth="1"/>
    <col min="26" max="26" width="9.140625" bestFit="1" customWidth="1"/>
    <col min="27" max="27" width="17.140625" bestFit="1" customWidth="1"/>
    <col min="28" max="28" width="29.7109375" bestFit="1" customWidth="1"/>
    <col min="29" max="29" width="9.42578125" bestFit="1" customWidth="1"/>
    <col min="30" max="30" width="10.7109375" bestFit="1" customWidth="1"/>
    <col min="31" max="31" width="15.7109375" bestFit="1" customWidth="1"/>
    <col min="32" max="32" width="13.140625" bestFit="1" customWidth="1"/>
    <col min="33" max="33" width="9.7109375" customWidth="1"/>
    <col min="34" max="34" width="19.28515625" customWidth="1"/>
    <col min="35" max="35" width="18.5703125" bestFit="1" customWidth="1"/>
    <col min="36" max="36" width="15.85546875" bestFit="1" customWidth="1"/>
    <col min="37" max="37" width="20.7109375" bestFit="1" customWidth="1"/>
    <col min="38" max="38" width="18.140625" bestFit="1" customWidth="1"/>
    <col min="39" max="40" width="23.42578125" bestFit="1" customWidth="1"/>
    <col min="41" max="41" width="14.5703125" customWidth="1"/>
    <col min="42" max="42" width="38.5703125" bestFit="1" customWidth="1"/>
    <col min="43" max="43" width="18.85546875" customWidth="1"/>
    <col min="44" max="44" width="16.85546875" bestFit="1" customWidth="1"/>
    <col min="45" max="45" width="14.7109375" bestFit="1" customWidth="1"/>
  </cols>
  <sheetData>
    <row r="1" spans="2:21" ht="15.75" thickBot="1" x14ac:dyDescent="0.3">
      <c r="B1" s="198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200"/>
    </row>
    <row r="2" spans="2:21" ht="15.75" thickTop="1" x14ac:dyDescent="0.25">
      <c r="B2" s="218" t="s">
        <v>1</v>
      </c>
      <c r="C2" s="219">
        <v>963</v>
      </c>
      <c r="D2" s="220"/>
      <c r="E2" s="300" t="s">
        <v>9</v>
      </c>
      <c r="F2" s="301"/>
      <c r="G2" s="301"/>
      <c r="H2" s="302"/>
      <c r="I2" s="220"/>
      <c r="J2" s="220"/>
      <c r="K2" s="220"/>
      <c r="L2" s="220"/>
      <c r="M2" s="220"/>
      <c r="N2" s="220"/>
      <c r="O2" s="221"/>
      <c r="P2" s="15"/>
      <c r="Q2" s="15"/>
      <c r="R2" s="15"/>
      <c r="S2" s="15"/>
      <c r="T2" s="15"/>
      <c r="U2" s="15"/>
    </row>
    <row r="3" spans="2:21" x14ac:dyDescent="0.25">
      <c r="B3" s="222" t="s">
        <v>2</v>
      </c>
      <c r="C3" s="13">
        <v>80</v>
      </c>
      <c r="D3" s="17"/>
      <c r="E3" s="5" t="s">
        <v>4</v>
      </c>
      <c r="F3" s="6" t="s">
        <v>14</v>
      </c>
      <c r="G3" s="7" t="s">
        <v>5</v>
      </c>
      <c r="H3" s="8">
        <v>80</v>
      </c>
      <c r="I3" s="17"/>
      <c r="J3" s="17"/>
      <c r="K3" s="17"/>
      <c r="L3" s="17"/>
      <c r="M3" s="17"/>
      <c r="N3" s="17"/>
      <c r="O3" s="223"/>
      <c r="P3" s="17"/>
      <c r="Q3" s="17"/>
      <c r="R3" s="17"/>
      <c r="S3" s="17"/>
      <c r="T3" s="17"/>
      <c r="U3" s="17"/>
    </row>
    <row r="4" spans="2:21" x14ac:dyDescent="0.25">
      <c r="B4" s="222" t="s">
        <v>3</v>
      </c>
      <c r="C4" s="13">
        <v>82</v>
      </c>
      <c r="D4" s="17"/>
      <c r="E4" s="18"/>
      <c r="F4" s="18"/>
      <c r="G4" s="18"/>
      <c r="H4" s="18"/>
      <c r="I4" s="17"/>
      <c r="J4" s="17"/>
      <c r="K4" s="17"/>
      <c r="L4" s="17"/>
      <c r="M4" s="17"/>
      <c r="N4" s="17"/>
      <c r="O4" s="223"/>
      <c r="P4" s="17"/>
      <c r="Q4" s="17"/>
      <c r="R4" s="17"/>
      <c r="S4" s="17"/>
      <c r="T4" s="17"/>
      <c r="U4" s="17"/>
    </row>
    <row r="5" spans="2:21" x14ac:dyDescent="0.25">
      <c r="B5" s="222" t="s">
        <v>95</v>
      </c>
      <c r="C5" s="185">
        <v>59656</v>
      </c>
      <c r="D5" s="149"/>
      <c r="E5" s="14" t="s">
        <v>18</v>
      </c>
      <c r="F5" s="13">
        <v>60</v>
      </c>
      <c r="G5" s="18"/>
      <c r="H5" s="18"/>
      <c r="I5" s="17"/>
      <c r="J5" s="17"/>
      <c r="K5" s="17"/>
      <c r="L5" s="17"/>
      <c r="M5" s="17"/>
      <c r="N5" s="17"/>
      <c r="O5" s="223"/>
      <c r="P5" s="17"/>
      <c r="Q5" s="17"/>
      <c r="R5" s="17"/>
      <c r="S5" s="17"/>
      <c r="T5" s="17"/>
      <c r="U5" s="17"/>
    </row>
    <row r="6" spans="2:21" x14ac:dyDescent="0.25">
      <c r="B6" s="222" t="s">
        <v>8</v>
      </c>
      <c r="C6" s="4">
        <v>695</v>
      </c>
      <c r="D6" s="15"/>
      <c r="E6" s="18"/>
      <c r="F6" s="18"/>
      <c r="G6" s="18"/>
      <c r="H6" s="18"/>
      <c r="I6" s="15"/>
      <c r="J6" s="15"/>
      <c r="K6" s="15"/>
      <c r="L6" s="15"/>
      <c r="M6" s="15"/>
      <c r="N6" s="15"/>
      <c r="O6" s="223"/>
      <c r="P6" s="17"/>
      <c r="Q6" s="17"/>
      <c r="R6" s="17"/>
      <c r="S6" s="17"/>
      <c r="T6" s="17"/>
      <c r="U6" s="17"/>
    </row>
    <row r="7" spans="2:21" x14ac:dyDescent="0.25">
      <c r="B7" s="222" t="s">
        <v>6</v>
      </c>
      <c r="C7" s="4" t="s">
        <v>7</v>
      </c>
      <c r="D7" s="17"/>
      <c r="E7" s="7" t="s">
        <v>22</v>
      </c>
      <c r="F7" s="13">
        <v>7.3</v>
      </c>
      <c r="G7" s="18"/>
      <c r="H7" s="18"/>
      <c r="I7" s="17"/>
      <c r="J7" s="17"/>
      <c r="K7" s="17"/>
      <c r="L7" s="17"/>
      <c r="M7" s="17"/>
      <c r="N7" s="17"/>
      <c r="O7" s="223"/>
      <c r="P7" s="17"/>
      <c r="Q7" s="17"/>
      <c r="R7" s="17"/>
      <c r="S7" s="17"/>
      <c r="T7" s="17"/>
      <c r="U7" s="17"/>
    </row>
    <row r="8" spans="2:21" x14ac:dyDescent="0.25">
      <c r="B8" s="222" t="s">
        <v>78</v>
      </c>
      <c r="C8" s="13">
        <v>1.845</v>
      </c>
      <c r="D8" s="17"/>
      <c r="E8" s="17"/>
      <c r="F8" s="17"/>
      <c r="G8" s="17"/>
      <c r="H8" s="17"/>
      <c r="I8" s="17"/>
      <c r="J8" s="17"/>
      <c r="K8" s="17"/>
      <c r="L8" s="17"/>
      <c r="M8" s="15"/>
      <c r="N8" s="17"/>
      <c r="O8" s="224"/>
      <c r="P8" s="15"/>
      <c r="Q8" s="15"/>
      <c r="R8" s="15"/>
      <c r="S8" s="15"/>
      <c r="T8" s="15"/>
      <c r="U8" s="15"/>
    </row>
    <row r="9" spans="2:21" x14ac:dyDescent="0.25">
      <c r="B9" s="222" t="s">
        <v>79</v>
      </c>
      <c r="C9" s="13">
        <v>1.51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210"/>
    </row>
    <row r="10" spans="2:21" x14ac:dyDescent="0.25">
      <c r="B10" s="222" t="s">
        <v>80</v>
      </c>
      <c r="C10" s="13">
        <v>3.14</v>
      </c>
      <c r="D10" s="17"/>
      <c r="E10" s="9" t="s">
        <v>19</v>
      </c>
      <c r="F10" s="4">
        <v>4</v>
      </c>
      <c r="G10" s="4">
        <v>3</v>
      </c>
      <c r="H10" s="4">
        <v>2</v>
      </c>
      <c r="I10" s="4">
        <v>1</v>
      </c>
      <c r="J10" s="4">
        <v>2</v>
      </c>
      <c r="K10" s="4">
        <v>3</v>
      </c>
      <c r="L10" s="4">
        <v>2</v>
      </c>
      <c r="M10" s="4">
        <v>3</v>
      </c>
      <c r="N10" s="4">
        <v>1</v>
      </c>
      <c r="O10" s="225">
        <v>1</v>
      </c>
    </row>
    <row r="11" spans="2:21" x14ac:dyDescent="0.25">
      <c r="B11" s="222" t="s">
        <v>11</v>
      </c>
      <c r="C11" s="13" t="s">
        <v>10</v>
      </c>
      <c r="D11" s="18"/>
      <c r="E11" s="10" t="s">
        <v>0</v>
      </c>
      <c r="F11" s="11">
        <f>SUM(F10:O10)</f>
        <v>22</v>
      </c>
      <c r="G11" s="19"/>
      <c r="H11" s="19"/>
      <c r="I11" s="19"/>
      <c r="J11" s="19"/>
      <c r="K11" s="19"/>
      <c r="L11" s="19"/>
      <c r="M11" s="19"/>
      <c r="N11" s="19"/>
      <c r="O11" s="226"/>
    </row>
    <row r="12" spans="2:21" x14ac:dyDescent="0.25">
      <c r="B12" s="222" t="s">
        <v>12</v>
      </c>
      <c r="C12" s="13" t="s">
        <v>13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210"/>
    </row>
    <row r="13" spans="2:21" x14ac:dyDescent="0.25">
      <c r="B13" s="222" t="s">
        <v>15</v>
      </c>
      <c r="C13" s="4">
        <v>300</v>
      </c>
      <c r="D13" s="18"/>
      <c r="E13" s="9" t="s">
        <v>20</v>
      </c>
      <c r="F13" s="13">
        <v>4</v>
      </c>
      <c r="G13" s="13">
        <v>4</v>
      </c>
      <c r="H13" s="13">
        <v>4</v>
      </c>
      <c r="I13" s="13">
        <v>2</v>
      </c>
      <c r="J13" s="13">
        <v>1</v>
      </c>
      <c r="K13" s="13">
        <v>2</v>
      </c>
      <c r="L13" s="13">
        <v>1</v>
      </c>
      <c r="M13" s="13">
        <v>2</v>
      </c>
      <c r="N13" s="13">
        <v>2</v>
      </c>
      <c r="O13" s="226"/>
    </row>
    <row r="14" spans="2:21" ht="15.75" thickBot="1" x14ac:dyDescent="0.3">
      <c r="B14" s="227"/>
      <c r="C14" s="216"/>
      <c r="D14" s="216"/>
      <c r="E14" s="228" t="s">
        <v>21</v>
      </c>
      <c r="F14" s="229">
        <f>SUM(F13:N13)</f>
        <v>22</v>
      </c>
      <c r="G14" s="216"/>
      <c r="H14" s="216"/>
      <c r="I14" s="216"/>
      <c r="J14" s="216"/>
      <c r="K14" s="216"/>
      <c r="L14" s="216"/>
      <c r="M14" s="216"/>
      <c r="N14" s="216"/>
      <c r="O14" s="217"/>
    </row>
    <row r="15" spans="2:21" ht="15.75" thickTop="1" x14ac:dyDescent="0.25"/>
    <row r="16" spans="2:21" x14ac:dyDescent="0.25">
      <c r="B16" s="9" t="s">
        <v>17</v>
      </c>
      <c r="C16" s="7" t="s">
        <v>16</v>
      </c>
      <c r="D16" s="147">
        <v>0.04</v>
      </c>
      <c r="F16" s="275" t="s">
        <v>120</v>
      </c>
      <c r="G16" s="275"/>
    </row>
    <row r="17" spans="2:45" x14ac:dyDescent="0.25">
      <c r="F17" s="7" t="s">
        <v>114</v>
      </c>
      <c r="G17" s="7">
        <v>355.6</v>
      </c>
    </row>
    <row r="18" spans="2:45" x14ac:dyDescent="0.25">
      <c r="B18" s="9" t="s">
        <v>81</v>
      </c>
      <c r="C18" s="16">
        <f>(C8*C9)*0.8</f>
        <v>2.2287600000000003</v>
      </c>
      <c r="F18" s="7" t="s">
        <v>115</v>
      </c>
      <c r="G18" s="7">
        <v>685.8</v>
      </c>
    </row>
    <row r="19" spans="2:45" ht="15.75" thickBot="1" x14ac:dyDescent="0.3">
      <c r="F19" s="7" t="s">
        <v>116</v>
      </c>
      <c r="G19" s="7">
        <v>228.6</v>
      </c>
    </row>
    <row r="20" spans="2:45" ht="15.75" thickBot="1" x14ac:dyDescent="0.3">
      <c r="B20" s="9" t="s">
        <v>82</v>
      </c>
      <c r="C20" s="13">
        <v>0.38</v>
      </c>
      <c r="U20" s="277"/>
      <c r="V20" s="278"/>
      <c r="W20" s="278"/>
      <c r="X20" s="278"/>
      <c r="Y20" s="278"/>
      <c r="Z20" s="278"/>
      <c r="AA20" s="278"/>
      <c r="AB20" s="278"/>
      <c r="AC20" s="278"/>
      <c r="AD20" s="278"/>
      <c r="AE20" s="278"/>
      <c r="AF20" s="278"/>
      <c r="AG20" s="278"/>
      <c r="AH20" s="278"/>
      <c r="AI20" s="278"/>
      <c r="AJ20" s="278"/>
      <c r="AK20" s="278"/>
      <c r="AL20" s="278"/>
      <c r="AM20" s="278"/>
      <c r="AN20" s="278"/>
      <c r="AO20" s="278"/>
      <c r="AP20" s="278"/>
    </row>
    <row r="21" spans="2:45" ht="15.75" thickBot="1" x14ac:dyDescent="0.3">
      <c r="F21" s="276" t="s">
        <v>121</v>
      </c>
      <c r="G21" s="276"/>
      <c r="R21" s="18"/>
      <c r="S21" s="18"/>
      <c r="T21" s="131"/>
      <c r="U21" s="132" t="s">
        <v>24</v>
      </c>
      <c r="V21" s="133" t="s">
        <v>25</v>
      </c>
      <c r="W21" s="134" t="s">
        <v>26</v>
      </c>
      <c r="X21" s="135" t="s">
        <v>86</v>
      </c>
      <c r="Y21" s="135" t="s">
        <v>27</v>
      </c>
      <c r="Z21" s="136" t="s">
        <v>29</v>
      </c>
      <c r="AA21" s="137" t="s">
        <v>46</v>
      </c>
      <c r="AB21" s="138" t="s">
        <v>76</v>
      </c>
      <c r="AC21" s="139" t="s">
        <v>90</v>
      </c>
      <c r="AD21" s="140" t="s">
        <v>89</v>
      </c>
      <c r="AE21" s="141" t="s">
        <v>92</v>
      </c>
      <c r="AF21" s="139" t="s">
        <v>30</v>
      </c>
      <c r="AG21" s="139" t="s">
        <v>45</v>
      </c>
      <c r="AH21" s="127" t="s">
        <v>88</v>
      </c>
      <c r="AI21" s="127" t="s">
        <v>77</v>
      </c>
      <c r="AJ21" s="143" t="s">
        <v>31</v>
      </c>
      <c r="AK21" s="127" t="s">
        <v>84</v>
      </c>
      <c r="AL21" s="127" t="s">
        <v>129</v>
      </c>
      <c r="AM21" s="142" t="s">
        <v>33</v>
      </c>
      <c r="AN21" s="144" t="s">
        <v>85</v>
      </c>
      <c r="AO21" s="146" t="s">
        <v>32</v>
      </c>
      <c r="AP21" s="201" t="s">
        <v>87</v>
      </c>
      <c r="AQ21" s="187" t="s">
        <v>189</v>
      </c>
      <c r="AR21" s="188" t="s">
        <v>190</v>
      </c>
      <c r="AS21" s="253" t="s">
        <v>190</v>
      </c>
    </row>
    <row r="22" spans="2:45" ht="15.75" thickBot="1" x14ac:dyDescent="0.3">
      <c r="B22" s="9" t="s">
        <v>83</v>
      </c>
      <c r="C22" s="13">
        <v>1.2</v>
      </c>
      <c r="F22" s="159" t="s">
        <v>118</v>
      </c>
      <c r="G22" s="159">
        <v>355.6</v>
      </c>
      <c r="R22" s="18"/>
      <c r="S22" s="18"/>
      <c r="U22" s="70" t="s">
        <v>34</v>
      </c>
      <c r="V22" s="73">
        <v>0</v>
      </c>
      <c r="W22" s="53">
        <v>0</v>
      </c>
      <c r="X22" s="54">
        <f>0</f>
        <v>0</v>
      </c>
      <c r="Y22" s="55">
        <v>0</v>
      </c>
      <c r="Z22" s="79">
        <v>0</v>
      </c>
      <c r="AA22" s="87">
        <v>0</v>
      </c>
      <c r="AB22" s="67">
        <v>0</v>
      </c>
      <c r="AC22" s="68">
        <v>0</v>
      </c>
      <c r="AD22" s="68">
        <v>0</v>
      </c>
      <c r="AE22" s="68">
        <v>0</v>
      </c>
      <c r="AF22" s="122">
        <v>0</v>
      </c>
      <c r="AG22" s="124">
        <f t="shared" ref="AG22:AG205" si="0">(9.81/100)*AF22</f>
        <v>0</v>
      </c>
      <c r="AH22" s="125">
        <v>0.04</v>
      </c>
      <c r="AI22" s="161">
        <f t="shared" ref="AI22:AI85" si="1">$C$6*9.81*AH22</f>
        <v>272.71800000000002</v>
      </c>
      <c r="AJ22" s="127">
        <v>0</v>
      </c>
      <c r="AK22" s="127">
        <v>0</v>
      </c>
      <c r="AL22" s="128">
        <v>0</v>
      </c>
      <c r="AM22" s="126">
        <f>AI22+AJ22+AK22+AL22</f>
        <v>272.71800000000002</v>
      </c>
      <c r="AN22" s="129">
        <f t="shared" ref="AN22:AN53" si="2">AM22*AF22</f>
        <v>0</v>
      </c>
      <c r="AO22" s="129">
        <f>$C$5-AN22</f>
        <v>59656</v>
      </c>
      <c r="AP22" s="202">
        <v>0</v>
      </c>
      <c r="AQ22" s="5"/>
      <c r="AR22" s="7"/>
      <c r="AS22" s="159"/>
    </row>
    <row r="23" spans="2:45" x14ac:dyDescent="0.25">
      <c r="B23" s="15"/>
      <c r="C23" s="19"/>
      <c r="F23" s="159" t="s">
        <v>117</v>
      </c>
      <c r="G23" s="159">
        <v>685.8</v>
      </c>
      <c r="R23" s="18"/>
      <c r="S23" s="18"/>
      <c r="U23" s="279" t="s">
        <v>75</v>
      </c>
      <c r="V23" s="74">
        <v>4.4000000000000004</v>
      </c>
      <c r="W23" s="74">
        <f>W22+V23</f>
        <v>4.4000000000000004</v>
      </c>
      <c r="X23" s="44">
        <v>1</v>
      </c>
      <c r="Y23" s="51">
        <v>1</v>
      </c>
      <c r="Z23" s="80">
        <v>0</v>
      </c>
      <c r="AA23" s="88">
        <v>0</v>
      </c>
      <c r="AB23" s="57">
        <v>0</v>
      </c>
      <c r="AC23" s="58">
        <f>AC27/5</f>
        <v>0.88000000000000012</v>
      </c>
      <c r="AD23" s="282">
        <v>4.4000000000000004</v>
      </c>
      <c r="AE23" s="282">
        <v>0.88</v>
      </c>
      <c r="AF23" s="58">
        <f>AC23-AC22</f>
        <v>0.88000000000000012</v>
      </c>
      <c r="AG23" s="123">
        <f t="shared" si="0"/>
        <v>8.6328000000000016E-2</v>
      </c>
      <c r="AH23" s="59">
        <v>0.04</v>
      </c>
      <c r="AI23" s="60">
        <f t="shared" si="1"/>
        <v>272.71800000000002</v>
      </c>
      <c r="AJ23" s="60">
        <f>0.5*$C$18*$C$20*$C$22*(AC23*AC23)</f>
        <v>0.39351699763200015</v>
      </c>
      <c r="AK23" s="168">
        <f t="shared" ref="AK23:AK54" si="3">$C$6*9.81*-SIN(Z23)</f>
        <v>0</v>
      </c>
      <c r="AL23" s="172">
        <v>611.60000000000014</v>
      </c>
      <c r="AM23" s="169">
        <f>AI23+AJ23+AK23+AL23</f>
        <v>884.71151699763209</v>
      </c>
      <c r="AN23" s="166">
        <f t="shared" si="2"/>
        <v>778.54613495791637</v>
      </c>
      <c r="AO23" s="167">
        <f>$C$5-AN23</f>
        <v>58877.453865042087</v>
      </c>
      <c r="AP23" s="61">
        <f>AN23/$Y$23</f>
        <v>778.54613495791637</v>
      </c>
      <c r="AQ23" s="248">
        <f>AN23</f>
        <v>778.54613495791637</v>
      </c>
      <c r="AR23" s="7"/>
      <c r="AS23" s="159"/>
    </row>
    <row r="24" spans="2:45" x14ac:dyDescent="0.25">
      <c r="B24" s="15"/>
      <c r="C24" s="19"/>
      <c r="F24" s="159" t="s">
        <v>119</v>
      </c>
      <c r="G24" s="159">
        <v>279.39999999999998</v>
      </c>
      <c r="R24" s="18"/>
      <c r="S24" s="18"/>
      <c r="U24" s="280"/>
      <c r="V24" s="72">
        <v>8.8000000000000007</v>
      </c>
      <c r="W24" s="74">
        <f>V24</f>
        <v>8.8000000000000007</v>
      </c>
      <c r="X24" s="37">
        <v>2</v>
      </c>
      <c r="Y24" s="47">
        <v>2</v>
      </c>
      <c r="Z24" s="80">
        <v>0</v>
      </c>
      <c r="AA24" s="89">
        <v>0</v>
      </c>
      <c r="AB24" s="38">
        <v>0</v>
      </c>
      <c r="AC24" s="40">
        <f>AC23*2</f>
        <v>1.7600000000000002</v>
      </c>
      <c r="AD24" s="283"/>
      <c r="AE24" s="283"/>
      <c r="AF24" s="58">
        <f t="shared" ref="AF24:AF87" si="4">AC24-AC23</f>
        <v>0.88000000000000012</v>
      </c>
      <c r="AG24" s="116">
        <f t="shared" si="0"/>
        <v>8.6328000000000016E-2</v>
      </c>
      <c r="AH24" s="39">
        <v>0.04</v>
      </c>
      <c r="AI24" s="41">
        <f t="shared" si="1"/>
        <v>272.71800000000002</v>
      </c>
      <c r="AJ24" s="41">
        <f t="shared" ref="AJ24:AJ26" si="5">0.5*$C$18*$C$20*$C$22*(AC24*AC24)</f>
        <v>1.5740679905280006</v>
      </c>
      <c r="AK24" s="168">
        <f t="shared" si="3"/>
        <v>0</v>
      </c>
      <c r="AL24" s="168">
        <v>611.60000000000014</v>
      </c>
      <c r="AM24" s="41">
        <f t="shared" ref="AM24:AM87" si="6">AI24+AJ24+AK24+AL24</f>
        <v>885.89206799052818</v>
      </c>
      <c r="AN24" s="42">
        <f t="shared" si="2"/>
        <v>779.58501983166491</v>
      </c>
      <c r="AO24" s="42">
        <f t="shared" ref="AO24:AO87" si="7">$C$5-AN24</f>
        <v>58876.414980168338</v>
      </c>
      <c r="AP24" s="61">
        <f>AN24/$Y$23</f>
        <v>779.58501983166491</v>
      </c>
      <c r="AQ24" s="248">
        <f>AN24</f>
        <v>779.58501983166491</v>
      </c>
      <c r="AR24" s="7"/>
      <c r="AS24" s="159"/>
    </row>
    <row r="25" spans="2:45" x14ac:dyDescent="0.25">
      <c r="B25" s="274" t="s">
        <v>100</v>
      </c>
      <c r="C25" s="273" t="s">
        <v>101</v>
      </c>
      <c r="J25" s="189"/>
      <c r="R25" s="18"/>
      <c r="S25" s="18"/>
      <c r="U25" s="280"/>
      <c r="V25" s="72">
        <v>13.2</v>
      </c>
      <c r="W25" s="74">
        <f>V25</f>
        <v>13.2</v>
      </c>
      <c r="X25" s="37">
        <v>3</v>
      </c>
      <c r="Y25" s="47">
        <v>3</v>
      </c>
      <c r="Z25" s="80">
        <v>0</v>
      </c>
      <c r="AA25" s="89">
        <v>0</v>
      </c>
      <c r="AB25" s="38">
        <v>0</v>
      </c>
      <c r="AC25" s="40">
        <f>AC23*3</f>
        <v>2.6400000000000006</v>
      </c>
      <c r="AD25" s="283"/>
      <c r="AE25" s="283"/>
      <c r="AF25" s="58">
        <f t="shared" si="4"/>
        <v>0.88000000000000034</v>
      </c>
      <c r="AG25" s="116">
        <f t="shared" si="0"/>
        <v>8.6328000000000044E-2</v>
      </c>
      <c r="AH25" s="39">
        <v>0.04</v>
      </c>
      <c r="AI25" s="41">
        <f t="shared" si="1"/>
        <v>272.71800000000002</v>
      </c>
      <c r="AJ25" s="41">
        <f t="shared" si="5"/>
        <v>3.5416529786880022</v>
      </c>
      <c r="AK25" s="168">
        <f t="shared" si="3"/>
        <v>0</v>
      </c>
      <c r="AL25" s="168">
        <v>611.60000000000025</v>
      </c>
      <c r="AM25" s="152">
        <f t="shared" si="6"/>
        <v>887.85965297868825</v>
      </c>
      <c r="AN25" s="42">
        <f t="shared" si="2"/>
        <v>781.31649462124597</v>
      </c>
      <c r="AO25" s="42">
        <f t="shared" si="7"/>
        <v>58874.683505378751</v>
      </c>
      <c r="AP25" s="61">
        <f t="shared" ref="AP25:AP88" si="8">AN25/$Y$23</f>
        <v>781.31649462124597</v>
      </c>
      <c r="AQ25" s="248">
        <f>AN25</f>
        <v>781.31649462124597</v>
      </c>
      <c r="AR25" s="7"/>
      <c r="AS25" s="159"/>
    </row>
    <row r="26" spans="2:45" x14ac:dyDescent="0.25">
      <c r="B26" s="274"/>
      <c r="C26" s="273"/>
      <c r="F26" s="285" t="s">
        <v>139</v>
      </c>
      <c r="G26" s="285"/>
      <c r="H26" s="285"/>
      <c r="I26" s="285"/>
      <c r="J26" s="189"/>
      <c r="K26" s="285" t="s">
        <v>140</v>
      </c>
      <c r="L26" s="285"/>
      <c r="M26" s="285"/>
      <c r="N26" s="285"/>
      <c r="R26" s="18"/>
      <c r="S26" s="18"/>
      <c r="U26" s="280"/>
      <c r="V26" s="72">
        <v>17.600000000000001</v>
      </c>
      <c r="W26" s="74">
        <f>V26</f>
        <v>17.600000000000001</v>
      </c>
      <c r="X26" s="37">
        <v>4</v>
      </c>
      <c r="Y26" s="47">
        <v>4</v>
      </c>
      <c r="Z26" s="80">
        <v>0</v>
      </c>
      <c r="AA26" s="89">
        <v>0</v>
      </c>
      <c r="AB26" s="56">
        <v>0</v>
      </c>
      <c r="AC26" s="40">
        <f>AC23*4</f>
        <v>3.5200000000000005</v>
      </c>
      <c r="AD26" s="283"/>
      <c r="AE26" s="283"/>
      <c r="AF26" s="58">
        <f t="shared" si="4"/>
        <v>0.87999999999999989</v>
      </c>
      <c r="AG26" s="116">
        <f t="shared" si="0"/>
        <v>8.6328000000000002E-2</v>
      </c>
      <c r="AH26" s="39">
        <v>0.04</v>
      </c>
      <c r="AI26" s="41">
        <f t="shared" si="1"/>
        <v>272.71800000000002</v>
      </c>
      <c r="AJ26" s="41">
        <f t="shared" si="5"/>
        <v>6.2962719621120025</v>
      </c>
      <c r="AK26" s="168">
        <f t="shared" si="3"/>
        <v>0</v>
      </c>
      <c r="AL26" s="168">
        <v>611.59999999999991</v>
      </c>
      <c r="AM26" s="41">
        <f t="shared" si="6"/>
        <v>890.61427196211196</v>
      </c>
      <c r="AN26" s="42">
        <f t="shared" si="2"/>
        <v>783.7405593266584</v>
      </c>
      <c r="AO26" s="42">
        <f t="shared" si="7"/>
        <v>58872.259440673341</v>
      </c>
      <c r="AP26" s="61">
        <f t="shared" si="8"/>
        <v>783.7405593266584</v>
      </c>
      <c r="AQ26" s="248">
        <f>AN26</f>
        <v>783.7405593266584</v>
      </c>
      <c r="AR26" s="7"/>
      <c r="AS26" s="159"/>
    </row>
    <row r="27" spans="2:45" ht="15.75" thickBot="1" x14ac:dyDescent="0.3">
      <c r="B27" s="38" t="s">
        <v>102</v>
      </c>
      <c r="C27" s="158" t="s">
        <v>103</v>
      </c>
      <c r="F27" s="159" t="s">
        <v>132</v>
      </c>
      <c r="G27" s="182">
        <v>59656</v>
      </c>
      <c r="H27" s="192" t="s">
        <v>136</v>
      </c>
      <c r="I27" s="89" t="s">
        <v>137</v>
      </c>
      <c r="J27" s="18"/>
      <c r="K27" s="159" t="s">
        <v>132</v>
      </c>
      <c r="L27" s="182">
        <v>59656</v>
      </c>
      <c r="M27" s="188" t="s">
        <v>136</v>
      </c>
      <c r="N27" s="187" t="s">
        <v>137</v>
      </c>
      <c r="R27" s="18"/>
      <c r="S27" s="19"/>
      <c r="U27" s="281"/>
      <c r="V27" s="75">
        <v>22</v>
      </c>
      <c r="W27" s="48">
        <f>W22+V27</f>
        <v>22</v>
      </c>
      <c r="X27" s="49">
        <f>X22+Y27</f>
        <v>5</v>
      </c>
      <c r="Y27" s="50">
        <v>5</v>
      </c>
      <c r="Z27" s="81">
        <v>0</v>
      </c>
      <c r="AA27" s="94">
        <v>0</v>
      </c>
      <c r="AB27" s="56">
        <f>AB22+AA27</f>
        <v>0</v>
      </c>
      <c r="AC27" s="102">
        <f>V27/Y27</f>
        <v>4.4000000000000004</v>
      </c>
      <c r="AD27" s="284"/>
      <c r="AE27" s="284"/>
      <c r="AF27" s="112">
        <f t="shared" si="4"/>
        <v>0.87999999999999989</v>
      </c>
      <c r="AG27" s="115">
        <f t="shared" si="0"/>
        <v>8.6328000000000002E-2</v>
      </c>
      <c r="AH27" s="118">
        <v>0.04</v>
      </c>
      <c r="AI27" s="121">
        <f t="shared" si="1"/>
        <v>272.71800000000002</v>
      </c>
      <c r="AJ27" s="119">
        <f>0.5*$C$18*$C$20*$C$22*(AC27*AC27)</f>
        <v>9.8379249408000025</v>
      </c>
      <c r="AK27" s="168">
        <f t="shared" si="3"/>
        <v>0</v>
      </c>
      <c r="AL27" s="168">
        <v>611.59999999999991</v>
      </c>
      <c r="AM27" s="66">
        <f t="shared" si="6"/>
        <v>894.15592494079988</v>
      </c>
      <c r="AN27" s="164">
        <f t="shared" si="2"/>
        <v>786.8572139479038</v>
      </c>
      <c r="AO27" s="164">
        <f>$C$5-AN27</f>
        <v>58869.142786052093</v>
      </c>
      <c r="AP27" s="164">
        <f t="shared" si="8"/>
        <v>786.8572139479038</v>
      </c>
      <c r="AQ27" s="248">
        <f>AN27</f>
        <v>786.8572139479038</v>
      </c>
      <c r="AR27" s="7"/>
      <c r="AS27" s="159"/>
    </row>
    <row r="28" spans="2:45" x14ac:dyDescent="0.25">
      <c r="B28" s="38" t="s">
        <v>98</v>
      </c>
      <c r="C28" s="158">
        <v>5</v>
      </c>
      <c r="F28" s="159" t="s">
        <v>138</v>
      </c>
      <c r="G28" s="182">
        <f>G27+I28</f>
        <v>61445.68</v>
      </c>
      <c r="H28" s="191">
        <v>0.03</v>
      </c>
      <c r="I28" s="182">
        <f>0.03*G27</f>
        <v>1789.6799999999998</v>
      </c>
      <c r="J28" s="18"/>
      <c r="K28" s="159" t="s">
        <v>133</v>
      </c>
      <c r="L28" s="182">
        <f>L27+N28</f>
        <v>63235.360000000001</v>
      </c>
      <c r="M28" s="191">
        <v>0.06</v>
      </c>
      <c r="N28" s="182">
        <f>0.06*L27</f>
        <v>3579.3599999999997</v>
      </c>
      <c r="R28" s="18"/>
      <c r="S28" s="92"/>
      <c r="U28" s="289" t="s">
        <v>35</v>
      </c>
      <c r="V28" s="71">
        <v>5</v>
      </c>
      <c r="W28" s="71">
        <f>W27+V28</f>
        <v>27</v>
      </c>
      <c r="X28" s="45">
        <v>6</v>
      </c>
      <c r="Y28" s="46">
        <v>1</v>
      </c>
      <c r="Z28" s="82">
        <v>1.91</v>
      </c>
      <c r="AA28" s="95">
        <v>1</v>
      </c>
      <c r="AB28" s="91">
        <f>$AB$27+AA28</f>
        <v>1</v>
      </c>
      <c r="AC28" s="103">
        <f>AC27+AE28</f>
        <v>4.5500000000000007</v>
      </c>
      <c r="AD28" s="282">
        <f>AC31-AC27</f>
        <v>0.59999999999999964</v>
      </c>
      <c r="AE28" s="282">
        <f>AD28/4</f>
        <v>0.14999999999999991</v>
      </c>
      <c r="AF28" s="62">
        <f t="shared" si="4"/>
        <v>0.15000000000000036</v>
      </c>
      <c r="AG28" s="114">
        <f t="shared" si="0"/>
        <v>1.4715000000000035E-2</v>
      </c>
      <c r="AH28" s="117">
        <v>0.04</v>
      </c>
      <c r="AI28" s="151">
        <f t="shared" si="1"/>
        <v>272.71800000000002</v>
      </c>
      <c r="AJ28" s="121">
        <f t="shared" ref="AJ28:AJ91" si="9">0.5*$C$18*$C$20*$C$22*(AC28*AC28)</f>
        <v>10.520126089200005</v>
      </c>
      <c r="AK28" s="165">
        <f t="shared" si="3"/>
        <v>-6429.4627405387282</v>
      </c>
      <c r="AL28" s="165">
        <v>104.25000000000024</v>
      </c>
      <c r="AM28" s="169">
        <f t="shared" si="6"/>
        <v>-6041.9746144495284</v>
      </c>
      <c r="AN28" s="61">
        <f t="shared" si="2"/>
        <v>-906.2961921674314</v>
      </c>
      <c r="AO28" s="61">
        <f t="shared" si="7"/>
        <v>60562.296192167429</v>
      </c>
      <c r="AP28" s="61">
        <f t="shared" si="8"/>
        <v>-906.2961921674314</v>
      </c>
      <c r="AQ28" s="5"/>
      <c r="AR28" s="160">
        <f>AN28</f>
        <v>-906.2961921674314</v>
      </c>
      <c r="AS28" s="269">
        <f>0-AR28</f>
        <v>906.2961921674314</v>
      </c>
    </row>
    <row r="29" spans="2:45" ht="16.5" x14ac:dyDescent="0.3">
      <c r="B29" s="274" t="s">
        <v>99</v>
      </c>
      <c r="C29" s="159" t="s">
        <v>105</v>
      </c>
      <c r="D29" s="190" t="s">
        <v>109</v>
      </c>
      <c r="F29" s="159" t="s">
        <v>134</v>
      </c>
      <c r="G29" s="182">
        <f>G28+I29</f>
        <v>71276.988800000006</v>
      </c>
      <c r="H29" s="191">
        <v>0.16</v>
      </c>
      <c r="I29" s="182">
        <f>0.16*G28</f>
        <v>9831.3088000000007</v>
      </c>
      <c r="J29" s="18"/>
      <c r="K29" s="159" t="s">
        <v>145</v>
      </c>
      <c r="L29" s="194">
        <f>L28+N29</f>
        <v>63551.536800000002</v>
      </c>
      <c r="M29" s="196">
        <v>5.0000000000000001E-3</v>
      </c>
      <c r="N29" s="194">
        <f>0.005*L28</f>
        <v>316.17680000000001</v>
      </c>
      <c r="R29" s="18"/>
      <c r="U29" s="290"/>
      <c r="V29" s="72">
        <v>10</v>
      </c>
      <c r="W29" s="72">
        <f>W27+V29</f>
        <v>32</v>
      </c>
      <c r="X29" s="37">
        <v>7</v>
      </c>
      <c r="Y29" s="47">
        <v>2</v>
      </c>
      <c r="Z29" s="83">
        <f>3.81</f>
        <v>3.81</v>
      </c>
      <c r="AA29" s="96">
        <v>2</v>
      </c>
      <c r="AB29" s="89">
        <f t="shared" ref="AB29:AB30" si="10">$AB$27+AA29</f>
        <v>2</v>
      </c>
      <c r="AC29" s="104">
        <f>AC28+AE28</f>
        <v>4.7000000000000011</v>
      </c>
      <c r="AD29" s="283"/>
      <c r="AE29" s="283"/>
      <c r="AF29" s="58">
        <f t="shared" si="4"/>
        <v>0.15000000000000036</v>
      </c>
      <c r="AG29" s="116">
        <f t="shared" si="0"/>
        <v>1.4715000000000035E-2</v>
      </c>
      <c r="AH29" s="39">
        <v>0.04</v>
      </c>
      <c r="AI29" s="41">
        <f>$C$6*9.81*AH29</f>
        <v>272.71800000000002</v>
      </c>
      <c r="AJ29" s="41">
        <f t="shared" si="9"/>
        <v>11.225194315200007</v>
      </c>
      <c r="AK29" s="168">
        <f t="shared" si="3"/>
        <v>4225.33481278828</v>
      </c>
      <c r="AL29" s="172">
        <v>104.25000000000024</v>
      </c>
      <c r="AM29" s="41">
        <f t="shared" si="6"/>
        <v>4613.5280071034804</v>
      </c>
      <c r="AN29" s="42">
        <f t="shared" si="2"/>
        <v>692.02920106552369</v>
      </c>
      <c r="AO29" s="42">
        <f t="shared" si="7"/>
        <v>58963.970798934475</v>
      </c>
      <c r="AP29" s="61">
        <f t="shared" si="8"/>
        <v>692.02920106552369</v>
      </c>
      <c r="AQ29" s="248">
        <f>AN29</f>
        <v>692.02920106552369</v>
      </c>
      <c r="AR29" s="7"/>
      <c r="AS29" s="269"/>
    </row>
    <row r="30" spans="2:45" ht="16.5" x14ac:dyDescent="0.3">
      <c r="B30" s="274"/>
      <c r="C30" s="159" t="s">
        <v>106</v>
      </c>
      <c r="D30" s="190" t="s">
        <v>110</v>
      </c>
      <c r="F30" s="159" t="s">
        <v>135</v>
      </c>
      <c r="G30" s="286">
        <f>G29+I30</f>
        <v>82897.977600000013</v>
      </c>
      <c r="H30" s="287"/>
      <c r="I30" s="182">
        <f>I28+I29</f>
        <v>11620.988800000001</v>
      </c>
      <c r="K30" s="159" t="s">
        <v>134</v>
      </c>
      <c r="L30" s="194">
        <f>L29+N30</f>
        <v>73719.782688000007</v>
      </c>
      <c r="M30" s="196">
        <v>0.16</v>
      </c>
      <c r="N30" s="194">
        <f>0.16*L29</f>
        <v>10168.245888000001</v>
      </c>
      <c r="R30" s="18"/>
      <c r="S30" s="19"/>
      <c r="U30" s="290"/>
      <c r="V30" s="72">
        <v>15</v>
      </c>
      <c r="W30" s="72">
        <f>W27+V30</f>
        <v>37</v>
      </c>
      <c r="X30" s="37">
        <v>8</v>
      </c>
      <c r="Y30" s="47">
        <v>3</v>
      </c>
      <c r="Z30" s="83">
        <f>5.72</f>
        <v>5.72</v>
      </c>
      <c r="AA30" s="96">
        <v>3</v>
      </c>
      <c r="AB30" s="89">
        <f t="shared" si="10"/>
        <v>3</v>
      </c>
      <c r="AC30" s="104">
        <f>AC29+AE28</f>
        <v>4.8500000000000014</v>
      </c>
      <c r="AD30" s="283"/>
      <c r="AE30" s="283"/>
      <c r="AF30" s="58">
        <f t="shared" si="4"/>
        <v>0.15000000000000036</v>
      </c>
      <c r="AG30" s="116">
        <f t="shared" si="0"/>
        <v>1.4715000000000035E-2</v>
      </c>
      <c r="AH30" s="39">
        <v>0.04</v>
      </c>
      <c r="AI30" s="41">
        <f t="shared" si="1"/>
        <v>272.71800000000002</v>
      </c>
      <c r="AJ30" s="41">
        <f t="shared" si="9"/>
        <v>11.953129618800009</v>
      </c>
      <c r="AK30" s="41">
        <f t="shared" si="3"/>
        <v>3639.9825981449112</v>
      </c>
      <c r="AL30" s="41">
        <v>104.25000000000024</v>
      </c>
      <c r="AM30" s="41">
        <f t="shared" si="6"/>
        <v>4028.9037277637117</v>
      </c>
      <c r="AN30" s="42">
        <f t="shared" si="2"/>
        <v>604.33555916455816</v>
      </c>
      <c r="AO30" s="42">
        <f t="shared" si="7"/>
        <v>59051.66444083544</v>
      </c>
      <c r="AP30" s="61">
        <f t="shared" si="8"/>
        <v>604.33555916455816</v>
      </c>
      <c r="AQ30" s="248">
        <f>AN30</f>
        <v>604.33555916455816</v>
      </c>
      <c r="AR30" s="7"/>
      <c r="AS30" s="269"/>
    </row>
    <row r="31" spans="2:45" ht="17.25" thickBot="1" x14ac:dyDescent="0.35">
      <c r="B31" s="274"/>
      <c r="C31" s="159" t="s">
        <v>107</v>
      </c>
      <c r="D31" s="190" t="s">
        <v>111</v>
      </c>
      <c r="K31" s="159" t="s">
        <v>146</v>
      </c>
      <c r="L31" s="286">
        <v>11620.988800000001</v>
      </c>
      <c r="M31" s="288"/>
      <c r="N31" s="287"/>
      <c r="R31" s="18"/>
      <c r="S31" s="19"/>
      <c r="U31" s="291"/>
      <c r="V31" s="75">
        <v>20</v>
      </c>
      <c r="W31" s="48">
        <f>W27+V31</f>
        <v>42</v>
      </c>
      <c r="X31" s="49">
        <f>X27+Y31</f>
        <v>9</v>
      </c>
      <c r="Y31" s="50">
        <v>4</v>
      </c>
      <c r="Z31" s="81">
        <v>7.62</v>
      </c>
      <c r="AA31" s="97">
        <v>4</v>
      </c>
      <c r="AB31" s="56">
        <f>AB27+AA31</f>
        <v>4</v>
      </c>
      <c r="AC31" s="102">
        <f>V31/Y31</f>
        <v>5</v>
      </c>
      <c r="AD31" s="284"/>
      <c r="AE31" s="284"/>
      <c r="AF31" s="112">
        <f t="shared" si="4"/>
        <v>0.14999999999999858</v>
      </c>
      <c r="AG31" s="115">
        <f t="shared" si="0"/>
        <v>1.4714999999999862E-2</v>
      </c>
      <c r="AH31" s="118">
        <v>0.04</v>
      </c>
      <c r="AI31" s="121">
        <f t="shared" si="1"/>
        <v>272.71800000000002</v>
      </c>
      <c r="AJ31" s="119">
        <f t="shared" si="9"/>
        <v>12.703932000000002</v>
      </c>
      <c r="AK31" s="170">
        <f t="shared" si="3"/>
        <v>-6632.1673831533844</v>
      </c>
      <c r="AL31" s="170">
        <v>104.24999999999901</v>
      </c>
      <c r="AM31" s="152">
        <f t="shared" si="6"/>
        <v>-6242.4954511533851</v>
      </c>
      <c r="AN31" s="164">
        <f t="shared" si="2"/>
        <v>-936.37431767299893</v>
      </c>
      <c r="AO31" s="164">
        <f t="shared" si="7"/>
        <v>60592.374317672999</v>
      </c>
      <c r="AP31" s="164">
        <f t="shared" si="8"/>
        <v>-936.37431767299893</v>
      </c>
      <c r="AQ31" s="5"/>
      <c r="AR31" s="160">
        <f>AN31</f>
        <v>-936.37431767299893</v>
      </c>
      <c r="AS31" s="269">
        <f t="shared" ref="AS31:AS91" si="11">0-AR31</f>
        <v>936.37431767299893</v>
      </c>
    </row>
    <row r="32" spans="2:45" ht="16.5" x14ac:dyDescent="0.3">
      <c r="B32" s="274"/>
      <c r="C32" s="159" t="s">
        <v>108</v>
      </c>
      <c r="D32" s="190" t="s">
        <v>112</v>
      </c>
      <c r="F32" s="159" t="s">
        <v>141</v>
      </c>
      <c r="G32" s="183">
        <f>G30-G27</f>
        <v>23241.977600000013</v>
      </c>
      <c r="K32" s="159" t="s">
        <v>135</v>
      </c>
      <c r="L32" s="286">
        <f>L30+L31</f>
        <v>85340.771488000013</v>
      </c>
      <c r="M32" s="288"/>
      <c r="N32" s="287"/>
      <c r="R32" s="18"/>
      <c r="S32" s="19"/>
      <c r="U32" s="289" t="s">
        <v>36</v>
      </c>
      <c r="V32" s="71">
        <v>15</v>
      </c>
      <c r="W32" s="71">
        <f>$W$31+V32</f>
        <v>57</v>
      </c>
      <c r="X32" s="45">
        <v>10</v>
      </c>
      <c r="Y32" s="46">
        <v>1</v>
      </c>
      <c r="Z32" s="84">
        <v>6.7733333333333334</v>
      </c>
      <c r="AA32" s="95">
        <f>AA39*8</f>
        <v>3.5555555555555554</v>
      </c>
      <c r="AB32" s="91">
        <f>$AB$31+AA32</f>
        <v>7.5555555555555554</v>
      </c>
      <c r="AC32" s="103">
        <f>AC31+AE32</f>
        <v>6.1111111111111107</v>
      </c>
      <c r="AD32" s="282">
        <f>AC40-AC31</f>
        <v>10</v>
      </c>
      <c r="AE32" s="282">
        <f>AD32/9</f>
        <v>1.1111111111111112</v>
      </c>
      <c r="AF32" s="62">
        <f t="shared" si="4"/>
        <v>1.1111111111111107</v>
      </c>
      <c r="AG32" s="114">
        <f t="shared" si="0"/>
        <v>0.10899999999999997</v>
      </c>
      <c r="AH32" s="117">
        <v>0.04</v>
      </c>
      <c r="AI32" s="151">
        <f t="shared" si="1"/>
        <v>272.71800000000002</v>
      </c>
      <c r="AJ32" s="121">
        <f t="shared" si="9"/>
        <v>18.977478666666666</v>
      </c>
      <c r="AK32" s="172">
        <f t="shared" si="3"/>
        <v>-3209.5942202266574</v>
      </c>
      <c r="AL32" s="172">
        <v>772.22222222222194</v>
      </c>
      <c r="AM32" s="169">
        <f t="shared" si="6"/>
        <v>-2145.6765193377687</v>
      </c>
      <c r="AN32" s="61">
        <f t="shared" si="2"/>
        <v>-2384.085021486409</v>
      </c>
      <c r="AO32" s="61">
        <f t="shared" si="7"/>
        <v>62040.085021486411</v>
      </c>
      <c r="AP32" s="61">
        <f t="shared" si="8"/>
        <v>-2384.085021486409</v>
      </c>
      <c r="AQ32" s="5"/>
      <c r="AR32" s="160">
        <f>AN32</f>
        <v>-2384.085021486409</v>
      </c>
      <c r="AS32" s="269">
        <f t="shared" si="11"/>
        <v>2384.085021486409</v>
      </c>
    </row>
    <row r="33" spans="2:45" ht="16.5" x14ac:dyDescent="0.3">
      <c r="B33" s="274"/>
      <c r="C33" s="159" t="s">
        <v>104</v>
      </c>
      <c r="D33" s="190" t="s">
        <v>113</v>
      </c>
      <c r="U33" s="290"/>
      <c r="V33" s="72">
        <v>30</v>
      </c>
      <c r="W33" s="77">
        <f t="shared" ref="W33:W39" si="12">$W$31+V33</f>
        <v>72</v>
      </c>
      <c r="X33" s="37">
        <v>11</v>
      </c>
      <c r="Y33" s="47">
        <v>2</v>
      </c>
      <c r="Z33" s="83">
        <v>5.9266666666666667</v>
      </c>
      <c r="AA33" s="98">
        <f>AA39*7</f>
        <v>3.1111111111111107</v>
      </c>
      <c r="AB33" s="89">
        <f t="shared" ref="AB33:AB40" si="13">$AB$31+AA33</f>
        <v>7.1111111111111107</v>
      </c>
      <c r="AC33" s="104">
        <f>AC32+$AE$32</f>
        <v>7.2222222222222214</v>
      </c>
      <c r="AD33" s="283"/>
      <c r="AE33" s="283"/>
      <c r="AF33" s="58">
        <f t="shared" si="4"/>
        <v>1.1111111111111107</v>
      </c>
      <c r="AG33" s="116">
        <f t="shared" si="0"/>
        <v>0.10899999999999997</v>
      </c>
      <c r="AH33" s="39">
        <v>0.04</v>
      </c>
      <c r="AI33" s="41">
        <f t="shared" si="1"/>
        <v>272.71800000000002</v>
      </c>
      <c r="AJ33" s="41">
        <f t="shared" si="9"/>
        <v>26.505734666666662</v>
      </c>
      <c r="AK33" s="168">
        <f t="shared" si="3"/>
        <v>2379.5594000577266</v>
      </c>
      <c r="AL33" s="168">
        <v>772.22222222222194</v>
      </c>
      <c r="AM33" s="41">
        <f t="shared" si="6"/>
        <v>3451.0053569466154</v>
      </c>
      <c r="AN33" s="42">
        <f t="shared" si="2"/>
        <v>3834.4503966073489</v>
      </c>
      <c r="AO33" s="42">
        <f t="shared" si="7"/>
        <v>55821.549603392654</v>
      </c>
      <c r="AP33" s="61">
        <f t="shared" si="8"/>
        <v>3834.4503966073489</v>
      </c>
      <c r="AQ33" s="248">
        <f>AN33</f>
        <v>3834.4503966073489</v>
      </c>
      <c r="AR33" s="7"/>
      <c r="AS33" s="269"/>
    </row>
    <row r="34" spans="2:45" x14ac:dyDescent="0.25">
      <c r="F34" s="159" t="s">
        <v>147</v>
      </c>
      <c r="G34" s="2">
        <v>34.44</v>
      </c>
      <c r="K34" s="159" t="s">
        <v>141</v>
      </c>
      <c r="L34" s="183">
        <f>L32-L27</f>
        <v>25684.771488000013</v>
      </c>
      <c r="U34" s="290"/>
      <c r="V34" s="72">
        <v>45</v>
      </c>
      <c r="W34" s="76">
        <f t="shared" si="12"/>
        <v>87</v>
      </c>
      <c r="X34" s="37">
        <v>12</v>
      </c>
      <c r="Y34" s="47">
        <v>3</v>
      </c>
      <c r="Z34" s="83">
        <v>5.08</v>
      </c>
      <c r="AA34" s="98">
        <f>AA39*6</f>
        <v>2.6666666666666665</v>
      </c>
      <c r="AB34" s="89">
        <f t="shared" si="13"/>
        <v>6.6666666666666661</v>
      </c>
      <c r="AC34" s="104">
        <f t="shared" ref="AC34:AC39" si="14">AC33+$AE$32</f>
        <v>8.3333333333333321</v>
      </c>
      <c r="AD34" s="283"/>
      <c r="AE34" s="283"/>
      <c r="AF34" s="58">
        <f t="shared" si="4"/>
        <v>1.1111111111111107</v>
      </c>
      <c r="AG34" s="116">
        <f t="shared" si="0"/>
        <v>0.10899999999999997</v>
      </c>
      <c r="AH34" s="39">
        <v>0.04</v>
      </c>
      <c r="AI34" s="41">
        <f t="shared" si="1"/>
        <v>272.71800000000002</v>
      </c>
      <c r="AJ34" s="41">
        <f t="shared" si="9"/>
        <v>35.288699999999992</v>
      </c>
      <c r="AK34" s="168">
        <f t="shared" si="3"/>
        <v>6362.4330548570324</v>
      </c>
      <c r="AL34" s="168">
        <v>772.22222222222194</v>
      </c>
      <c r="AM34" s="41">
        <f t="shared" si="6"/>
        <v>7442.661977079254</v>
      </c>
      <c r="AN34" s="42">
        <f t="shared" si="2"/>
        <v>8269.6244189769459</v>
      </c>
      <c r="AO34" s="42">
        <f t="shared" si="7"/>
        <v>51386.37558102305</v>
      </c>
      <c r="AP34" s="61">
        <f t="shared" si="8"/>
        <v>8269.6244189769459</v>
      </c>
      <c r="AQ34" s="248">
        <f>AN34</f>
        <v>8269.6244189769459</v>
      </c>
      <c r="AR34" s="7"/>
      <c r="AS34" s="269"/>
    </row>
    <row r="35" spans="2:45" x14ac:dyDescent="0.25">
      <c r="B35" s="7" t="s">
        <v>124</v>
      </c>
      <c r="C35" s="160">
        <f>AO211</f>
        <v>43425.690931164325</v>
      </c>
      <c r="F35" s="159" t="s">
        <v>148</v>
      </c>
      <c r="G35" s="2">
        <f>C3+G34</f>
        <v>114.44</v>
      </c>
      <c r="U35" s="290"/>
      <c r="V35" s="72">
        <v>60</v>
      </c>
      <c r="W35" s="72">
        <f t="shared" si="12"/>
        <v>102</v>
      </c>
      <c r="X35" s="37">
        <v>13</v>
      </c>
      <c r="Y35" s="47">
        <v>4</v>
      </c>
      <c r="Z35" s="83">
        <v>4.2333333333333334</v>
      </c>
      <c r="AA35" s="98">
        <f>AA39*5</f>
        <v>2.2222222222222223</v>
      </c>
      <c r="AB35" s="89">
        <f t="shared" si="13"/>
        <v>6.2222222222222223</v>
      </c>
      <c r="AC35" s="104">
        <f t="shared" si="14"/>
        <v>9.4444444444444429</v>
      </c>
      <c r="AD35" s="283"/>
      <c r="AE35" s="283"/>
      <c r="AF35" s="58">
        <f t="shared" si="4"/>
        <v>1.1111111111111107</v>
      </c>
      <c r="AG35" s="116">
        <f t="shared" si="0"/>
        <v>0.10899999999999997</v>
      </c>
      <c r="AH35" s="39">
        <v>0.04</v>
      </c>
      <c r="AI35" s="41">
        <f t="shared" si="1"/>
        <v>272.71800000000002</v>
      </c>
      <c r="AJ35" s="41">
        <f t="shared" si="9"/>
        <v>45.326374666666659</v>
      </c>
      <c r="AK35" s="168">
        <f t="shared" si="3"/>
        <v>6050.4575255977506</v>
      </c>
      <c r="AL35" s="168">
        <v>772.22222222222194</v>
      </c>
      <c r="AM35" s="41">
        <f t="shared" si="6"/>
        <v>7140.7241224866393</v>
      </c>
      <c r="AN35" s="42">
        <f t="shared" si="2"/>
        <v>7934.1379138740413</v>
      </c>
      <c r="AO35" s="42">
        <f t="shared" si="7"/>
        <v>51721.862086125955</v>
      </c>
      <c r="AP35" s="61">
        <f t="shared" si="8"/>
        <v>7934.1379138740413</v>
      </c>
      <c r="AQ35" s="248">
        <f>AN35</f>
        <v>7934.1379138740413</v>
      </c>
      <c r="AR35" s="7"/>
      <c r="AS35" s="269"/>
    </row>
    <row r="36" spans="2:45" ht="15.75" thickBot="1" x14ac:dyDescent="0.3">
      <c r="B36" s="7" t="s">
        <v>122</v>
      </c>
      <c r="C36" s="7">
        <f>(27*25.4)/2</f>
        <v>342.9</v>
      </c>
      <c r="F36" s="199"/>
      <c r="U36" s="290"/>
      <c r="V36" s="72">
        <v>75</v>
      </c>
      <c r="W36" s="72">
        <f t="shared" si="12"/>
        <v>117</v>
      </c>
      <c r="X36" s="37">
        <v>14</v>
      </c>
      <c r="Y36" s="47">
        <v>5</v>
      </c>
      <c r="Z36" s="83">
        <v>3.3866666666666667</v>
      </c>
      <c r="AA36" s="98">
        <f>AA39*4</f>
        <v>1.7777777777777777</v>
      </c>
      <c r="AB36" s="89">
        <f t="shared" si="13"/>
        <v>5.7777777777777777</v>
      </c>
      <c r="AC36" s="104">
        <f t="shared" si="14"/>
        <v>10.555555555555554</v>
      </c>
      <c r="AD36" s="283"/>
      <c r="AE36" s="283"/>
      <c r="AF36" s="58">
        <f t="shared" si="4"/>
        <v>1.1111111111111107</v>
      </c>
      <c r="AG36" s="116">
        <f t="shared" si="0"/>
        <v>0.10899999999999997</v>
      </c>
      <c r="AH36" s="39">
        <v>0.04</v>
      </c>
      <c r="AI36" s="41">
        <f t="shared" si="1"/>
        <v>272.71800000000002</v>
      </c>
      <c r="AJ36" s="41">
        <f t="shared" si="9"/>
        <v>56.61875866666665</v>
      </c>
      <c r="AK36" s="168">
        <f t="shared" si="3"/>
        <v>1654.2264382925898</v>
      </c>
      <c r="AL36" s="168">
        <v>772.22222222222194</v>
      </c>
      <c r="AM36" s="41">
        <f t="shared" si="6"/>
        <v>2755.7854191814786</v>
      </c>
      <c r="AN36" s="42">
        <f t="shared" si="2"/>
        <v>3061.9837990905307</v>
      </c>
      <c r="AO36" s="42">
        <f t="shared" si="7"/>
        <v>56594.016200909471</v>
      </c>
      <c r="AP36" s="61">
        <f t="shared" si="8"/>
        <v>3061.9837990905307</v>
      </c>
      <c r="AQ36" s="248">
        <f>AN36</f>
        <v>3061.9837990905307</v>
      </c>
      <c r="AR36" s="7"/>
      <c r="AS36" s="269"/>
    </row>
    <row r="37" spans="2:45" ht="15.75" thickTop="1" x14ac:dyDescent="0.25">
      <c r="B37" s="7" t="s">
        <v>123</v>
      </c>
      <c r="C37" s="7">
        <f>(27*25.4)/2</f>
        <v>342.9</v>
      </c>
      <c r="F37" s="292" t="s">
        <v>156</v>
      </c>
      <c r="G37" s="293"/>
      <c r="H37" s="230"/>
      <c r="I37" s="207"/>
      <c r="J37" s="207"/>
      <c r="K37" s="207"/>
      <c r="L37" s="207"/>
      <c r="M37" s="207"/>
      <c r="N37" s="207"/>
      <c r="O37" s="207"/>
      <c r="P37" s="207"/>
      <c r="Q37" s="207"/>
      <c r="R37" s="208"/>
      <c r="S37" s="110"/>
      <c r="U37" s="290"/>
      <c r="V37" s="72">
        <v>90</v>
      </c>
      <c r="W37" s="74">
        <f t="shared" si="12"/>
        <v>132</v>
      </c>
      <c r="X37" s="37">
        <v>15</v>
      </c>
      <c r="Y37" s="47">
        <v>6</v>
      </c>
      <c r="Z37" s="83">
        <v>2.54</v>
      </c>
      <c r="AA37" s="98">
        <f>AA39*3</f>
        <v>1.3333333333333333</v>
      </c>
      <c r="AB37" s="89">
        <f t="shared" si="13"/>
        <v>5.333333333333333</v>
      </c>
      <c r="AC37" s="104">
        <f t="shared" si="14"/>
        <v>11.666666666666664</v>
      </c>
      <c r="AD37" s="283"/>
      <c r="AE37" s="283"/>
      <c r="AF37" s="58">
        <f t="shared" si="4"/>
        <v>1.1111111111111107</v>
      </c>
      <c r="AG37" s="116">
        <f t="shared" si="0"/>
        <v>0.10899999999999997</v>
      </c>
      <c r="AH37" s="39">
        <v>0.04</v>
      </c>
      <c r="AI37" s="41">
        <f t="shared" si="1"/>
        <v>272.71800000000002</v>
      </c>
      <c r="AJ37" s="41">
        <f t="shared" si="9"/>
        <v>69.165851999999973</v>
      </c>
      <c r="AK37" s="41">
        <f t="shared" si="3"/>
        <v>-3858.6612813877337</v>
      </c>
      <c r="AL37" s="41">
        <v>772.22222222222194</v>
      </c>
      <c r="AM37" s="152">
        <f t="shared" si="6"/>
        <v>-2744.555207165512</v>
      </c>
      <c r="AN37" s="42">
        <f t="shared" si="2"/>
        <v>-3049.5057857394568</v>
      </c>
      <c r="AO37" s="42">
        <f t="shared" si="7"/>
        <v>62705.505785739457</v>
      </c>
      <c r="AP37" s="61">
        <f t="shared" si="8"/>
        <v>-3049.5057857394568</v>
      </c>
      <c r="AQ37" s="5"/>
      <c r="AR37" s="160">
        <f>AN37</f>
        <v>-3049.5057857394568</v>
      </c>
      <c r="AS37" s="269">
        <f t="shared" si="11"/>
        <v>3049.5057857394568</v>
      </c>
    </row>
    <row r="38" spans="2:45" ht="15.75" thickBot="1" x14ac:dyDescent="0.3">
      <c r="F38" s="294"/>
      <c r="G38" s="295"/>
      <c r="H38" s="211"/>
      <c r="I38" s="18"/>
      <c r="J38" s="187" t="s">
        <v>163</v>
      </c>
      <c r="K38" s="186">
        <v>0.92</v>
      </c>
      <c r="L38" s="238"/>
      <c r="M38" s="187" t="s">
        <v>176</v>
      </c>
      <c r="N38" s="186">
        <v>0.16</v>
      </c>
      <c r="O38" s="18"/>
      <c r="P38" s="18"/>
      <c r="Q38" s="18"/>
      <c r="R38" s="210"/>
      <c r="U38" s="290"/>
      <c r="V38" s="72">
        <v>105</v>
      </c>
      <c r="W38" s="72">
        <f t="shared" si="12"/>
        <v>147</v>
      </c>
      <c r="X38" s="37">
        <v>16</v>
      </c>
      <c r="Y38" s="47">
        <v>7</v>
      </c>
      <c r="Z38" s="83">
        <v>1.6933333333333334</v>
      </c>
      <c r="AA38" s="98">
        <f>AA39*2</f>
        <v>0.88888888888888884</v>
      </c>
      <c r="AB38" s="89">
        <f t="shared" si="13"/>
        <v>4.8888888888888893</v>
      </c>
      <c r="AC38" s="104">
        <f t="shared" si="14"/>
        <v>12.777777777777775</v>
      </c>
      <c r="AD38" s="283"/>
      <c r="AE38" s="283"/>
      <c r="AF38" s="58">
        <f t="shared" si="4"/>
        <v>1.1111111111111107</v>
      </c>
      <c r="AG38" s="116">
        <f t="shared" si="0"/>
        <v>0.10899999999999997</v>
      </c>
      <c r="AH38" s="39">
        <v>0.04</v>
      </c>
      <c r="AI38" s="41">
        <f t="shared" si="1"/>
        <v>272.71800000000002</v>
      </c>
      <c r="AJ38" s="41">
        <f t="shared" si="9"/>
        <v>82.967654666666633</v>
      </c>
      <c r="AK38" s="41">
        <f t="shared" si="3"/>
        <v>-6766.8271732642488</v>
      </c>
      <c r="AL38" s="41">
        <v>772.22222222222194</v>
      </c>
      <c r="AM38" s="41">
        <f t="shared" si="6"/>
        <v>-5638.9192963753603</v>
      </c>
      <c r="AN38" s="42">
        <f t="shared" si="2"/>
        <v>-6265.465884861509</v>
      </c>
      <c r="AO38" s="42">
        <f t="shared" si="7"/>
        <v>65921.465884861507</v>
      </c>
      <c r="AP38" s="61">
        <f t="shared" si="8"/>
        <v>-6265.465884861509</v>
      </c>
      <c r="AQ38" s="5"/>
      <c r="AR38" s="160">
        <f>AN38</f>
        <v>-6265.465884861509</v>
      </c>
      <c r="AS38" s="269">
        <f t="shared" si="11"/>
        <v>6265.465884861509</v>
      </c>
    </row>
    <row r="39" spans="2:45" ht="15.75" thickTop="1" x14ac:dyDescent="0.25">
      <c r="B39" s="7" t="s">
        <v>126</v>
      </c>
      <c r="C39" s="182">
        <f>(2*3.14)*(G18/2)</f>
        <v>2153.4119999999998</v>
      </c>
      <c r="F39" s="205" t="s">
        <v>149</v>
      </c>
      <c r="G39" s="206">
        <f>C35/2</f>
        <v>21712.845465582162</v>
      </c>
      <c r="H39" s="18"/>
      <c r="I39" s="18"/>
      <c r="J39" s="187" t="s">
        <v>164</v>
      </c>
      <c r="K39" s="147">
        <v>35</v>
      </c>
      <c r="L39" s="238"/>
      <c r="M39" s="187" t="s">
        <v>164</v>
      </c>
      <c r="N39" s="147">
        <f>K39*2</f>
        <v>70</v>
      </c>
      <c r="O39" s="18"/>
      <c r="P39" s="18"/>
      <c r="Q39" s="18"/>
      <c r="R39" s="210"/>
      <c r="U39" s="290"/>
      <c r="V39" s="72">
        <v>120</v>
      </c>
      <c r="W39" s="74">
        <f t="shared" si="12"/>
        <v>162</v>
      </c>
      <c r="X39" s="37">
        <v>17</v>
      </c>
      <c r="Y39" s="47">
        <v>8</v>
      </c>
      <c r="Z39" s="83">
        <v>0.84666666666666668</v>
      </c>
      <c r="AA39" s="98">
        <f>AA31/9</f>
        <v>0.44444444444444442</v>
      </c>
      <c r="AB39" s="89">
        <f t="shared" si="13"/>
        <v>4.4444444444444446</v>
      </c>
      <c r="AC39" s="104">
        <f t="shared" si="14"/>
        <v>13.888888888888886</v>
      </c>
      <c r="AD39" s="283"/>
      <c r="AE39" s="283"/>
      <c r="AF39" s="58">
        <f t="shared" si="4"/>
        <v>1.1111111111111107</v>
      </c>
      <c r="AG39" s="116">
        <f t="shared" si="0"/>
        <v>0.10899999999999997</v>
      </c>
      <c r="AH39" s="39">
        <v>0.04</v>
      </c>
      <c r="AI39" s="41">
        <f t="shared" si="1"/>
        <v>272.71800000000002</v>
      </c>
      <c r="AJ39" s="41">
        <f t="shared" si="9"/>
        <v>98.02416666666663</v>
      </c>
      <c r="AK39" s="41">
        <f t="shared" si="3"/>
        <v>-5107.1647024402155</v>
      </c>
      <c r="AL39" s="41">
        <v>772.22222222222194</v>
      </c>
      <c r="AM39" s="152">
        <f t="shared" si="6"/>
        <v>-3964.2003135513269</v>
      </c>
      <c r="AN39" s="42">
        <f t="shared" si="2"/>
        <v>-4404.667015057028</v>
      </c>
      <c r="AO39" s="42">
        <f t="shared" si="7"/>
        <v>64060.667015057028</v>
      </c>
      <c r="AP39" s="61">
        <f t="shared" si="8"/>
        <v>-4404.667015057028</v>
      </c>
      <c r="AQ39" s="5"/>
      <c r="AR39" s="160">
        <f>AN39</f>
        <v>-4404.667015057028</v>
      </c>
      <c r="AS39" s="269">
        <f t="shared" si="11"/>
        <v>4404.667015057028</v>
      </c>
    </row>
    <row r="40" spans="2:45" ht="15.75" thickBot="1" x14ac:dyDescent="0.3">
      <c r="B40" s="7" t="s">
        <v>125</v>
      </c>
      <c r="C40" s="184">
        <f>C39/10</f>
        <v>215.34119999999999</v>
      </c>
      <c r="D40" s="17"/>
      <c r="E40" s="17"/>
      <c r="F40" s="209" t="s">
        <v>150</v>
      </c>
      <c r="G40" s="183">
        <f>C35/4</f>
        <v>10856.422732791081</v>
      </c>
      <c r="H40" s="17"/>
      <c r="I40" s="17"/>
      <c r="J40" s="187" t="s">
        <v>165</v>
      </c>
      <c r="K40" s="195">
        <f>15.88</f>
        <v>15.88</v>
      </c>
      <c r="L40" s="197"/>
      <c r="M40" s="187" t="s">
        <v>165</v>
      </c>
      <c r="N40" s="195">
        <f>K40*2</f>
        <v>31.76</v>
      </c>
      <c r="O40" s="18"/>
      <c r="P40" s="18"/>
      <c r="Q40" s="18"/>
      <c r="R40" s="210"/>
      <c r="U40" s="291"/>
      <c r="V40" s="75">
        <v>135</v>
      </c>
      <c r="W40" s="48">
        <f>W31+V40</f>
        <v>177</v>
      </c>
      <c r="X40" s="49">
        <f>X31+Y40</f>
        <v>18</v>
      </c>
      <c r="Y40" s="50">
        <v>9</v>
      </c>
      <c r="Z40" s="81">
        <v>0</v>
      </c>
      <c r="AA40" s="94">
        <v>0</v>
      </c>
      <c r="AB40" s="93">
        <f t="shared" si="13"/>
        <v>4</v>
      </c>
      <c r="AC40" s="102">
        <f>V40/Y40</f>
        <v>15</v>
      </c>
      <c r="AD40" s="284"/>
      <c r="AE40" s="284"/>
      <c r="AF40" s="64">
        <f t="shared" si="4"/>
        <v>1.1111111111111143</v>
      </c>
      <c r="AG40" s="115">
        <f t="shared" si="0"/>
        <v>0.10900000000000032</v>
      </c>
      <c r="AH40" s="118">
        <v>0.04</v>
      </c>
      <c r="AI40" s="66">
        <f t="shared" si="1"/>
        <v>272.71800000000002</v>
      </c>
      <c r="AJ40" s="119">
        <f t="shared" si="9"/>
        <v>114.33538800000001</v>
      </c>
      <c r="AK40" s="121">
        <f t="shared" si="3"/>
        <v>0</v>
      </c>
      <c r="AL40" s="171">
        <v>772.22222222222445</v>
      </c>
      <c r="AM40" s="66">
        <f t="shared" si="6"/>
        <v>1159.2756102222245</v>
      </c>
      <c r="AN40" s="164">
        <f t="shared" si="2"/>
        <v>1288.0840113580309</v>
      </c>
      <c r="AO40" s="164">
        <f t="shared" si="7"/>
        <v>58367.915988641966</v>
      </c>
      <c r="AP40" s="164">
        <f t="shared" si="8"/>
        <v>1288.0840113580309</v>
      </c>
      <c r="AQ40" s="248">
        <f>AN40</f>
        <v>1288.0840113580309</v>
      </c>
      <c r="AR40" s="7"/>
      <c r="AS40" s="269"/>
    </row>
    <row r="41" spans="2:45" x14ac:dyDescent="0.25">
      <c r="B41" s="7" t="s">
        <v>127</v>
      </c>
      <c r="C41" s="184">
        <f>C40/100</f>
        <v>2.1534119999999999</v>
      </c>
      <c r="D41" s="17"/>
      <c r="E41" s="17"/>
      <c r="F41" s="211"/>
      <c r="G41" s="18"/>
      <c r="H41" s="17"/>
      <c r="I41" s="17"/>
      <c r="J41" s="187" t="s">
        <v>175</v>
      </c>
      <c r="K41" s="195"/>
      <c r="L41" s="197"/>
      <c r="M41" s="187" t="s">
        <v>175</v>
      </c>
      <c r="N41" s="195">
        <f>K41*2</f>
        <v>0</v>
      </c>
      <c r="O41" s="18"/>
      <c r="P41" s="18"/>
      <c r="Q41" s="18"/>
      <c r="R41" s="210"/>
      <c r="S41" s="19"/>
      <c r="U41" s="279" t="s">
        <v>37</v>
      </c>
      <c r="V41" s="71">
        <v>4.67</v>
      </c>
      <c r="W41" s="71">
        <f>$W$40+V41</f>
        <v>181.67</v>
      </c>
      <c r="X41" s="45">
        <v>19</v>
      </c>
      <c r="Y41" s="46">
        <v>1</v>
      </c>
      <c r="Z41" s="84">
        <v>-1.32</v>
      </c>
      <c r="AA41" s="99">
        <f>AA46/6</f>
        <v>-0.66666666666666663</v>
      </c>
      <c r="AB41" s="91">
        <f>$AB$40+AA41</f>
        <v>3.3333333333333335</v>
      </c>
      <c r="AC41" s="111">
        <f>AC40+$AE$41</f>
        <v>13.277777777777779</v>
      </c>
      <c r="AD41" s="282">
        <f>AC46-AC40</f>
        <v>-10.333333333333332</v>
      </c>
      <c r="AE41" s="282">
        <f>AD41/6</f>
        <v>-1.7222222222222221</v>
      </c>
      <c r="AF41" s="58">
        <f t="shared" si="4"/>
        <v>-1.7222222222222214</v>
      </c>
      <c r="AG41" s="114">
        <f t="shared" si="0"/>
        <v>-0.16894999999999993</v>
      </c>
      <c r="AH41" s="117">
        <v>0.04</v>
      </c>
      <c r="AI41" s="60">
        <f t="shared" si="1"/>
        <v>272.71800000000002</v>
      </c>
      <c r="AJ41" s="121">
        <f t="shared" si="9"/>
        <v>89.587814786666684</v>
      </c>
      <c r="AK41" s="151">
        <f t="shared" si="3"/>
        <v>6604.6511168513271</v>
      </c>
      <c r="AL41" s="174">
        <v>-1196.9444444444439</v>
      </c>
      <c r="AM41" s="151">
        <f t="shared" si="6"/>
        <v>5770.0124871935495</v>
      </c>
      <c r="AN41" s="61">
        <f t="shared" si="2"/>
        <v>-9937.2437279444421</v>
      </c>
      <c r="AO41" s="61">
        <f t="shared" si="7"/>
        <v>69593.243727944442</v>
      </c>
      <c r="AP41" s="61">
        <f t="shared" si="8"/>
        <v>-9937.2437279444421</v>
      </c>
      <c r="AQ41" s="5"/>
      <c r="AR41" s="160">
        <f>AN41</f>
        <v>-9937.2437279444421</v>
      </c>
      <c r="AS41" s="269">
        <f t="shared" si="11"/>
        <v>9937.2437279444421</v>
      </c>
    </row>
    <row r="42" spans="2:45" x14ac:dyDescent="0.25">
      <c r="B42" s="7" t="s">
        <v>128</v>
      </c>
      <c r="C42" s="184">
        <f>60/C41</f>
        <v>27.862759193317398</v>
      </c>
      <c r="D42" s="17"/>
      <c r="E42" s="17"/>
      <c r="F42" s="233" t="s">
        <v>152</v>
      </c>
      <c r="G42" s="4">
        <v>2</v>
      </c>
      <c r="H42" s="4" t="s">
        <v>157</v>
      </c>
      <c r="I42" s="17"/>
      <c r="J42" s="17"/>
      <c r="K42" s="17"/>
      <c r="L42" s="17"/>
      <c r="M42" s="15"/>
      <c r="N42" s="18"/>
      <c r="O42" s="18"/>
      <c r="P42" s="18"/>
      <c r="Q42" s="18"/>
      <c r="R42" s="210"/>
      <c r="U42" s="280"/>
      <c r="V42" s="72">
        <v>9.33</v>
      </c>
      <c r="W42" s="77">
        <f t="shared" ref="W42:W45" si="15">$W$40+V42</f>
        <v>186.33</v>
      </c>
      <c r="X42" s="37">
        <v>20</v>
      </c>
      <c r="Y42" s="47">
        <v>2</v>
      </c>
      <c r="Z42" s="83">
        <v>-2.64</v>
      </c>
      <c r="AA42" s="98">
        <f>AA41*2</f>
        <v>-1.3333333333333333</v>
      </c>
      <c r="AB42" s="89">
        <f t="shared" ref="AB42:AB46" si="16">$AB$40+AA42</f>
        <v>2.666666666666667</v>
      </c>
      <c r="AC42" s="40">
        <f t="shared" ref="AC42:AC45" si="17">AC41+$AE$41</f>
        <v>11.555555555555557</v>
      </c>
      <c r="AD42" s="283"/>
      <c r="AE42" s="283"/>
      <c r="AF42" s="58">
        <f t="shared" si="4"/>
        <v>-1.7222222222222214</v>
      </c>
      <c r="AG42" s="116">
        <f t="shared" si="0"/>
        <v>-0.16894999999999993</v>
      </c>
      <c r="AH42" s="39">
        <v>0.04</v>
      </c>
      <c r="AI42" s="41">
        <f t="shared" si="1"/>
        <v>272.71800000000002</v>
      </c>
      <c r="AJ42" s="41">
        <f t="shared" si="9"/>
        <v>67.854680746666688</v>
      </c>
      <c r="AK42" s="168">
        <f t="shared" si="3"/>
        <v>3278.2245478618547</v>
      </c>
      <c r="AL42" s="168">
        <v>-1196.9444444444439</v>
      </c>
      <c r="AM42" s="152">
        <f t="shared" si="6"/>
        <v>2421.8527841640775</v>
      </c>
      <c r="AN42" s="42">
        <f t="shared" si="2"/>
        <v>-4170.9686838381313</v>
      </c>
      <c r="AO42" s="42">
        <f t="shared" si="7"/>
        <v>63826.968683838131</v>
      </c>
      <c r="AP42" s="61">
        <f t="shared" si="8"/>
        <v>-4170.9686838381313</v>
      </c>
      <c r="AQ42" s="5"/>
      <c r="AR42" s="160">
        <f>AN42</f>
        <v>-4170.9686838381313</v>
      </c>
      <c r="AS42" s="269">
        <f t="shared" si="11"/>
        <v>4170.9686838381313</v>
      </c>
    </row>
    <row r="43" spans="2:45" x14ac:dyDescent="0.25">
      <c r="B43" s="15"/>
      <c r="C43" s="17"/>
      <c r="D43" s="17"/>
      <c r="E43" s="17"/>
      <c r="F43" s="234" t="s">
        <v>153</v>
      </c>
      <c r="G43" s="184">
        <f>G39/2</f>
        <v>10856.422732791081</v>
      </c>
      <c r="H43" s="231">
        <f>G43/1000</f>
        <v>10.856422732791081</v>
      </c>
      <c r="I43" s="17"/>
      <c r="J43" s="17"/>
      <c r="K43" s="17"/>
      <c r="L43" s="17"/>
      <c r="M43" s="15"/>
      <c r="N43" s="18"/>
      <c r="O43" s="18"/>
      <c r="P43" s="18"/>
      <c r="Q43" s="18"/>
      <c r="R43" s="210"/>
      <c r="U43" s="280"/>
      <c r="V43" s="72">
        <v>14</v>
      </c>
      <c r="W43" s="76">
        <f t="shared" si="15"/>
        <v>191</v>
      </c>
      <c r="X43" s="37">
        <v>21</v>
      </c>
      <c r="Y43" s="47">
        <v>3</v>
      </c>
      <c r="Z43" s="83">
        <v>-3.96</v>
      </c>
      <c r="AA43" s="98">
        <f>AA41*3</f>
        <v>-2</v>
      </c>
      <c r="AB43" s="89">
        <f t="shared" si="16"/>
        <v>2</v>
      </c>
      <c r="AC43" s="40">
        <f t="shared" si="17"/>
        <v>9.8333333333333357</v>
      </c>
      <c r="AD43" s="283"/>
      <c r="AE43" s="283"/>
      <c r="AF43" s="58">
        <f t="shared" si="4"/>
        <v>-1.7222222222222214</v>
      </c>
      <c r="AG43" s="116">
        <f t="shared" si="0"/>
        <v>-0.16894999999999993</v>
      </c>
      <c r="AH43" s="39">
        <v>0.04</v>
      </c>
      <c r="AI43" s="41">
        <f t="shared" si="1"/>
        <v>272.71800000000002</v>
      </c>
      <c r="AJ43" s="41">
        <f t="shared" si="9"/>
        <v>49.135985880000028</v>
      </c>
      <c r="AK43" s="168">
        <f t="shared" si="3"/>
        <v>-4977.501401284303</v>
      </c>
      <c r="AL43" s="168">
        <v>-1196.9444444444439</v>
      </c>
      <c r="AM43" s="41">
        <f t="shared" si="6"/>
        <v>-5852.591859848746</v>
      </c>
      <c r="AN43" s="42">
        <f t="shared" si="2"/>
        <v>10079.463758628392</v>
      </c>
      <c r="AO43" s="42">
        <f t="shared" si="7"/>
        <v>49576.536241371607</v>
      </c>
      <c r="AP43" s="61">
        <f t="shared" si="8"/>
        <v>10079.463758628392</v>
      </c>
      <c r="AQ43" s="248">
        <f>AN43</f>
        <v>10079.463758628392</v>
      </c>
      <c r="AR43" s="7"/>
      <c r="AS43" s="269"/>
    </row>
    <row r="44" spans="2:45" x14ac:dyDescent="0.25">
      <c r="B44" s="14" t="s">
        <v>131</v>
      </c>
      <c r="C44" s="183">
        <f>MAX(AM23:AM205)</f>
        <v>8977.8778917819218</v>
      </c>
      <c r="D44" s="17"/>
      <c r="E44" s="17"/>
      <c r="F44" s="212"/>
      <c r="G44" s="17"/>
      <c r="H44" s="17"/>
      <c r="I44" s="17"/>
      <c r="J44" s="17"/>
      <c r="K44" s="17"/>
      <c r="L44" s="17"/>
      <c r="M44" s="15"/>
      <c r="N44" s="18"/>
      <c r="O44" s="18"/>
      <c r="P44" s="18"/>
      <c r="Q44" s="18"/>
      <c r="R44" s="210"/>
      <c r="U44" s="280"/>
      <c r="V44" s="72">
        <v>18.670000000000002</v>
      </c>
      <c r="W44" s="72">
        <f t="shared" si="15"/>
        <v>195.67000000000002</v>
      </c>
      <c r="X44" s="37">
        <v>22</v>
      </c>
      <c r="Y44" s="47">
        <v>4</v>
      </c>
      <c r="Z44" s="83">
        <v>-5.28</v>
      </c>
      <c r="AA44" s="98">
        <f>AA41*4</f>
        <v>-2.6666666666666665</v>
      </c>
      <c r="AB44" s="89">
        <f t="shared" si="16"/>
        <v>1.3333333333333335</v>
      </c>
      <c r="AC44" s="40">
        <f t="shared" si="17"/>
        <v>8.1111111111111143</v>
      </c>
      <c r="AD44" s="283"/>
      <c r="AE44" s="283"/>
      <c r="AF44" s="58">
        <f t="shared" si="4"/>
        <v>-1.7222222222222214</v>
      </c>
      <c r="AG44" s="116">
        <f t="shared" si="0"/>
        <v>-0.16894999999999993</v>
      </c>
      <c r="AH44" s="39">
        <v>0.04</v>
      </c>
      <c r="AI44" s="41">
        <f t="shared" si="1"/>
        <v>272.71800000000002</v>
      </c>
      <c r="AJ44" s="41">
        <f t="shared" si="9"/>
        <v>33.431730186666691</v>
      </c>
      <c r="AK44" s="168">
        <f t="shared" si="3"/>
        <v>-5748.8118645899576</v>
      </c>
      <c r="AL44" s="168">
        <v>-1196.9444444444439</v>
      </c>
      <c r="AM44" s="41">
        <f t="shared" si="6"/>
        <v>-6639.6065788477354</v>
      </c>
      <c r="AN44" s="42">
        <f t="shared" si="2"/>
        <v>11434.877996904428</v>
      </c>
      <c r="AO44" s="42">
        <f t="shared" si="7"/>
        <v>48221.122003095574</v>
      </c>
      <c r="AP44" s="61">
        <f t="shared" si="8"/>
        <v>11434.877996904428</v>
      </c>
      <c r="AQ44" s="248">
        <f>AN44</f>
        <v>11434.877996904428</v>
      </c>
      <c r="AR44" s="7"/>
      <c r="AS44" s="269"/>
    </row>
    <row r="45" spans="2:45" ht="15" customHeight="1" x14ac:dyDescent="0.25">
      <c r="B45" s="15"/>
      <c r="C45" s="17"/>
      <c r="D45" s="17"/>
      <c r="E45" s="17"/>
      <c r="F45" s="296" t="s">
        <v>151</v>
      </c>
      <c r="G45" s="297" t="s">
        <v>162</v>
      </c>
      <c r="H45" s="17"/>
      <c r="J45" s="189"/>
      <c r="K45" s="17"/>
      <c r="L45" s="17"/>
      <c r="M45" s="15"/>
      <c r="N45" s="18"/>
      <c r="O45" s="18"/>
      <c r="P45" s="18"/>
      <c r="Q45" s="18"/>
      <c r="R45" s="210"/>
      <c r="U45" s="280"/>
      <c r="V45" s="72">
        <v>23.33</v>
      </c>
      <c r="W45" s="74">
        <f t="shared" si="15"/>
        <v>200.32999999999998</v>
      </c>
      <c r="X45" s="37">
        <v>23</v>
      </c>
      <c r="Y45" s="47">
        <v>5</v>
      </c>
      <c r="Z45" s="83">
        <v>-6.6000000000000005</v>
      </c>
      <c r="AA45" s="98">
        <f>AA41*5</f>
        <v>-3.333333333333333</v>
      </c>
      <c r="AB45" s="89">
        <f t="shared" si="16"/>
        <v>0.66666666666666696</v>
      </c>
      <c r="AC45" s="40">
        <f t="shared" si="17"/>
        <v>6.3888888888888919</v>
      </c>
      <c r="AD45" s="283"/>
      <c r="AE45" s="283"/>
      <c r="AF45" s="58">
        <f t="shared" si="4"/>
        <v>-1.7222222222222223</v>
      </c>
      <c r="AG45" s="116">
        <f t="shared" si="0"/>
        <v>-0.16895000000000002</v>
      </c>
      <c r="AH45" s="39">
        <v>0.04</v>
      </c>
      <c r="AI45" s="41">
        <f t="shared" si="1"/>
        <v>272.71800000000002</v>
      </c>
      <c r="AJ45" s="41">
        <f t="shared" si="9"/>
        <v>20.74191366666669</v>
      </c>
      <c r="AK45" s="168">
        <f t="shared" si="3"/>
        <v>2124.0734393660405</v>
      </c>
      <c r="AL45" s="168">
        <v>-1196.9444444444446</v>
      </c>
      <c r="AM45" s="41">
        <f t="shared" si="6"/>
        <v>1220.5889085882625</v>
      </c>
      <c r="AN45" s="42">
        <f t="shared" si="2"/>
        <v>-2102.1253425686746</v>
      </c>
      <c r="AO45" s="42">
        <f t="shared" si="7"/>
        <v>61758.125342568674</v>
      </c>
      <c r="AP45" s="61">
        <f t="shared" si="8"/>
        <v>-2102.1253425686746</v>
      </c>
      <c r="AQ45" s="5"/>
      <c r="AR45" s="160">
        <f>AN45</f>
        <v>-2102.1253425686746</v>
      </c>
      <c r="AS45" s="269">
        <f t="shared" si="11"/>
        <v>2102.1253425686746</v>
      </c>
    </row>
    <row r="46" spans="2:45" ht="15.75" thickBot="1" x14ac:dyDescent="0.3">
      <c r="B46" s="14" t="s">
        <v>142</v>
      </c>
      <c r="C46" s="4">
        <v>35.76</v>
      </c>
      <c r="D46" s="17"/>
      <c r="E46" s="17"/>
      <c r="F46" s="296"/>
      <c r="G46" s="298"/>
      <c r="H46" s="204"/>
      <c r="I46" s="275" t="s">
        <v>172</v>
      </c>
      <c r="J46" s="275"/>
      <c r="K46" s="17"/>
      <c r="L46" s="17"/>
      <c r="M46" s="15"/>
      <c r="N46" s="18"/>
      <c r="O46" s="18"/>
      <c r="P46" s="18"/>
      <c r="Q46" s="18"/>
      <c r="R46" s="210"/>
      <c r="U46" s="281"/>
      <c r="V46" s="75">
        <v>28</v>
      </c>
      <c r="W46" s="48">
        <f>W40+V46</f>
        <v>205</v>
      </c>
      <c r="X46" s="49">
        <f>X40+Y46</f>
        <v>24</v>
      </c>
      <c r="Y46" s="50">
        <v>6</v>
      </c>
      <c r="Z46" s="81">
        <v>-7.92</v>
      </c>
      <c r="AA46" s="94">
        <v>-4</v>
      </c>
      <c r="AB46" s="90">
        <f t="shared" si="16"/>
        <v>0</v>
      </c>
      <c r="AC46" s="102">
        <f>V46/Y46</f>
        <v>4.666666666666667</v>
      </c>
      <c r="AD46" s="284"/>
      <c r="AE46" s="284"/>
      <c r="AF46" s="112">
        <f t="shared" si="4"/>
        <v>-1.722222222222225</v>
      </c>
      <c r="AG46" s="115">
        <f t="shared" si="0"/>
        <v>-0.16895000000000029</v>
      </c>
      <c r="AH46" s="118">
        <v>0.04</v>
      </c>
      <c r="AI46" s="121">
        <f t="shared" si="1"/>
        <v>272.71800000000002</v>
      </c>
      <c r="AJ46" s="119">
        <f t="shared" si="9"/>
        <v>11.066536320000003</v>
      </c>
      <c r="AK46" s="121">
        <f t="shared" si="3"/>
        <v>6803.0976349049088</v>
      </c>
      <c r="AL46" s="66">
        <v>-1196.9444444444464</v>
      </c>
      <c r="AM46" s="66">
        <f t="shared" si="6"/>
        <v>5889.937726780463</v>
      </c>
      <c r="AN46" s="164">
        <f t="shared" si="2"/>
        <v>-10143.781640566369</v>
      </c>
      <c r="AO46" s="164">
        <f t="shared" si="7"/>
        <v>69799.781640566362</v>
      </c>
      <c r="AP46" s="164">
        <f t="shared" si="8"/>
        <v>-10143.781640566369</v>
      </c>
      <c r="AQ46" s="5"/>
      <c r="AR46" s="160">
        <f>AN46</f>
        <v>-10143.781640566369</v>
      </c>
      <c r="AS46" s="269">
        <f t="shared" si="11"/>
        <v>10143.781640566369</v>
      </c>
    </row>
    <row r="47" spans="2:45" x14ac:dyDescent="0.25">
      <c r="B47" s="14" t="s">
        <v>143</v>
      </c>
      <c r="C47" s="4">
        <f>C46*60</f>
        <v>2145.6</v>
      </c>
      <c r="F47" s="296"/>
      <c r="G47" s="299"/>
      <c r="H47" s="204"/>
      <c r="I47" s="275"/>
      <c r="J47" s="275"/>
      <c r="K47" s="17"/>
      <c r="L47" s="17"/>
      <c r="M47" s="15"/>
      <c r="N47" s="18"/>
      <c r="O47" s="18"/>
      <c r="P47" s="18"/>
      <c r="Q47" s="18"/>
      <c r="R47" s="210"/>
      <c r="S47" s="19"/>
      <c r="U47" s="279" t="s">
        <v>38</v>
      </c>
      <c r="V47" s="71">
        <v>6</v>
      </c>
      <c r="W47" s="78">
        <f>$W$46+V47</f>
        <v>211</v>
      </c>
      <c r="X47" s="45">
        <v>25</v>
      </c>
      <c r="Y47" s="46">
        <v>1</v>
      </c>
      <c r="Z47" s="84">
        <v>-6.7885714285714283</v>
      </c>
      <c r="AA47" s="95">
        <f>AA52*6</f>
        <v>-3.4285714285714284</v>
      </c>
      <c r="AB47" s="88">
        <f>$AB$46+AA47</f>
        <v>-3.4285714285714284</v>
      </c>
      <c r="AC47" s="111">
        <f>AC46+$AE$47</f>
        <v>4.8571428571428577</v>
      </c>
      <c r="AD47" s="282">
        <f>AC53-AC46</f>
        <v>1.333333333333333</v>
      </c>
      <c r="AE47" s="282">
        <f>AD47/7</f>
        <v>0.19047619047619044</v>
      </c>
      <c r="AF47" s="62">
        <f t="shared" si="4"/>
        <v>0.19047619047619069</v>
      </c>
      <c r="AG47" s="114">
        <f t="shared" si="0"/>
        <v>1.8685714285714309E-2</v>
      </c>
      <c r="AH47" s="117">
        <v>0.04</v>
      </c>
      <c r="AI47" s="151">
        <f t="shared" si="1"/>
        <v>272.71800000000002</v>
      </c>
      <c r="AJ47" s="121">
        <f t="shared" si="9"/>
        <v>11.988363585306125</v>
      </c>
      <c r="AK47" s="151">
        <f t="shared" si="3"/>
        <v>3300.8786379220028</v>
      </c>
      <c r="AL47" s="174">
        <v>132.38095238095252</v>
      </c>
      <c r="AM47" s="169">
        <f t="shared" si="6"/>
        <v>3717.9659538882615</v>
      </c>
      <c r="AN47" s="61">
        <f t="shared" si="2"/>
        <v>708.1839912168125</v>
      </c>
      <c r="AO47" s="61">
        <f t="shared" si="7"/>
        <v>58947.816008783186</v>
      </c>
      <c r="AP47" s="61">
        <f t="shared" si="8"/>
        <v>708.1839912168125</v>
      </c>
      <c r="AQ47" s="248">
        <f>AN47</f>
        <v>708.1839912168125</v>
      </c>
      <c r="AR47" s="7"/>
      <c r="AS47" s="269"/>
    </row>
    <row r="48" spans="2:45" x14ac:dyDescent="0.25">
      <c r="B48" s="14" t="s">
        <v>144</v>
      </c>
      <c r="C48" s="182">
        <f>C47/C41</f>
        <v>996.37226875303008</v>
      </c>
      <c r="D48" s="17"/>
      <c r="E48" s="17"/>
      <c r="F48" s="233" t="s">
        <v>155</v>
      </c>
      <c r="G48" s="4">
        <v>24</v>
      </c>
      <c r="H48" s="204"/>
      <c r="I48" s="8" t="s">
        <v>173</v>
      </c>
      <c r="J48" s="4">
        <f>G48*2</f>
        <v>48</v>
      </c>
      <c r="K48" s="17"/>
      <c r="L48" s="17"/>
      <c r="M48" s="15"/>
      <c r="N48" s="18"/>
      <c r="O48" s="18"/>
      <c r="P48" s="18"/>
      <c r="Q48" s="18"/>
      <c r="R48" s="210"/>
      <c r="S48" s="19"/>
      <c r="U48" s="280"/>
      <c r="V48" s="72">
        <v>12</v>
      </c>
      <c r="W48" s="76">
        <f t="shared" ref="W48:W52" si="18">$W$46+V48</f>
        <v>217</v>
      </c>
      <c r="X48" s="37">
        <v>26</v>
      </c>
      <c r="Y48" s="47">
        <v>2</v>
      </c>
      <c r="Z48" s="83">
        <v>-5.6571428571428575</v>
      </c>
      <c r="AA48" s="96">
        <f>AA52*5</f>
        <v>-2.8571428571428568</v>
      </c>
      <c r="AB48" s="89">
        <f t="shared" ref="AB48:AB53" si="19">$AB$46+AA48</f>
        <v>-2.8571428571428568</v>
      </c>
      <c r="AC48" s="40">
        <f t="shared" ref="AC48:AC52" si="20">AC47+$AE$47</f>
        <v>5.0476190476190483</v>
      </c>
      <c r="AD48" s="283"/>
      <c r="AE48" s="283"/>
      <c r="AF48" s="58">
        <f t="shared" si="4"/>
        <v>0.19047619047619069</v>
      </c>
      <c r="AG48" s="116">
        <f t="shared" si="0"/>
        <v>1.8685714285714309E-2</v>
      </c>
      <c r="AH48" s="39">
        <v>0.04</v>
      </c>
      <c r="AI48" s="41">
        <f t="shared" si="1"/>
        <v>272.71800000000002</v>
      </c>
      <c r="AJ48" s="41">
        <f t="shared" si="9"/>
        <v>12.947063941224496</v>
      </c>
      <c r="AK48" s="168">
        <f t="shared" si="3"/>
        <v>-3994.925600237751</v>
      </c>
      <c r="AL48" s="168">
        <v>132.38095238095252</v>
      </c>
      <c r="AM48" s="121">
        <f t="shared" si="6"/>
        <v>-3576.8795839155737</v>
      </c>
      <c r="AN48" s="42">
        <f t="shared" si="2"/>
        <v>-681.31039693630055</v>
      </c>
      <c r="AO48" s="42">
        <f t="shared" si="7"/>
        <v>60337.3103969363</v>
      </c>
      <c r="AP48" s="61">
        <f t="shared" si="8"/>
        <v>-681.31039693630055</v>
      </c>
      <c r="AQ48" s="5"/>
      <c r="AR48" s="160">
        <f>AN48</f>
        <v>-681.31039693630055</v>
      </c>
      <c r="AS48" s="269">
        <f t="shared" si="11"/>
        <v>681.31039693630055</v>
      </c>
    </row>
    <row r="49" spans="2:45" x14ac:dyDescent="0.25">
      <c r="D49" s="17"/>
      <c r="E49" s="17"/>
      <c r="F49" s="235" t="s">
        <v>159</v>
      </c>
      <c r="G49" s="147">
        <v>72</v>
      </c>
      <c r="H49" s="204"/>
      <c r="I49" s="188" t="s">
        <v>174</v>
      </c>
      <c r="J49" s="147">
        <f>G49*2</f>
        <v>144</v>
      </c>
      <c r="K49" s="17"/>
      <c r="L49" s="17"/>
      <c r="M49" s="15"/>
      <c r="N49" s="18"/>
      <c r="O49" s="18"/>
      <c r="P49" s="18"/>
      <c r="Q49" s="18"/>
      <c r="R49" s="210"/>
      <c r="S49" s="19"/>
      <c r="U49" s="280"/>
      <c r="V49" s="72">
        <v>18</v>
      </c>
      <c r="W49" s="72">
        <f t="shared" si="18"/>
        <v>223</v>
      </c>
      <c r="X49" s="37">
        <v>27</v>
      </c>
      <c r="Y49" s="47">
        <v>3</v>
      </c>
      <c r="Z49" s="83">
        <v>-4.5257142857142858</v>
      </c>
      <c r="AA49" s="96">
        <f>AA52*4</f>
        <v>-2.2857142857142856</v>
      </c>
      <c r="AB49" s="89">
        <f t="shared" si="19"/>
        <v>-2.2857142857142856</v>
      </c>
      <c r="AC49" s="40">
        <f t="shared" si="20"/>
        <v>5.238095238095239</v>
      </c>
      <c r="AD49" s="283"/>
      <c r="AE49" s="283"/>
      <c r="AF49" s="58">
        <f t="shared" si="4"/>
        <v>0.19047619047619069</v>
      </c>
      <c r="AG49" s="116">
        <f t="shared" si="0"/>
        <v>1.8685714285714309E-2</v>
      </c>
      <c r="AH49" s="39">
        <v>0.04</v>
      </c>
      <c r="AI49" s="41">
        <f t="shared" si="1"/>
        <v>272.71800000000002</v>
      </c>
      <c r="AJ49" s="41">
        <f t="shared" si="9"/>
        <v>13.942637387755109</v>
      </c>
      <c r="AK49" s="168">
        <f t="shared" si="3"/>
        <v>-6699.500514619016</v>
      </c>
      <c r="AL49" s="168">
        <v>132.38095238095252</v>
      </c>
      <c r="AM49" s="41">
        <f t="shared" si="6"/>
        <v>-6280.4589248503089</v>
      </c>
      <c r="AN49" s="42">
        <f t="shared" si="2"/>
        <v>-1196.2778904476793</v>
      </c>
      <c r="AO49" s="42">
        <f t="shared" si="7"/>
        <v>60852.27789044768</v>
      </c>
      <c r="AP49" s="61">
        <f t="shared" si="8"/>
        <v>-1196.2778904476793</v>
      </c>
      <c r="AQ49" s="5"/>
      <c r="AR49" s="160">
        <f>AN49</f>
        <v>-1196.2778904476793</v>
      </c>
      <c r="AS49" s="269">
        <f t="shared" si="11"/>
        <v>1196.2778904476793</v>
      </c>
    </row>
    <row r="50" spans="2:45" x14ac:dyDescent="0.25">
      <c r="B50" s="15"/>
      <c r="C50" s="17"/>
      <c r="D50" s="17"/>
      <c r="E50" s="17"/>
      <c r="F50" s="232"/>
      <c r="G50" s="18"/>
      <c r="H50" s="17"/>
      <c r="I50" s="17"/>
      <c r="J50" s="17"/>
      <c r="K50" s="17"/>
      <c r="L50" s="17"/>
      <c r="M50" s="15"/>
      <c r="N50" s="18"/>
      <c r="O50" s="18"/>
      <c r="P50" s="18"/>
      <c r="Q50" s="18"/>
      <c r="R50" s="210"/>
      <c r="S50" s="19"/>
      <c r="U50" s="280"/>
      <c r="V50" s="72">
        <v>24</v>
      </c>
      <c r="W50" s="72">
        <f t="shared" si="18"/>
        <v>229</v>
      </c>
      <c r="X50" s="37">
        <v>28</v>
      </c>
      <c r="Y50" s="47">
        <v>4</v>
      </c>
      <c r="Z50" s="83">
        <v>-3.3942857142857141</v>
      </c>
      <c r="AA50" s="96">
        <f>AA52*3</f>
        <v>-1.7142857142857142</v>
      </c>
      <c r="AB50" s="89">
        <f t="shared" si="19"/>
        <v>-1.7142857142857142</v>
      </c>
      <c r="AC50" s="40">
        <f t="shared" si="20"/>
        <v>5.4285714285714297</v>
      </c>
      <c r="AD50" s="283"/>
      <c r="AE50" s="283"/>
      <c r="AF50" s="58">
        <f t="shared" si="4"/>
        <v>0.19047619047619069</v>
      </c>
      <c r="AG50" s="116">
        <f t="shared" si="0"/>
        <v>1.8685714285714309E-2</v>
      </c>
      <c r="AH50" s="39">
        <v>0.04</v>
      </c>
      <c r="AI50" s="41">
        <f t="shared" si="1"/>
        <v>272.71800000000002</v>
      </c>
      <c r="AJ50" s="41">
        <f t="shared" si="9"/>
        <v>14.975083924897968</v>
      </c>
      <c r="AK50" s="168">
        <f t="shared" si="3"/>
        <v>-1704.5720351054431</v>
      </c>
      <c r="AL50" s="168">
        <v>132.38095238095252</v>
      </c>
      <c r="AM50" s="41">
        <f t="shared" si="6"/>
        <v>-1284.4979987995926</v>
      </c>
      <c r="AN50" s="42">
        <f t="shared" si="2"/>
        <v>-244.66628548563696</v>
      </c>
      <c r="AO50" s="42">
        <f t="shared" si="7"/>
        <v>59900.66628548564</v>
      </c>
      <c r="AP50" s="61">
        <f t="shared" si="8"/>
        <v>-244.66628548563696</v>
      </c>
      <c r="AQ50" s="5"/>
      <c r="AR50" s="160">
        <f>AN50</f>
        <v>-244.66628548563696</v>
      </c>
      <c r="AS50" s="269">
        <f t="shared" si="11"/>
        <v>244.66628548563696</v>
      </c>
    </row>
    <row r="51" spans="2:45" x14ac:dyDescent="0.25">
      <c r="B51" s="15"/>
      <c r="C51" s="17"/>
      <c r="D51" s="17"/>
      <c r="E51" s="17"/>
      <c r="F51" s="233" t="s">
        <v>154</v>
      </c>
      <c r="G51" s="4">
        <v>12000</v>
      </c>
      <c r="H51" s="17"/>
      <c r="I51" s="8" t="s">
        <v>154</v>
      </c>
      <c r="J51" s="4">
        <v>12000</v>
      </c>
      <c r="K51" s="17"/>
      <c r="L51" s="17"/>
      <c r="M51" s="15"/>
      <c r="N51" s="18"/>
      <c r="O51" s="18"/>
      <c r="P51" s="18"/>
      <c r="Q51" s="18"/>
      <c r="R51" s="210"/>
      <c r="S51" s="19"/>
      <c r="U51" s="280"/>
      <c r="V51" s="72">
        <v>30</v>
      </c>
      <c r="W51" s="74">
        <f t="shared" si="18"/>
        <v>235</v>
      </c>
      <c r="X51" s="37">
        <v>29</v>
      </c>
      <c r="Y51" s="47">
        <v>5</v>
      </c>
      <c r="Z51" s="83">
        <v>-2.2628571428571429</v>
      </c>
      <c r="AA51" s="96">
        <f>AA52*2</f>
        <v>-1.1428571428571428</v>
      </c>
      <c r="AB51" s="89">
        <f t="shared" si="19"/>
        <v>-1.1428571428571428</v>
      </c>
      <c r="AC51" s="40">
        <f t="shared" si="20"/>
        <v>5.6190476190476204</v>
      </c>
      <c r="AD51" s="283"/>
      <c r="AE51" s="283"/>
      <c r="AF51" s="58">
        <f t="shared" si="4"/>
        <v>0.19047619047619069</v>
      </c>
      <c r="AG51" s="116">
        <f t="shared" si="0"/>
        <v>1.8685714285714309E-2</v>
      </c>
      <c r="AH51" s="39">
        <v>0.04</v>
      </c>
      <c r="AI51" s="41">
        <f t="shared" si="1"/>
        <v>272.71800000000002</v>
      </c>
      <c r="AJ51" s="41">
        <f t="shared" si="9"/>
        <v>16.044403552653069</v>
      </c>
      <c r="AK51" s="168">
        <f t="shared" si="3"/>
        <v>5249.3619166510007</v>
      </c>
      <c r="AL51" s="168">
        <v>132.38095238095252</v>
      </c>
      <c r="AM51" s="41">
        <f t="shared" si="6"/>
        <v>5670.5052725846062</v>
      </c>
      <c r="AN51" s="42">
        <f t="shared" si="2"/>
        <v>1080.0962423970691</v>
      </c>
      <c r="AO51" s="42">
        <f t="shared" si="7"/>
        <v>58575.90375760293</v>
      </c>
      <c r="AP51" s="61">
        <f t="shared" si="8"/>
        <v>1080.0962423970691</v>
      </c>
      <c r="AQ51" s="248">
        <f>AN51</f>
        <v>1080.0962423970691</v>
      </c>
      <c r="AR51" s="7"/>
      <c r="AS51" s="269"/>
    </row>
    <row r="52" spans="2:45" x14ac:dyDescent="0.25">
      <c r="B52" s="15"/>
      <c r="C52" s="17"/>
      <c r="D52" s="17"/>
      <c r="E52" s="17"/>
      <c r="F52" s="233" t="s">
        <v>160</v>
      </c>
      <c r="G52" s="4">
        <v>30000</v>
      </c>
      <c r="H52" s="17"/>
      <c r="I52" s="8" t="s">
        <v>160</v>
      </c>
      <c r="J52" s="4">
        <v>30000</v>
      </c>
      <c r="K52" s="17"/>
      <c r="L52" s="17"/>
      <c r="M52" s="15"/>
      <c r="N52" s="18"/>
      <c r="O52" s="18"/>
      <c r="P52" s="18"/>
      <c r="Q52" s="18"/>
      <c r="R52" s="210"/>
      <c r="S52" s="19"/>
      <c r="U52" s="280"/>
      <c r="V52" s="72">
        <v>36</v>
      </c>
      <c r="W52" s="74">
        <f t="shared" si="18"/>
        <v>241</v>
      </c>
      <c r="X52" s="37">
        <v>30</v>
      </c>
      <c r="Y52" s="47">
        <v>6</v>
      </c>
      <c r="Z52" s="83">
        <v>-1.1314285714285715</v>
      </c>
      <c r="AA52" s="96">
        <f>AA46/7</f>
        <v>-0.5714285714285714</v>
      </c>
      <c r="AB52" s="89">
        <f t="shared" si="19"/>
        <v>-0.5714285714285714</v>
      </c>
      <c r="AC52" s="105">
        <f t="shared" si="20"/>
        <v>5.8095238095238111</v>
      </c>
      <c r="AD52" s="283"/>
      <c r="AE52" s="283"/>
      <c r="AF52" s="58">
        <f t="shared" si="4"/>
        <v>0.19047619047619069</v>
      </c>
      <c r="AG52" s="116">
        <f t="shared" si="0"/>
        <v>1.8685714285714309E-2</v>
      </c>
      <c r="AH52" s="39">
        <v>0.04</v>
      </c>
      <c r="AI52" s="41">
        <f t="shared" si="1"/>
        <v>272.71800000000002</v>
      </c>
      <c r="AJ52" s="41">
        <f t="shared" si="9"/>
        <v>17.150596271020419</v>
      </c>
      <c r="AK52" s="168">
        <f t="shared" si="3"/>
        <v>6170.386429137835</v>
      </c>
      <c r="AL52" s="168">
        <v>132.38095238095252</v>
      </c>
      <c r="AM52" s="41">
        <f t="shared" si="6"/>
        <v>6592.6359777898078</v>
      </c>
      <c r="AN52" s="42">
        <f t="shared" si="2"/>
        <v>1255.7401862456791</v>
      </c>
      <c r="AO52" s="42">
        <f t="shared" si="7"/>
        <v>58400.259813754325</v>
      </c>
      <c r="AP52" s="61">
        <f t="shared" si="8"/>
        <v>1255.7401862456791</v>
      </c>
      <c r="AQ52" s="248">
        <f>AN52</f>
        <v>1255.7401862456791</v>
      </c>
      <c r="AR52" s="7"/>
      <c r="AS52" s="269"/>
    </row>
    <row r="53" spans="2:45" ht="15.75" thickBot="1" x14ac:dyDescent="0.3">
      <c r="B53" s="15"/>
      <c r="C53" s="15"/>
      <c r="D53" s="15"/>
      <c r="E53" s="15"/>
      <c r="F53" s="233" t="s">
        <v>158</v>
      </c>
      <c r="G53" s="4">
        <f>G51/1000</f>
        <v>12</v>
      </c>
      <c r="I53" s="8" t="s">
        <v>158</v>
      </c>
      <c r="J53" s="4">
        <f>J51/1000</f>
        <v>12</v>
      </c>
      <c r="K53" s="15"/>
      <c r="L53" s="15"/>
      <c r="M53" s="15"/>
      <c r="N53" s="18"/>
      <c r="O53" s="18"/>
      <c r="P53" s="18"/>
      <c r="Q53" s="18"/>
      <c r="R53" s="210"/>
      <c r="S53" s="19"/>
      <c r="U53" s="281"/>
      <c r="V53" s="75">
        <v>42</v>
      </c>
      <c r="W53" s="48">
        <f>W46+V53</f>
        <v>247</v>
      </c>
      <c r="X53" s="49">
        <f>X46+Y53</f>
        <v>31</v>
      </c>
      <c r="Y53" s="50">
        <v>7</v>
      </c>
      <c r="Z53" s="81">
        <v>0</v>
      </c>
      <c r="AA53" s="94">
        <v>0</v>
      </c>
      <c r="AB53" s="93">
        <f t="shared" si="19"/>
        <v>0</v>
      </c>
      <c r="AC53" s="102">
        <f>V53/Y53</f>
        <v>6</v>
      </c>
      <c r="AD53" s="284"/>
      <c r="AE53" s="284"/>
      <c r="AF53" s="64">
        <f t="shared" si="4"/>
        <v>0.19047619047618891</v>
      </c>
      <c r="AG53" s="115">
        <f t="shared" si="0"/>
        <v>1.8685714285714132E-2</v>
      </c>
      <c r="AH53" s="118">
        <v>0.04</v>
      </c>
      <c r="AI53" s="121">
        <f t="shared" si="1"/>
        <v>272.71800000000002</v>
      </c>
      <c r="AJ53" s="119">
        <f t="shared" si="9"/>
        <v>18.293662080000001</v>
      </c>
      <c r="AK53" s="121">
        <f t="shared" si="3"/>
        <v>0</v>
      </c>
      <c r="AL53" s="66">
        <v>132.3809523809513</v>
      </c>
      <c r="AM53" s="66">
        <f t="shared" si="6"/>
        <v>423.39261446095134</v>
      </c>
      <c r="AN53" s="164">
        <f t="shared" si="2"/>
        <v>80.646212278275783</v>
      </c>
      <c r="AO53" s="164">
        <f t="shared" si="7"/>
        <v>59575.353787721724</v>
      </c>
      <c r="AP53" s="164">
        <f t="shared" si="8"/>
        <v>80.646212278275783</v>
      </c>
      <c r="AQ53" s="248">
        <f>AN53</f>
        <v>80.646212278275783</v>
      </c>
      <c r="AR53" s="7"/>
      <c r="AS53" s="269"/>
    </row>
    <row r="54" spans="2:45" x14ac:dyDescent="0.25">
      <c r="B54" s="15"/>
      <c r="C54" s="15"/>
      <c r="D54" s="15"/>
      <c r="E54" s="15"/>
      <c r="F54" s="233" t="s">
        <v>161</v>
      </c>
      <c r="G54" s="4">
        <f>G52/1000</f>
        <v>30</v>
      </c>
      <c r="I54" s="8" t="s">
        <v>161</v>
      </c>
      <c r="J54" s="4">
        <f>J52/1000</f>
        <v>30</v>
      </c>
      <c r="K54" s="15"/>
      <c r="L54" s="15"/>
      <c r="M54" s="15"/>
      <c r="N54" s="18"/>
      <c r="O54" s="18"/>
      <c r="P54" s="18"/>
      <c r="Q54" s="18"/>
      <c r="R54" s="210"/>
      <c r="S54" s="19"/>
      <c r="U54" s="279" t="s">
        <v>39</v>
      </c>
      <c r="V54" s="71">
        <v>4.2</v>
      </c>
      <c r="W54" s="78">
        <f>$W$53+V54</f>
        <v>251.2</v>
      </c>
      <c r="X54" s="45">
        <v>32</v>
      </c>
      <c r="Y54" s="46">
        <v>1</v>
      </c>
      <c r="Z54" s="84">
        <v>1.6059999999999999</v>
      </c>
      <c r="AA54" s="95">
        <f>AA58/5</f>
        <v>0.6</v>
      </c>
      <c r="AB54" s="91">
        <f>$AB$53+AA54</f>
        <v>0.6</v>
      </c>
      <c r="AC54" s="111">
        <f>AC53+$AE$54</f>
        <v>5.64</v>
      </c>
      <c r="AD54" s="282">
        <f>AC58-AC53</f>
        <v>-1.7999999999999998</v>
      </c>
      <c r="AE54" s="282">
        <f>AD54/5</f>
        <v>-0.36</v>
      </c>
      <c r="AF54" s="58">
        <f t="shared" si="4"/>
        <v>-0.36000000000000032</v>
      </c>
      <c r="AG54" s="114">
        <f t="shared" si="0"/>
        <v>-3.5316000000000035E-2</v>
      </c>
      <c r="AH54" s="117">
        <v>0.04</v>
      </c>
      <c r="AI54" s="151">
        <f t="shared" si="1"/>
        <v>272.71800000000002</v>
      </c>
      <c r="AJ54" s="121">
        <f t="shared" si="9"/>
        <v>16.164279813888001</v>
      </c>
      <c r="AK54" s="151">
        <f t="shared" si="3"/>
        <v>-6813.7256983220541</v>
      </c>
      <c r="AL54" s="174">
        <v>-250.20000000000022</v>
      </c>
      <c r="AM54" s="169">
        <f t="shared" si="6"/>
        <v>-6775.0434185081658</v>
      </c>
      <c r="AN54" s="61">
        <f t="shared" ref="AN54:AN85" si="21">AM54*AF54</f>
        <v>2439.0156306629419</v>
      </c>
      <c r="AO54" s="61">
        <f t="shared" si="7"/>
        <v>57216.984369337057</v>
      </c>
      <c r="AP54" s="61">
        <f t="shared" si="8"/>
        <v>2439.0156306629419</v>
      </c>
      <c r="AQ54" s="248">
        <f>AN54</f>
        <v>2439.0156306629419</v>
      </c>
      <c r="AR54" s="7"/>
      <c r="AS54" s="269"/>
    </row>
    <row r="55" spans="2:45" x14ac:dyDescent="0.25">
      <c r="B55" s="15"/>
      <c r="C55" s="15"/>
      <c r="D55" s="15"/>
      <c r="E55" s="224"/>
      <c r="H55" s="15"/>
      <c r="I55" s="15"/>
      <c r="L55" s="15"/>
      <c r="M55" s="15"/>
      <c r="N55" s="18"/>
      <c r="O55" s="18"/>
      <c r="P55" s="18"/>
      <c r="Q55" s="18"/>
      <c r="R55" s="210"/>
      <c r="S55" s="19"/>
      <c r="U55" s="280"/>
      <c r="V55" s="72">
        <v>8.4</v>
      </c>
      <c r="W55" s="72">
        <f t="shared" ref="W55:W57" si="22">$W$53+V55</f>
        <v>255.4</v>
      </c>
      <c r="X55" s="37">
        <v>33</v>
      </c>
      <c r="Y55" s="47">
        <v>2</v>
      </c>
      <c r="Z55" s="83">
        <v>3.2119999999999997</v>
      </c>
      <c r="AA55" s="96">
        <f>AA54*2</f>
        <v>1.2</v>
      </c>
      <c r="AB55" s="89">
        <f t="shared" ref="AB55:AB58" si="23">$AB$53+AA55</f>
        <v>1.2</v>
      </c>
      <c r="AC55" s="40">
        <f t="shared" ref="AC55:AC57" si="24">AC54+$AE$54</f>
        <v>5.2799999999999994</v>
      </c>
      <c r="AD55" s="283"/>
      <c r="AE55" s="283"/>
      <c r="AF55" s="58">
        <f t="shared" si="4"/>
        <v>-0.36000000000000032</v>
      </c>
      <c r="AG55" s="116">
        <f t="shared" si="0"/>
        <v>-3.5316000000000035E-2</v>
      </c>
      <c r="AH55" s="39">
        <v>0.04</v>
      </c>
      <c r="AI55" s="41">
        <f t="shared" si="1"/>
        <v>272.71800000000002</v>
      </c>
      <c r="AJ55" s="41">
        <f t="shared" si="9"/>
        <v>14.166611914751996</v>
      </c>
      <c r="AK55" s="168">
        <f t="shared" ref="AK55:AK86" si="25">$C$6*9.81*-SIN(Z55)</f>
        <v>479.63726229496302</v>
      </c>
      <c r="AL55" s="168">
        <v>-250.20000000000022</v>
      </c>
      <c r="AM55" s="41">
        <f t="shared" si="6"/>
        <v>516.32187420971468</v>
      </c>
      <c r="AN55" s="42">
        <f t="shared" si="21"/>
        <v>-185.87587471549745</v>
      </c>
      <c r="AO55" s="42">
        <f t="shared" si="7"/>
        <v>59841.875874715501</v>
      </c>
      <c r="AP55" s="61">
        <f t="shared" si="8"/>
        <v>-185.87587471549745</v>
      </c>
      <c r="AQ55" s="5"/>
      <c r="AR55" s="160">
        <f>AN55</f>
        <v>-185.87587471549745</v>
      </c>
      <c r="AS55" s="269">
        <f t="shared" si="11"/>
        <v>185.87587471549745</v>
      </c>
    </row>
    <row r="56" spans="2:45" x14ac:dyDescent="0.25">
      <c r="B56" s="15"/>
      <c r="C56" s="15"/>
      <c r="D56" s="15"/>
      <c r="E56" s="224"/>
      <c r="F56" s="235" t="s">
        <v>166</v>
      </c>
      <c r="G56" s="147">
        <v>5000</v>
      </c>
      <c r="H56" s="15"/>
      <c r="I56" s="188" t="s">
        <v>166</v>
      </c>
      <c r="J56" s="147">
        <v>5000</v>
      </c>
      <c r="K56" s="15"/>
      <c r="L56" s="15"/>
      <c r="M56" s="15"/>
      <c r="N56" s="18"/>
      <c r="O56" s="18"/>
      <c r="P56" s="18"/>
      <c r="Q56" s="18"/>
      <c r="R56" s="210"/>
      <c r="S56" s="19"/>
      <c r="U56" s="280"/>
      <c r="V56" s="76">
        <v>12.8</v>
      </c>
      <c r="W56" s="72">
        <f t="shared" si="22"/>
        <v>259.8</v>
      </c>
      <c r="X56" s="37">
        <v>34</v>
      </c>
      <c r="Y56" s="47">
        <v>3</v>
      </c>
      <c r="Z56" s="83">
        <v>4.8179999999999996</v>
      </c>
      <c r="AA56" s="96">
        <f>AA54*3</f>
        <v>1.7999999999999998</v>
      </c>
      <c r="AB56" s="89">
        <f t="shared" si="23"/>
        <v>1.7999999999999998</v>
      </c>
      <c r="AC56" s="40">
        <f t="shared" si="24"/>
        <v>4.919999999999999</v>
      </c>
      <c r="AD56" s="283"/>
      <c r="AE56" s="283"/>
      <c r="AF56" s="58">
        <f t="shared" si="4"/>
        <v>-0.36000000000000032</v>
      </c>
      <c r="AG56" s="116">
        <f t="shared" si="0"/>
        <v>-3.5316000000000035E-2</v>
      </c>
      <c r="AH56" s="39">
        <v>0.04</v>
      </c>
      <c r="AI56" s="41">
        <f t="shared" si="1"/>
        <v>272.71800000000002</v>
      </c>
      <c r="AJ56" s="41">
        <f t="shared" si="9"/>
        <v>12.300658382591998</v>
      </c>
      <c r="AK56" s="168">
        <f t="shared" si="25"/>
        <v>6779.9626861951556</v>
      </c>
      <c r="AL56" s="168">
        <v>-250.20000000000022</v>
      </c>
      <c r="AM56" s="41">
        <f t="shared" si="6"/>
        <v>6814.7813445777474</v>
      </c>
      <c r="AN56" s="42">
        <f t="shared" si="21"/>
        <v>-2453.3212840479914</v>
      </c>
      <c r="AO56" s="42">
        <f t="shared" si="7"/>
        <v>62109.32128404799</v>
      </c>
      <c r="AP56" s="61">
        <f t="shared" si="8"/>
        <v>-2453.3212840479914</v>
      </c>
      <c r="AQ56" s="5"/>
      <c r="AR56" s="160">
        <f>AN56</f>
        <v>-2453.3212840479914</v>
      </c>
      <c r="AS56" s="269">
        <f t="shared" si="11"/>
        <v>2453.3212840479914</v>
      </c>
    </row>
    <row r="57" spans="2:45" x14ac:dyDescent="0.25">
      <c r="B57" s="15"/>
      <c r="C57" s="15"/>
      <c r="D57" s="15"/>
      <c r="E57" s="224"/>
      <c r="H57" s="15"/>
      <c r="I57" s="15"/>
      <c r="J57" s="15"/>
      <c r="K57" s="15"/>
      <c r="L57" s="15"/>
      <c r="M57" s="15"/>
      <c r="N57" s="18"/>
      <c r="O57" s="18"/>
      <c r="P57" s="18"/>
      <c r="Q57" s="18"/>
      <c r="R57" s="210"/>
      <c r="S57" s="19"/>
      <c r="U57" s="280"/>
      <c r="V57" s="72">
        <v>16.8</v>
      </c>
      <c r="W57" s="74">
        <f t="shared" si="22"/>
        <v>263.8</v>
      </c>
      <c r="X57" s="37">
        <v>35</v>
      </c>
      <c r="Y57" s="47">
        <v>4</v>
      </c>
      <c r="Z57" s="83">
        <v>6.4239999999999995</v>
      </c>
      <c r="AA57" s="96">
        <f>AA54*4</f>
        <v>2.4</v>
      </c>
      <c r="AB57" s="89">
        <f t="shared" si="23"/>
        <v>2.4</v>
      </c>
      <c r="AC57" s="40">
        <f t="shared" si="24"/>
        <v>4.5599999999999987</v>
      </c>
      <c r="AD57" s="283"/>
      <c r="AE57" s="283"/>
      <c r="AF57" s="58">
        <f t="shared" si="4"/>
        <v>-0.36000000000000032</v>
      </c>
      <c r="AG57" s="116">
        <f t="shared" si="0"/>
        <v>-3.5316000000000035E-2</v>
      </c>
      <c r="AH57" s="39">
        <v>0.04</v>
      </c>
      <c r="AI57" s="41">
        <f t="shared" si="1"/>
        <v>272.71800000000002</v>
      </c>
      <c r="AJ57" s="41">
        <f t="shared" si="9"/>
        <v>10.566419217407994</v>
      </c>
      <c r="AK57" s="168">
        <f t="shared" si="25"/>
        <v>-956.8978514715227</v>
      </c>
      <c r="AL57" s="41">
        <v>-250.20000000000022</v>
      </c>
      <c r="AM57" s="41">
        <f t="shared" si="6"/>
        <v>-923.81343225411501</v>
      </c>
      <c r="AN57" s="42">
        <f t="shared" si="21"/>
        <v>332.57283561148171</v>
      </c>
      <c r="AO57" s="42">
        <f t="shared" si="7"/>
        <v>59323.427164388515</v>
      </c>
      <c r="AP57" s="61">
        <f t="shared" si="8"/>
        <v>332.57283561148171</v>
      </c>
      <c r="AQ57" s="248">
        <f>AN57</f>
        <v>332.57283561148171</v>
      </c>
      <c r="AR57" s="7"/>
      <c r="AS57" s="269"/>
    </row>
    <row r="58" spans="2:45" ht="15.75" thickBot="1" x14ac:dyDescent="0.3">
      <c r="B58" s="15"/>
      <c r="C58" s="17"/>
      <c r="D58" s="17"/>
      <c r="E58" s="223"/>
      <c r="F58" s="236" t="s">
        <v>169</v>
      </c>
      <c r="G58" s="195">
        <v>165</v>
      </c>
      <c r="H58" s="17"/>
      <c r="I58" s="188" t="s">
        <v>169</v>
      </c>
      <c r="J58" s="195">
        <v>165</v>
      </c>
      <c r="K58" s="17"/>
      <c r="L58" s="17"/>
      <c r="M58" s="15"/>
      <c r="N58" s="18"/>
      <c r="O58" s="18"/>
      <c r="P58" s="18"/>
      <c r="Q58" s="18"/>
      <c r="R58" s="210"/>
      <c r="S58" s="86"/>
      <c r="U58" s="281"/>
      <c r="V58" s="75">
        <v>21</v>
      </c>
      <c r="W58" s="48">
        <f>W53+V58</f>
        <v>268</v>
      </c>
      <c r="X58" s="49">
        <f>X53+Y58</f>
        <v>36</v>
      </c>
      <c r="Y58" s="50">
        <v>5</v>
      </c>
      <c r="Z58" s="81">
        <v>8.0299999999999994</v>
      </c>
      <c r="AA58" s="94">
        <v>3</v>
      </c>
      <c r="AB58" s="93">
        <f t="shared" si="23"/>
        <v>3</v>
      </c>
      <c r="AC58" s="102">
        <f>V58/Y58</f>
        <v>4.2</v>
      </c>
      <c r="AD58" s="284"/>
      <c r="AE58" s="284"/>
      <c r="AF58" s="112">
        <f t="shared" si="4"/>
        <v>-0.35999999999999854</v>
      </c>
      <c r="AG58" s="115">
        <f t="shared" si="0"/>
        <v>-3.5315999999999861E-2</v>
      </c>
      <c r="AH58" s="118">
        <v>0.04</v>
      </c>
      <c r="AI58" s="121">
        <f t="shared" si="1"/>
        <v>272.71800000000002</v>
      </c>
      <c r="AJ58" s="119">
        <f t="shared" si="9"/>
        <v>8.9638944192000007</v>
      </c>
      <c r="AK58" s="66">
        <f t="shared" si="25"/>
        <v>-6712.6039626279944</v>
      </c>
      <c r="AL58" s="173">
        <v>-250.19999999999899</v>
      </c>
      <c r="AM58" s="66">
        <f t="shared" si="6"/>
        <v>-6681.1220682087933</v>
      </c>
      <c r="AN58" s="164">
        <f t="shared" si="21"/>
        <v>2405.2039445551559</v>
      </c>
      <c r="AO58" s="164">
        <f t="shared" si="7"/>
        <v>57250.796055444844</v>
      </c>
      <c r="AP58" s="164">
        <f t="shared" si="8"/>
        <v>2405.2039445551559</v>
      </c>
      <c r="AQ58" s="248">
        <f>AN58</f>
        <v>2405.2039445551559</v>
      </c>
      <c r="AR58" s="7"/>
      <c r="AS58" s="269"/>
    </row>
    <row r="59" spans="2:45" x14ac:dyDescent="0.25">
      <c r="B59" s="15"/>
      <c r="C59" s="17"/>
      <c r="D59" s="17"/>
      <c r="E59" s="223"/>
      <c r="F59" s="237" t="s">
        <v>170</v>
      </c>
      <c r="G59" s="147">
        <v>450</v>
      </c>
      <c r="H59" s="17"/>
      <c r="I59" s="8" t="s">
        <v>170</v>
      </c>
      <c r="J59" s="147">
        <v>450</v>
      </c>
      <c r="K59" s="17"/>
      <c r="L59" s="17"/>
      <c r="M59" s="15"/>
      <c r="N59" s="18"/>
      <c r="O59" s="18"/>
      <c r="P59" s="18"/>
      <c r="Q59" s="18"/>
      <c r="R59" s="210"/>
      <c r="S59" s="19"/>
      <c r="U59" s="279" t="s">
        <v>40</v>
      </c>
      <c r="V59" s="71">
        <v>9.7100000000000009</v>
      </c>
      <c r="W59" s="71">
        <f>$W$58+V59</f>
        <v>277.70999999999998</v>
      </c>
      <c r="X59" s="45">
        <v>37</v>
      </c>
      <c r="Y59" s="46">
        <v>1</v>
      </c>
      <c r="Z59" s="84">
        <v>6.8828571428571426</v>
      </c>
      <c r="AA59" s="95">
        <f>AA64*6</f>
        <v>2.5714285714285712</v>
      </c>
      <c r="AB59" s="91">
        <f>$AB$58+AA59</f>
        <v>5.5714285714285712</v>
      </c>
      <c r="AC59" s="111">
        <f>AC58+$AE$59</f>
        <v>4.9877551020408166</v>
      </c>
      <c r="AD59" s="282">
        <f>AC65-AC58</f>
        <v>5.5142857142857133</v>
      </c>
      <c r="AE59" s="282">
        <f>AD59/7</f>
        <v>0.78775510204081622</v>
      </c>
      <c r="AF59" s="62">
        <f t="shared" si="4"/>
        <v>0.78775510204081645</v>
      </c>
      <c r="AG59" s="114">
        <f t="shared" si="0"/>
        <v>7.7278775510204095E-2</v>
      </c>
      <c r="AH59" s="117">
        <v>0.04</v>
      </c>
      <c r="AI59" s="151">
        <f t="shared" si="1"/>
        <v>272.71800000000002</v>
      </c>
      <c r="AJ59" s="121">
        <f t="shared" si="9"/>
        <v>12.641784851437238</v>
      </c>
      <c r="AK59" s="152">
        <f t="shared" si="25"/>
        <v>-3847.8573317662149</v>
      </c>
      <c r="AL59" s="171">
        <v>547.48979591836746</v>
      </c>
      <c r="AM59" s="169">
        <f t="shared" si="6"/>
        <v>-3015.0077509964103</v>
      </c>
      <c r="AN59" s="61">
        <f t="shared" si="21"/>
        <v>-2375.0877385400299</v>
      </c>
      <c r="AO59" s="61">
        <f t="shared" si="7"/>
        <v>62031.087738540031</v>
      </c>
      <c r="AP59" s="61">
        <f t="shared" si="8"/>
        <v>-2375.0877385400299</v>
      </c>
      <c r="AQ59" s="5"/>
      <c r="AR59" s="160">
        <f>AN59</f>
        <v>-2375.0877385400299</v>
      </c>
      <c r="AS59" s="269">
        <f t="shared" si="11"/>
        <v>2375.0877385400299</v>
      </c>
    </row>
    <row r="60" spans="2:45" x14ac:dyDescent="0.25">
      <c r="B60" s="15"/>
      <c r="C60" s="17"/>
      <c r="D60" s="17"/>
      <c r="E60" s="223"/>
      <c r="F60" s="237" t="s">
        <v>171</v>
      </c>
      <c r="G60" s="147">
        <v>620</v>
      </c>
      <c r="H60" s="17"/>
      <c r="I60" s="8" t="s">
        <v>171</v>
      </c>
      <c r="J60" s="147">
        <v>620</v>
      </c>
      <c r="K60" s="17"/>
      <c r="L60" s="17"/>
      <c r="M60" s="15"/>
      <c r="N60" s="18"/>
      <c r="O60" s="18"/>
      <c r="P60" s="18"/>
      <c r="Q60" s="18"/>
      <c r="R60" s="210"/>
      <c r="S60" s="19"/>
      <c r="U60" s="280"/>
      <c r="V60" s="72">
        <v>19.43</v>
      </c>
      <c r="W60" s="77">
        <f t="shared" ref="W60:W64" si="26">$W$58+V60</f>
        <v>287.43</v>
      </c>
      <c r="X60" s="37">
        <v>38</v>
      </c>
      <c r="Y60" s="47">
        <v>2</v>
      </c>
      <c r="Z60" s="83">
        <v>5.7357142857142849</v>
      </c>
      <c r="AA60" s="96">
        <f>AA64*5</f>
        <v>2.1428571428571428</v>
      </c>
      <c r="AB60" s="89">
        <f t="shared" ref="AB60:AB65" si="27">$AB$58+AA60</f>
        <v>5.1428571428571423</v>
      </c>
      <c r="AC60" s="40">
        <f t="shared" ref="AC60:AC64" si="28">AC59+$AE$59</f>
        <v>5.7755102040816331</v>
      </c>
      <c r="AD60" s="283"/>
      <c r="AE60" s="283"/>
      <c r="AF60" s="58">
        <f t="shared" si="4"/>
        <v>0.78775510204081645</v>
      </c>
      <c r="AG60" s="116">
        <f t="shared" si="0"/>
        <v>7.7278775510204095E-2</v>
      </c>
      <c r="AH60" s="39">
        <v>0.04</v>
      </c>
      <c r="AI60" s="41">
        <f t="shared" si="1"/>
        <v>272.71800000000002</v>
      </c>
      <c r="AJ60" s="41">
        <f t="shared" si="9"/>
        <v>16.950357516834657</v>
      </c>
      <c r="AK60" s="121">
        <f t="shared" si="25"/>
        <v>3548.9444013058896</v>
      </c>
      <c r="AL60" s="154">
        <v>547.48979591836746</v>
      </c>
      <c r="AM60" s="41">
        <f t="shared" si="6"/>
        <v>4386.1025547410918</v>
      </c>
      <c r="AN60" s="42">
        <f t="shared" si="21"/>
        <v>3455.1746655715547</v>
      </c>
      <c r="AO60" s="42">
        <f t="shared" si="7"/>
        <v>56200.825334428446</v>
      </c>
      <c r="AP60" s="61">
        <f t="shared" si="8"/>
        <v>3455.1746655715547</v>
      </c>
      <c r="AQ60" s="248">
        <f>AN60</f>
        <v>3455.1746655715547</v>
      </c>
      <c r="AR60" s="7"/>
      <c r="AS60" s="269"/>
    </row>
    <row r="61" spans="2:45" x14ac:dyDescent="0.25">
      <c r="B61" s="15"/>
      <c r="C61" s="17"/>
      <c r="D61" s="17"/>
      <c r="E61" s="223"/>
      <c r="H61" s="17"/>
      <c r="I61" s="17"/>
      <c r="J61" s="17"/>
      <c r="K61" s="17"/>
      <c r="L61" s="17"/>
      <c r="M61" s="15"/>
      <c r="N61" s="18"/>
      <c r="O61" s="18"/>
      <c r="P61" s="18"/>
      <c r="Q61" s="18"/>
      <c r="R61" s="210"/>
      <c r="S61" s="19"/>
      <c r="U61" s="280"/>
      <c r="V61" s="72">
        <v>29.14</v>
      </c>
      <c r="W61" s="72">
        <f t="shared" si="26"/>
        <v>297.14</v>
      </c>
      <c r="X61" s="37">
        <v>39</v>
      </c>
      <c r="Y61" s="47">
        <v>3</v>
      </c>
      <c r="Z61" s="83">
        <v>4.5885714285714281</v>
      </c>
      <c r="AA61" s="96">
        <f>AA64*4</f>
        <v>1.7142857142857142</v>
      </c>
      <c r="AB61" s="89">
        <f t="shared" si="27"/>
        <v>4.7142857142857144</v>
      </c>
      <c r="AC61" s="40">
        <f t="shared" si="28"/>
        <v>6.5632653061224495</v>
      </c>
      <c r="AD61" s="283"/>
      <c r="AE61" s="283"/>
      <c r="AF61" s="58">
        <f t="shared" si="4"/>
        <v>0.78775510204081645</v>
      </c>
      <c r="AG61" s="116">
        <f t="shared" si="0"/>
        <v>7.7278775510204095E-2</v>
      </c>
      <c r="AH61" s="39">
        <v>0.04</v>
      </c>
      <c r="AI61" s="41">
        <f t="shared" si="1"/>
        <v>272.71800000000002</v>
      </c>
      <c r="AJ61" s="41">
        <f t="shared" si="9"/>
        <v>21.889612415392257</v>
      </c>
      <c r="AK61" s="121">
        <f t="shared" si="25"/>
        <v>6765.7544676868702</v>
      </c>
      <c r="AL61" s="154">
        <v>547.48979591836746</v>
      </c>
      <c r="AM61" s="152">
        <f t="shared" si="6"/>
        <v>7607.8518760206298</v>
      </c>
      <c r="AN61" s="42">
        <f t="shared" si="21"/>
        <v>5993.1241309060479</v>
      </c>
      <c r="AO61" s="42">
        <f t="shared" si="7"/>
        <v>53662.87586909395</v>
      </c>
      <c r="AP61" s="61">
        <f t="shared" si="8"/>
        <v>5993.1241309060479</v>
      </c>
      <c r="AQ61" s="248">
        <f>AN61</f>
        <v>5993.1241309060479</v>
      </c>
      <c r="AR61" s="7"/>
      <c r="AS61" s="269"/>
    </row>
    <row r="62" spans="2:45" x14ac:dyDescent="0.25">
      <c r="B62" s="15"/>
      <c r="C62" s="17"/>
      <c r="D62" s="17"/>
      <c r="E62" s="223"/>
      <c r="F62" s="236" t="s">
        <v>167</v>
      </c>
      <c r="G62" s="195">
        <v>0.12</v>
      </c>
      <c r="H62" s="17"/>
      <c r="I62" s="188" t="s">
        <v>167</v>
      </c>
      <c r="J62" s="195">
        <v>0.12</v>
      </c>
      <c r="K62" s="17"/>
      <c r="L62" s="17"/>
      <c r="M62" s="15"/>
      <c r="N62" s="18"/>
      <c r="O62" s="18"/>
      <c r="P62" s="18"/>
      <c r="Q62" s="18"/>
      <c r="R62" s="210"/>
      <c r="S62" s="19"/>
      <c r="U62" s="280"/>
      <c r="V62" s="72">
        <v>38.86</v>
      </c>
      <c r="W62" s="76">
        <f t="shared" si="26"/>
        <v>306.86</v>
      </c>
      <c r="X62" s="37">
        <v>40</v>
      </c>
      <c r="Y62" s="47">
        <v>4</v>
      </c>
      <c r="Z62" s="83">
        <v>3.4414285714285713</v>
      </c>
      <c r="AA62" s="96">
        <f>AA64*3</f>
        <v>1.2857142857142856</v>
      </c>
      <c r="AB62" s="89">
        <f t="shared" si="27"/>
        <v>4.2857142857142856</v>
      </c>
      <c r="AC62" s="40">
        <f t="shared" si="28"/>
        <v>7.351020408163266</v>
      </c>
      <c r="AD62" s="283"/>
      <c r="AE62" s="283"/>
      <c r="AF62" s="58">
        <f t="shared" si="4"/>
        <v>0.78775510204081645</v>
      </c>
      <c r="AG62" s="116">
        <f t="shared" si="0"/>
        <v>7.7278775510204095E-2</v>
      </c>
      <c r="AH62" s="39">
        <v>0.04</v>
      </c>
      <c r="AI62" s="41">
        <f t="shared" si="1"/>
        <v>272.71800000000002</v>
      </c>
      <c r="AJ62" s="41">
        <f t="shared" si="9"/>
        <v>27.459549547110043</v>
      </c>
      <c r="AK62" s="121">
        <f t="shared" si="25"/>
        <v>2013.7732271646005</v>
      </c>
      <c r="AL62" s="154">
        <v>547.48979591836746</v>
      </c>
      <c r="AM62" s="41">
        <f t="shared" si="6"/>
        <v>2861.4405726300783</v>
      </c>
      <c r="AN62" s="42">
        <f t="shared" si="21"/>
        <v>2254.1144102759395</v>
      </c>
      <c r="AO62" s="42">
        <f t="shared" si="7"/>
        <v>57401.885589724057</v>
      </c>
      <c r="AP62" s="61">
        <f t="shared" si="8"/>
        <v>2254.1144102759395</v>
      </c>
      <c r="AQ62" s="248">
        <f>AN62</f>
        <v>2254.1144102759395</v>
      </c>
      <c r="AR62" s="7"/>
      <c r="AS62" s="269"/>
    </row>
    <row r="63" spans="2:45" x14ac:dyDescent="0.25">
      <c r="B63" s="15"/>
      <c r="C63" s="17"/>
      <c r="D63" s="17"/>
      <c r="E63" s="223"/>
      <c r="F63" s="236" t="s">
        <v>168</v>
      </c>
      <c r="G63" s="195">
        <f>G62*G58</f>
        <v>19.8</v>
      </c>
      <c r="H63" s="17"/>
      <c r="I63" s="188" t="s">
        <v>168</v>
      </c>
      <c r="J63" s="195">
        <f>J62*J58</f>
        <v>19.8</v>
      </c>
      <c r="K63" s="17"/>
      <c r="L63" s="17"/>
      <c r="M63" s="15"/>
      <c r="N63" s="18"/>
      <c r="O63" s="18"/>
      <c r="P63" s="18"/>
      <c r="Q63" s="18"/>
      <c r="R63" s="210"/>
      <c r="S63" s="19"/>
      <c r="U63" s="280"/>
      <c r="V63" s="72">
        <v>48.57</v>
      </c>
      <c r="W63" s="72">
        <f t="shared" si="26"/>
        <v>316.57</v>
      </c>
      <c r="X63" s="37">
        <v>41</v>
      </c>
      <c r="Y63" s="47">
        <v>5</v>
      </c>
      <c r="Z63" s="83">
        <v>2.294285714285714</v>
      </c>
      <c r="AA63" s="96">
        <f>AA64*2</f>
        <v>0.8571428571428571</v>
      </c>
      <c r="AB63" s="89">
        <f t="shared" si="27"/>
        <v>3.8571428571428572</v>
      </c>
      <c r="AC63" s="40">
        <f t="shared" si="28"/>
        <v>8.1387755102040824</v>
      </c>
      <c r="AD63" s="283"/>
      <c r="AE63" s="283"/>
      <c r="AF63" s="58">
        <f t="shared" si="4"/>
        <v>0.78775510204081645</v>
      </c>
      <c r="AG63" s="116">
        <f t="shared" si="0"/>
        <v>7.7278775510204095E-2</v>
      </c>
      <c r="AH63" s="39">
        <v>0.04</v>
      </c>
      <c r="AI63" s="41">
        <f t="shared" si="1"/>
        <v>272.71800000000002</v>
      </c>
      <c r="AJ63" s="41">
        <f t="shared" si="9"/>
        <v>33.660168911988016</v>
      </c>
      <c r="AK63" s="121">
        <f t="shared" si="25"/>
        <v>-5110.0556267089369</v>
      </c>
      <c r="AL63" s="154">
        <v>547.48979591836746</v>
      </c>
      <c r="AM63" s="41">
        <f t="shared" si="6"/>
        <v>-4256.1876618785818</v>
      </c>
      <c r="AN63" s="42">
        <f t="shared" si="21"/>
        <v>-3352.833545888026</v>
      </c>
      <c r="AO63" s="42">
        <f t="shared" si="7"/>
        <v>63008.833545888025</v>
      </c>
      <c r="AP63" s="61">
        <f t="shared" si="8"/>
        <v>-3352.833545888026</v>
      </c>
      <c r="AQ63" s="5"/>
      <c r="AR63" s="160">
        <f>AN63</f>
        <v>-3352.833545888026</v>
      </c>
      <c r="AS63" s="269">
        <f t="shared" si="11"/>
        <v>3352.833545888026</v>
      </c>
    </row>
    <row r="64" spans="2:45" x14ac:dyDescent="0.25">
      <c r="B64" s="15"/>
      <c r="C64" s="17"/>
      <c r="D64" s="17"/>
      <c r="E64" s="223"/>
      <c r="H64" s="17"/>
      <c r="I64" s="17"/>
      <c r="J64" s="17"/>
      <c r="K64" s="17"/>
      <c r="L64" s="17"/>
      <c r="M64" s="15"/>
      <c r="N64" s="18"/>
      <c r="O64" s="18"/>
      <c r="P64" s="18"/>
      <c r="Q64" s="18"/>
      <c r="R64" s="210"/>
      <c r="S64" s="19"/>
      <c r="U64" s="280"/>
      <c r="V64" s="72">
        <v>58.29</v>
      </c>
      <c r="W64" s="74">
        <f t="shared" si="26"/>
        <v>326.29000000000002</v>
      </c>
      <c r="X64" s="37">
        <v>42</v>
      </c>
      <c r="Y64" s="47">
        <v>6</v>
      </c>
      <c r="Z64" s="83">
        <v>1.147142857142857</v>
      </c>
      <c r="AA64" s="96">
        <f>AA58/7</f>
        <v>0.42857142857142855</v>
      </c>
      <c r="AB64" s="89">
        <f t="shared" si="27"/>
        <v>3.4285714285714284</v>
      </c>
      <c r="AC64" s="40">
        <f t="shared" si="28"/>
        <v>8.926530612244898</v>
      </c>
      <c r="AD64" s="283"/>
      <c r="AE64" s="283"/>
      <c r="AF64" s="58">
        <f t="shared" si="4"/>
        <v>0.78775510204081556</v>
      </c>
      <c r="AG64" s="116">
        <f t="shared" si="0"/>
        <v>7.7278775510204012E-2</v>
      </c>
      <c r="AH64" s="39">
        <v>0.04</v>
      </c>
      <c r="AI64" s="41">
        <f t="shared" si="1"/>
        <v>272.71800000000002</v>
      </c>
      <c r="AJ64" s="41">
        <f t="shared" si="9"/>
        <v>40.491470510026154</v>
      </c>
      <c r="AK64" s="121">
        <f t="shared" si="25"/>
        <v>-6215.1962396194167</v>
      </c>
      <c r="AL64" s="154">
        <v>547.48979591836678</v>
      </c>
      <c r="AM64" s="60">
        <f t="shared" si="6"/>
        <v>-5354.4969731910242</v>
      </c>
      <c r="AN64" s="42">
        <f t="shared" si="21"/>
        <v>-4218.0323094933328</v>
      </c>
      <c r="AO64" s="42">
        <f t="shared" si="7"/>
        <v>63874.032309493334</v>
      </c>
      <c r="AP64" s="61">
        <f t="shared" si="8"/>
        <v>-4218.0323094933328</v>
      </c>
      <c r="AQ64" s="5"/>
      <c r="AR64" s="160">
        <f>AN64</f>
        <v>-4218.0323094933328</v>
      </c>
      <c r="AS64" s="269">
        <f t="shared" si="11"/>
        <v>4218.0323094933328</v>
      </c>
    </row>
    <row r="65" spans="2:45" ht="15.75" thickBot="1" x14ac:dyDescent="0.3">
      <c r="B65" s="15"/>
      <c r="C65" s="17"/>
      <c r="D65" s="15"/>
      <c r="E65" s="224"/>
      <c r="F65" s="15"/>
      <c r="G65" s="15"/>
      <c r="H65" s="15"/>
      <c r="I65" s="15"/>
      <c r="J65" s="15"/>
      <c r="K65" s="15"/>
      <c r="L65" s="15"/>
      <c r="M65" s="15"/>
      <c r="N65" s="18"/>
      <c r="O65" s="18"/>
      <c r="P65" s="18"/>
      <c r="Q65" s="18"/>
      <c r="R65" s="210"/>
      <c r="S65" s="19"/>
      <c r="U65" s="281"/>
      <c r="V65" s="75">
        <v>68</v>
      </c>
      <c r="W65" s="48">
        <f>W58+V65</f>
        <v>336</v>
      </c>
      <c r="X65" s="49">
        <f>X58+Y65</f>
        <v>43</v>
      </c>
      <c r="Y65" s="50">
        <v>7</v>
      </c>
      <c r="Z65" s="81">
        <v>0</v>
      </c>
      <c r="AA65" s="94">
        <v>0</v>
      </c>
      <c r="AB65" s="90">
        <f t="shared" si="27"/>
        <v>3</v>
      </c>
      <c r="AC65" s="102">
        <f>V65/Y65</f>
        <v>9.7142857142857135</v>
      </c>
      <c r="AD65" s="284"/>
      <c r="AE65" s="284"/>
      <c r="AF65" s="112">
        <f t="shared" si="4"/>
        <v>0.78775510204081556</v>
      </c>
      <c r="AG65" s="115">
        <f t="shared" si="0"/>
        <v>7.7278775510204012E-2</v>
      </c>
      <c r="AH65" s="118">
        <v>0.04</v>
      </c>
      <c r="AI65" s="66">
        <f t="shared" si="1"/>
        <v>272.71800000000002</v>
      </c>
      <c r="AJ65" s="119">
        <f t="shared" si="9"/>
        <v>47.953454341224486</v>
      </c>
      <c r="AK65" s="66">
        <f t="shared" si="25"/>
        <v>0</v>
      </c>
      <c r="AL65" s="66">
        <v>547.48979591836678</v>
      </c>
      <c r="AM65" s="152">
        <f t="shared" si="6"/>
        <v>868.16125025959127</v>
      </c>
      <c r="AN65" s="164">
        <f t="shared" si="21"/>
        <v>683.89845428612637</v>
      </c>
      <c r="AO65" s="164">
        <f t="shared" si="7"/>
        <v>58972.101545713871</v>
      </c>
      <c r="AP65" s="164">
        <f t="shared" si="8"/>
        <v>683.89845428612637</v>
      </c>
      <c r="AQ65" s="248">
        <f>AN65</f>
        <v>683.89845428612637</v>
      </c>
      <c r="AR65" s="7"/>
      <c r="AS65" s="269"/>
    </row>
    <row r="66" spans="2:45" x14ac:dyDescent="0.25">
      <c r="B66" s="15"/>
      <c r="C66" s="17"/>
      <c r="D66" s="15"/>
      <c r="E66" s="15"/>
      <c r="F66" s="213"/>
      <c r="G66" s="15"/>
      <c r="H66" s="15"/>
      <c r="I66" s="15"/>
      <c r="J66" s="15"/>
      <c r="K66" s="15"/>
      <c r="L66" s="15"/>
      <c r="M66" s="15"/>
      <c r="N66" s="18"/>
      <c r="O66" s="18"/>
      <c r="P66" s="18"/>
      <c r="Q66" s="18"/>
      <c r="R66" s="210"/>
      <c r="S66" s="19"/>
      <c r="U66" s="279" t="s">
        <v>41</v>
      </c>
      <c r="V66" s="71">
        <v>4.67</v>
      </c>
      <c r="W66" s="78">
        <f>$W$65+V66</f>
        <v>340.67</v>
      </c>
      <c r="X66" s="45">
        <v>44</v>
      </c>
      <c r="Y66" s="46">
        <v>1</v>
      </c>
      <c r="Z66" s="84">
        <v>-1.2433333333333334</v>
      </c>
      <c r="AA66" s="95">
        <f>AA71/6</f>
        <v>-0.66666666666666663</v>
      </c>
      <c r="AB66" s="88">
        <f>$AB$65+AA66</f>
        <v>2.3333333333333335</v>
      </c>
      <c r="AC66" s="111">
        <f>AC65+$AE$66</f>
        <v>8.8730158730158717</v>
      </c>
      <c r="AD66" s="282">
        <f>AC71-AC65</f>
        <v>-5.0476190476190466</v>
      </c>
      <c r="AE66" s="282">
        <f>AD66/6</f>
        <v>-0.84126984126984106</v>
      </c>
      <c r="AF66" s="62">
        <f t="shared" si="4"/>
        <v>-0.84126984126984183</v>
      </c>
      <c r="AG66" s="114">
        <f t="shared" si="0"/>
        <v>-8.2528571428571493E-2</v>
      </c>
      <c r="AH66" s="117">
        <v>0.04</v>
      </c>
      <c r="AI66" s="60">
        <f t="shared" si="1"/>
        <v>272.71800000000002</v>
      </c>
      <c r="AJ66" s="121">
        <f t="shared" si="9"/>
        <v>40.007431345850335</v>
      </c>
      <c r="AK66" s="152">
        <f t="shared" si="25"/>
        <v>6455.6536642356086</v>
      </c>
      <c r="AL66" s="171">
        <v>-584.6825396825401</v>
      </c>
      <c r="AM66" s="169">
        <f t="shared" si="6"/>
        <v>6183.6965558989195</v>
      </c>
      <c r="AN66" s="61">
        <f t="shared" si="21"/>
        <v>-5202.1574200419518</v>
      </c>
      <c r="AO66" s="61">
        <f t="shared" si="7"/>
        <v>64858.157420041949</v>
      </c>
      <c r="AP66" s="61">
        <f t="shared" si="8"/>
        <v>-5202.1574200419518</v>
      </c>
      <c r="AQ66" s="5"/>
      <c r="AR66" s="160">
        <f>AN66</f>
        <v>-5202.1574200419518</v>
      </c>
      <c r="AS66" s="269">
        <f t="shared" si="11"/>
        <v>5202.1574200419518</v>
      </c>
    </row>
    <row r="67" spans="2:45" x14ac:dyDescent="0.25">
      <c r="B67" s="15"/>
      <c r="C67" s="17"/>
      <c r="D67" s="15"/>
      <c r="E67" s="15"/>
      <c r="F67" s="213"/>
      <c r="G67" s="15"/>
      <c r="H67" s="15"/>
      <c r="I67" s="15"/>
      <c r="J67" s="15"/>
      <c r="K67" s="15"/>
      <c r="L67" s="15"/>
      <c r="M67" s="15"/>
      <c r="N67" s="18"/>
      <c r="O67" s="18"/>
      <c r="P67" s="18"/>
      <c r="Q67" s="18"/>
      <c r="R67" s="210"/>
      <c r="S67" s="19"/>
      <c r="U67" s="280"/>
      <c r="V67" s="72">
        <v>9.33</v>
      </c>
      <c r="W67" s="76">
        <f t="shared" ref="W67:W70" si="29">$W$65+V67</f>
        <v>345.33</v>
      </c>
      <c r="X67" s="37">
        <v>45</v>
      </c>
      <c r="Y67" s="47">
        <v>2</v>
      </c>
      <c r="Z67" s="83">
        <v>-2.4866666666666668</v>
      </c>
      <c r="AA67" s="96">
        <f>AA66*2</f>
        <v>-1.3333333333333333</v>
      </c>
      <c r="AB67" s="89">
        <f t="shared" ref="AB67:AB71" si="30">$AB$65+AA67</f>
        <v>1.6666666666666667</v>
      </c>
      <c r="AC67" s="40">
        <f t="shared" ref="AC67:AC70" si="31">AC66+$AE$66</f>
        <v>8.0317460317460299</v>
      </c>
      <c r="AD67" s="283"/>
      <c r="AE67" s="283"/>
      <c r="AF67" s="58">
        <f t="shared" si="4"/>
        <v>-0.84126984126984183</v>
      </c>
      <c r="AG67" s="116">
        <f t="shared" si="0"/>
        <v>-8.2528571428571493E-2</v>
      </c>
      <c r="AH67" s="39">
        <v>0.04</v>
      </c>
      <c r="AI67" s="41">
        <f t="shared" si="1"/>
        <v>272.71800000000002</v>
      </c>
      <c r="AJ67" s="41">
        <f t="shared" si="9"/>
        <v>32.780689680544207</v>
      </c>
      <c r="AK67" s="121">
        <f t="shared" si="25"/>
        <v>4152.8170658534909</v>
      </c>
      <c r="AL67" s="154">
        <v>-584.6825396825401</v>
      </c>
      <c r="AM67" s="41">
        <f t="shared" si="6"/>
        <v>3873.6332158514947</v>
      </c>
      <c r="AN67" s="42">
        <f t="shared" si="21"/>
        <v>-3258.7708006369739</v>
      </c>
      <c r="AO67" s="42">
        <f t="shared" si="7"/>
        <v>62914.770800636972</v>
      </c>
      <c r="AP67" s="61">
        <f t="shared" si="8"/>
        <v>-3258.7708006369739</v>
      </c>
      <c r="AQ67" s="5"/>
      <c r="AR67" s="160">
        <f>AN67</f>
        <v>-3258.7708006369739</v>
      </c>
      <c r="AS67" s="269">
        <f t="shared" si="11"/>
        <v>3258.7708006369739</v>
      </c>
    </row>
    <row r="68" spans="2:45" ht="15.75" thickBot="1" x14ac:dyDescent="0.3">
      <c r="B68" s="15"/>
      <c r="C68" s="17"/>
      <c r="D68" s="15"/>
      <c r="E68" s="15"/>
      <c r="F68" s="214"/>
      <c r="G68" s="215"/>
      <c r="H68" s="215"/>
      <c r="I68" s="215"/>
      <c r="J68" s="215"/>
      <c r="K68" s="215"/>
      <c r="L68" s="215"/>
      <c r="M68" s="215"/>
      <c r="N68" s="216"/>
      <c r="O68" s="216"/>
      <c r="P68" s="216"/>
      <c r="Q68" s="216"/>
      <c r="R68" s="217"/>
      <c r="S68" s="19"/>
      <c r="U68" s="280"/>
      <c r="V68" s="72">
        <v>14</v>
      </c>
      <c r="W68" s="72">
        <f t="shared" si="29"/>
        <v>350</v>
      </c>
      <c r="X68" s="37">
        <v>46</v>
      </c>
      <c r="Y68" s="47">
        <v>3</v>
      </c>
      <c r="Z68" s="83">
        <v>-3.7300000000000004</v>
      </c>
      <c r="AA68" s="96">
        <f>AA66*3</f>
        <v>-2</v>
      </c>
      <c r="AB68" s="89">
        <f t="shared" si="30"/>
        <v>1</v>
      </c>
      <c r="AC68" s="40">
        <f t="shared" si="31"/>
        <v>7.1904761904761889</v>
      </c>
      <c r="AD68" s="283"/>
      <c r="AE68" s="283"/>
      <c r="AF68" s="58">
        <f t="shared" si="4"/>
        <v>-0.84126984126984095</v>
      </c>
      <c r="AG68" s="116">
        <f t="shared" si="0"/>
        <v>-8.2528571428571396E-2</v>
      </c>
      <c r="AH68" s="39">
        <v>0.04</v>
      </c>
      <c r="AI68" s="41">
        <f t="shared" si="1"/>
        <v>272.71800000000002</v>
      </c>
      <c r="AJ68" s="41">
        <f t="shared" si="9"/>
        <v>26.273229345306113</v>
      </c>
      <c r="AK68" s="121">
        <f t="shared" si="25"/>
        <v>-3784.2139496198142</v>
      </c>
      <c r="AL68" s="154">
        <v>-584.68253968253941</v>
      </c>
      <c r="AM68" s="41">
        <f t="shared" si="6"/>
        <v>-4069.9052599570473</v>
      </c>
      <c r="AN68" s="42">
        <f t="shared" si="21"/>
        <v>3423.8885520273561</v>
      </c>
      <c r="AO68" s="42">
        <f t="shared" si="7"/>
        <v>56232.111447972646</v>
      </c>
      <c r="AP68" s="61">
        <f t="shared" si="8"/>
        <v>3423.8885520273561</v>
      </c>
      <c r="AQ68" s="248">
        <f>AN68</f>
        <v>3423.8885520273561</v>
      </c>
      <c r="AR68" s="7"/>
      <c r="AS68" s="269"/>
    </row>
    <row r="69" spans="2:45" ht="15.75" thickTop="1" x14ac:dyDescent="0.25">
      <c r="B69" s="15"/>
      <c r="C69" s="17"/>
      <c r="D69" s="15"/>
      <c r="E69" s="15"/>
      <c r="F69" s="15"/>
      <c r="G69" s="15"/>
      <c r="H69" s="15"/>
      <c r="I69" s="15"/>
      <c r="J69" s="15"/>
      <c r="K69" s="15"/>
      <c r="L69" s="15"/>
      <c r="M69" s="15"/>
      <c r="Q69" s="18"/>
      <c r="S69" s="19"/>
      <c r="U69" s="280"/>
      <c r="V69" s="72">
        <v>18.670000000000002</v>
      </c>
      <c r="W69" s="74">
        <f t="shared" si="29"/>
        <v>354.67</v>
      </c>
      <c r="X69" s="37">
        <v>47</v>
      </c>
      <c r="Y69" s="47">
        <v>4</v>
      </c>
      <c r="Z69" s="83">
        <v>-4.9733333333333336</v>
      </c>
      <c r="AA69" s="96">
        <f>AA66*4</f>
        <v>-2.6666666666666665</v>
      </c>
      <c r="AB69" s="89">
        <f t="shared" si="30"/>
        <v>0.33333333333333348</v>
      </c>
      <c r="AC69" s="40">
        <f t="shared" si="31"/>
        <v>6.349206349206348</v>
      </c>
      <c r="AD69" s="283"/>
      <c r="AE69" s="283"/>
      <c r="AF69" s="58">
        <f t="shared" si="4"/>
        <v>-0.84126984126984095</v>
      </c>
      <c r="AG69" s="116">
        <f t="shared" si="0"/>
        <v>-8.2528571428571396E-2</v>
      </c>
      <c r="AH69" s="39">
        <v>0.04</v>
      </c>
      <c r="AI69" s="41">
        <f t="shared" si="1"/>
        <v>272.71800000000002</v>
      </c>
      <c r="AJ69" s="41">
        <f t="shared" si="9"/>
        <v>20.485050340136048</v>
      </c>
      <c r="AK69" s="121">
        <f t="shared" si="25"/>
        <v>-6587.140387422628</v>
      </c>
      <c r="AL69" s="154">
        <v>-584.68253968253941</v>
      </c>
      <c r="AM69" s="152">
        <f t="shared" si="6"/>
        <v>-6878.6198767650321</v>
      </c>
      <c r="AN69" s="42">
        <f t="shared" si="21"/>
        <v>5786.7754518816919</v>
      </c>
      <c r="AO69" s="42">
        <f t="shared" si="7"/>
        <v>53869.224548118305</v>
      </c>
      <c r="AP69" s="61">
        <f t="shared" si="8"/>
        <v>5786.7754518816919</v>
      </c>
      <c r="AQ69" s="248">
        <f>AN69</f>
        <v>5786.7754518816919</v>
      </c>
      <c r="AR69" s="7"/>
      <c r="AS69" s="269"/>
    </row>
    <row r="70" spans="2:45" x14ac:dyDescent="0.25">
      <c r="B70" s="15"/>
      <c r="C70" s="17"/>
      <c r="D70" s="15"/>
      <c r="E70" s="15"/>
      <c r="F70" s="15"/>
      <c r="G70" s="15"/>
      <c r="H70" s="15"/>
      <c r="I70" s="15"/>
      <c r="J70" s="15"/>
      <c r="K70" s="15"/>
      <c r="L70" s="15"/>
      <c r="M70" s="15"/>
      <c r="S70" s="19"/>
      <c r="U70" s="280"/>
      <c r="V70" s="72">
        <v>23.33</v>
      </c>
      <c r="W70" s="74">
        <f t="shared" si="29"/>
        <v>359.33</v>
      </c>
      <c r="X70" s="37">
        <v>48</v>
      </c>
      <c r="Y70" s="47">
        <v>5</v>
      </c>
      <c r="Z70" s="83">
        <v>-6.2166666666666668</v>
      </c>
      <c r="AA70" s="96">
        <f>AA66*5</f>
        <v>-3.333333333333333</v>
      </c>
      <c r="AB70" s="89">
        <f t="shared" si="30"/>
        <v>-0.33333333333333304</v>
      </c>
      <c r="AC70" s="40">
        <f t="shared" si="31"/>
        <v>5.507936507936507</v>
      </c>
      <c r="AD70" s="283"/>
      <c r="AE70" s="283"/>
      <c r="AF70" s="58">
        <f t="shared" si="4"/>
        <v>-0.84126984126984095</v>
      </c>
      <c r="AG70" s="116">
        <f t="shared" si="0"/>
        <v>-8.2528571428571396E-2</v>
      </c>
      <c r="AH70" s="39">
        <v>0.04</v>
      </c>
      <c r="AI70" s="41">
        <f t="shared" si="1"/>
        <v>272.71800000000002</v>
      </c>
      <c r="AJ70" s="41">
        <f t="shared" si="9"/>
        <v>15.41615266503401</v>
      </c>
      <c r="AK70" s="121">
        <f t="shared" si="25"/>
        <v>-453.18638794933389</v>
      </c>
      <c r="AL70" s="154">
        <v>-584.68253968253941</v>
      </c>
      <c r="AM70" s="41">
        <f t="shared" si="6"/>
        <v>-749.73477496683927</v>
      </c>
      <c r="AN70" s="42">
        <f t="shared" si="21"/>
        <v>630.72925513083283</v>
      </c>
      <c r="AO70" s="42">
        <f t="shared" si="7"/>
        <v>59025.270744869165</v>
      </c>
      <c r="AP70" s="61">
        <f t="shared" si="8"/>
        <v>630.72925513083283</v>
      </c>
      <c r="AQ70" s="248">
        <f>AN70</f>
        <v>630.72925513083283</v>
      </c>
      <c r="AR70" s="7"/>
      <c r="AS70" s="269"/>
    </row>
    <row r="71" spans="2:45" ht="15.75" thickBot="1" x14ac:dyDescent="0.3">
      <c r="R71" s="18"/>
      <c r="S71" s="19"/>
      <c r="U71" s="281"/>
      <c r="V71" s="75">
        <v>28</v>
      </c>
      <c r="W71" s="48">
        <f>W65+V71</f>
        <v>364</v>
      </c>
      <c r="X71" s="49">
        <f>X65+Y71</f>
        <v>49</v>
      </c>
      <c r="Y71" s="50">
        <v>6</v>
      </c>
      <c r="Z71" s="81">
        <v>-7.46</v>
      </c>
      <c r="AA71" s="94">
        <v>-4</v>
      </c>
      <c r="AB71" s="90">
        <f t="shared" si="30"/>
        <v>-1</v>
      </c>
      <c r="AC71" s="102">
        <f>V71/Y71</f>
        <v>4.666666666666667</v>
      </c>
      <c r="AD71" s="284"/>
      <c r="AE71" s="284"/>
      <c r="AF71" s="64">
        <f t="shared" si="4"/>
        <v>-0.84126984126984006</v>
      </c>
      <c r="AG71" s="115">
        <f t="shared" si="0"/>
        <v>-8.2528571428571312E-2</v>
      </c>
      <c r="AH71" s="118">
        <v>0.04</v>
      </c>
      <c r="AI71" s="66">
        <f t="shared" si="1"/>
        <v>272.71800000000002</v>
      </c>
      <c r="AJ71" s="119">
        <f t="shared" si="9"/>
        <v>11.066536320000003</v>
      </c>
      <c r="AK71" s="121">
        <f t="shared" si="25"/>
        <v>6295.6129505784247</v>
      </c>
      <c r="AL71" s="66">
        <v>-584.68253968253885</v>
      </c>
      <c r="AM71" s="66">
        <f t="shared" si="6"/>
        <v>5994.7149472158862</v>
      </c>
      <c r="AN71" s="164">
        <f t="shared" si="21"/>
        <v>-5043.1728921022459</v>
      </c>
      <c r="AO71" s="164">
        <f t="shared" si="7"/>
        <v>64699.172892102244</v>
      </c>
      <c r="AP71" s="164">
        <f t="shared" si="8"/>
        <v>-5043.1728921022459</v>
      </c>
      <c r="AQ71" s="5"/>
      <c r="AR71" s="160">
        <f>AN71</f>
        <v>-5043.1728921022459</v>
      </c>
      <c r="AS71" s="269">
        <f t="shared" si="11"/>
        <v>5043.1728921022459</v>
      </c>
    </row>
    <row r="72" spans="2:45" x14ac:dyDescent="0.25">
      <c r="R72" s="18"/>
      <c r="S72" s="19"/>
      <c r="U72" s="279" t="s">
        <v>42</v>
      </c>
      <c r="V72" s="71">
        <v>3.2</v>
      </c>
      <c r="W72" s="78">
        <f>$W$71+V72</f>
        <v>367.2</v>
      </c>
      <c r="X72" s="45">
        <v>50</v>
      </c>
      <c r="Y72" s="46">
        <v>1</v>
      </c>
      <c r="Z72" s="84">
        <v>-5.968</v>
      </c>
      <c r="AA72" s="95">
        <f>AA75*4</f>
        <v>-3.2</v>
      </c>
      <c r="AB72" s="88">
        <f>$AB$71+AA72</f>
        <v>-4.2</v>
      </c>
      <c r="AC72" s="111">
        <f>AC71+$AE$72</f>
        <v>4.373333333333334</v>
      </c>
      <c r="AD72" s="282">
        <f>AC76-AC71</f>
        <v>-1.4666666666666668</v>
      </c>
      <c r="AE72" s="282">
        <f>AD72/5</f>
        <v>-0.29333333333333333</v>
      </c>
      <c r="AF72" s="58">
        <f t="shared" si="4"/>
        <v>-0.293333333333333</v>
      </c>
      <c r="AG72" s="114">
        <f t="shared" si="0"/>
        <v>-2.8775999999999968E-2</v>
      </c>
      <c r="AH72" s="117">
        <v>0.04</v>
      </c>
      <c r="AI72" s="60">
        <f t="shared" si="1"/>
        <v>272.71800000000002</v>
      </c>
      <c r="AJ72" s="121">
        <f t="shared" si="9"/>
        <v>9.719038722048003</v>
      </c>
      <c r="AK72" s="151">
        <f t="shared" si="25"/>
        <v>-2113.5144242202041</v>
      </c>
      <c r="AL72" s="174">
        <v>-203.86666666666645</v>
      </c>
      <c r="AM72" s="169">
        <f t="shared" si="6"/>
        <v>-2034.9440521648226</v>
      </c>
      <c r="AN72" s="61">
        <f t="shared" si="21"/>
        <v>596.91692196834731</v>
      </c>
      <c r="AO72" s="61">
        <f t="shared" si="7"/>
        <v>59059.083078031654</v>
      </c>
      <c r="AP72" s="61">
        <f t="shared" si="8"/>
        <v>596.91692196834731</v>
      </c>
      <c r="AQ72" s="248">
        <f>AN72</f>
        <v>596.91692196834731</v>
      </c>
      <c r="AR72" s="7"/>
      <c r="AS72" s="269"/>
    </row>
    <row r="73" spans="2:45" x14ac:dyDescent="0.25">
      <c r="R73" s="18"/>
      <c r="S73" s="19"/>
      <c r="U73" s="280"/>
      <c r="V73" s="72">
        <v>6.4</v>
      </c>
      <c r="W73" s="72">
        <f t="shared" ref="W73:W75" si="32">$W$71+V73</f>
        <v>370.4</v>
      </c>
      <c r="X73" s="37">
        <v>51</v>
      </c>
      <c r="Y73" s="47">
        <v>2</v>
      </c>
      <c r="Z73" s="83">
        <v>-4.476</v>
      </c>
      <c r="AA73" s="96">
        <f>AA75*3</f>
        <v>-2.4000000000000004</v>
      </c>
      <c r="AB73" s="89">
        <f t="shared" ref="AB73:AB76" si="33">$AB$71+AA73</f>
        <v>-3.4000000000000004</v>
      </c>
      <c r="AC73" s="40">
        <f t="shared" ref="AC73:AC75" si="34">AC72+$AE$72</f>
        <v>4.080000000000001</v>
      </c>
      <c r="AD73" s="283"/>
      <c r="AE73" s="283"/>
      <c r="AF73" s="58">
        <f t="shared" si="4"/>
        <v>-0.293333333333333</v>
      </c>
      <c r="AG73" s="116">
        <f t="shared" si="0"/>
        <v>-2.8775999999999968E-2</v>
      </c>
      <c r="AH73" s="39">
        <v>0.04</v>
      </c>
      <c r="AI73" s="41">
        <f t="shared" si="1"/>
        <v>272.71800000000002</v>
      </c>
      <c r="AJ73" s="41">
        <f t="shared" si="9"/>
        <v>8.4589893457920038</v>
      </c>
      <c r="AK73" s="121">
        <f t="shared" si="25"/>
        <v>-6628.3427353492998</v>
      </c>
      <c r="AL73" s="154">
        <v>-203.86666666666645</v>
      </c>
      <c r="AM73" s="41">
        <f t="shared" si="6"/>
        <v>-6551.0324126701744</v>
      </c>
      <c r="AN73" s="42">
        <f t="shared" si="21"/>
        <v>1921.636174383249</v>
      </c>
      <c r="AO73" s="42">
        <f t="shared" si="7"/>
        <v>57734.363825616754</v>
      </c>
      <c r="AP73" s="61">
        <f t="shared" si="8"/>
        <v>1921.636174383249</v>
      </c>
      <c r="AQ73" s="248">
        <f>AN73</f>
        <v>1921.636174383249</v>
      </c>
      <c r="AR73" s="7"/>
      <c r="AS73" s="269"/>
    </row>
    <row r="74" spans="2:45" x14ac:dyDescent="0.25">
      <c r="R74" s="18"/>
      <c r="S74" s="19"/>
      <c r="U74" s="280"/>
      <c r="V74" s="72">
        <v>9.6</v>
      </c>
      <c r="W74" s="72">
        <f t="shared" si="32"/>
        <v>373.6</v>
      </c>
      <c r="X74" s="37">
        <v>52</v>
      </c>
      <c r="Y74" s="47">
        <v>3</v>
      </c>
      <c r="Z74" s="83">
        <v>-2.984</v>
      </c>
      <c r="AA74" s="96">
        <f>AA75*2</f>
        <v>-1.6</v>
      </c>
      <c r="AB74" s="89">
        <f t="shared" si="33"/>
        <v>-2.6</v>
      </c>
      <c r="AC74" s="40">
        <f t="shared" si="34"/>
        <v>3.7866666666666675</v>
      </c>
      <c r="AD74" s="283"/>
      <c r="AE74" s="283"/>
      <c r="AF74" s="58">
        <f t="shared" si="4"/>
        <v>-0.29333333333333345</v>
      </c>
      <c r="AG74" s="116">
        <f t="shared" si="0"/>
        <v>-2.8776000000000013E-2</v>
      </c>
      <c r="AH74" s="39">
        <v>0.04</v>
      </c>
      <c r="AI74" s="41">
        <f t="shared" si="1"/>
        <v>272.71800000000002</v>
      </c>
      <c r="AJ74" s="41">
        <f t="shared" si="9"/>
        <v>7.2863881912320041</v>
      </c>
      <c r="AK74" s="121">
        <f t="shared" si="25"/>
        <v>1070.0169082124396</v>
      </c>
      <c r="AL74" s="154">
        <v>-203.86666666666673</v>
      </c>
      <c r="AM74" s="41">
        <f t="shared" si="6"/>
        <v>1146.1546297370048</v>
      </c>
      <c r="AN74" s="42">
        <f t="shared" si="21"/>
        <v>-336.20535805618823</v>
      </c>
      <c r="AO74" s="42">
        <f t="shared" si="7"/>
        <v>59992.205358056191</v>
      </c>
      <c r="AP74" s="61">
        <f t="shared" si="8"/>
        <v>-336.20535805618823</v>
      </c>
      <c r="AQ74" s="5"/>
      <c r="AR74" s="160">
        <f t="shared" ref="AR74:AR79" si="35">AN74</f>
        <v>-336.20535805618823</v>
      </c>
      <c r="AS74" s="269">
        <f t="shared" si="11"/>
        <v>336.20535805618823</v>
      </c>
    </row>
    <row r="75" spans="2:45" x14ac:dyDescent="0.25">
      <c r="R75" s="18"/>
      <c r="S75" s="19"/>
      <c r="U75" s="280"/>
      <c r="V75" s="72">
        <v>12.8</v>
      </c>
      <c r="W75" s="74">
        <f t="shared" si="32"/>
        <v>376.8</v>
      </c>
      <c r="X75" s="37">
        <v>53</v>
      </c>
      <c r="Y75" s="47">
        <v>4</v>
      </c>
      <c r="Z75" s="83">
        <v>-1.492</v>
      </c>
      <c r="AA75" s="96">
        <f>AA71/5</f>
        <v>-0.8</v>
      </c>
      <c r="AB75" s="89">
        <f t="shared" si="33"/>
        <v>-1.8</v>
      </c>
      <c r="AC75" s="40">
        <f t="shared" si="34"/>
        <v>3.4933333333333341</v>
      </c>
      <c r="AD75" s="283"/>
      <c r="AE75" s="283"/>
      <c r="AF75" s="58">
        <f t="shared" si="4"/>
        <v>-0.29333333333333345</v>
      </c>
      <c r="AG75" s="116">
        <f t="shared" si="0"/>
        <v>-2.8776000000000013E-2</v>
      </c>
      <c r="AH75" s="39">
        <v>0.04</v>
      </c>
      <c r="AI75" s="41">
        <f t="shared" si="1"/>
        <v>272.71800000000002</v>
      </c>
      <c r="AJ75" s="41">
        <f t="shared" si="9"/>
        <v>6.201235258368003</v>
      </c>
      <c r="AK75" s="121">
        <f t="shared" si="25"/>
        <v>6796.7950967293646</v>
      </c>
      <c r="AL75" s="154">
        <v>-203.86666666666673</v>
      </c>
      <c r="AM75" s="60">
        <f t="shared" si="6"/>
        <v>6871.8476653210655</v>
      </c>
      <c r="AN75" s="42">
        <f t="shared" si="21"/>
        <v>-2015.7419818275134</v>
      </c>
      <c r="AO75" s="42">
        <f t="shared" si="7"/>
        <v>61671.741981827516</v>
      </c>
      <c r="AP75" s="61">
        <f t="shared" si="8"/>
        <v>-2015.7419818275134</v>
      </c>
      <c r="AQ75" s="5"/>
      <c r="AR75" s="160">
        <f t="shared" si="35"/>
        <v>-2015.7419818275134</v>
      </c>
      <c r="AS75" s="269">
        <f t="shared" si="11"/>
        <v>2015.7419818275134</v>
      </c>
    </row>
    <row r="76" spans="2:45" ht="15.75" thickBot="1" x14ac:dyDescent="0.3">
      <c r="R76" s="18"/>
      <c r="S76" s="18"/>
      <c r="U76" s="281"/>
      <c r="V76" s="75">
        <v>16</v>
      </c>
      <c r="W76" s="48">
        <f>W71+V76</f>
        <v>380</v>
      </c>
      <c r="X76" s="49">
        <f>X71+Y76</f>
        <v>54</v>
      </c>
      <c r="Y76" s="50">
        <v>5</v>
      </c>
      <c r="Z76" s="81">
        <v>0</v>
      </c>
      <c r="AA76" s="94">
        <v>0</v>
      </c>
      <c r="AB76" s="90">
        <f t="shared" si="33"/>
        <v>-1</v>
      </c>
      <c r="AC76" s="102">
        <f>V76/Y76</f>
        <v>3.2</v>
      </c>
      <c r="AD76" s="284"/>
      <c r="AE76" s="284"/>
      <c r="AF76" s="112">
        <f t="shared" si="4"/>
        <v>-0.29333333333333389</v>
      </c>
      <c r="AG76" s="115">
        <f t="shared" si="0"/>
        <v>-2.8776000000000055E-2</v>
      </c>
      <c r="AH76" s="118">
        <v>0.04</v>
      </c>
      <c r="AI76" s="121">
        <f t="shared" si="1"/>
        <v>272.71800000000002</v>
      </c>
      <c r="AJ76" s="119">
        <f t="shared" si="9"/>
        <v>5.2035305472000015</v>
      </c>
      <c r="AK76" s="121">
        <f t="shared" si="25"/>
        <v>0</v>
      </c>
      <c r="AL76" s="66">
        <v>-203.86666666666704</v>
      </c>
      <c r="AM76" s="152">
        <f t="shared" si="6"/>
        <v>74.054863880532963</v>
      </c>
      <c r="AN76" s="164">
        <f t="shared" si="21"/>
        <v>-21.722760071623043</v>
      </c>
      <c r="AO76" s="164">
        <f t="shared" si="7"/>
        <v>59677.722760071621</v>
      </c>
      <c r="AP76" s="164">
        <f t="shared" si="8"/>
        <v>-21.722760071623043</v>
      </c>
      <c r="AQ76" s="5"/>
      <c r="AR76" s="160">
        <f t="shared" si="35"/>
        <v>-21.722760071623043</v>
      </c>
      <c r="AS76" s="269">
        <f t="shared" si="11"/>
        <v>21.722760071623043</v>
      </c>
    </row>
    <row r="77" spans="2:45" x14ac:dyDescent="0.25">
      <c r="R77" s="18"/>
      <c r="S77" s="18"/>
      <c r="U77" s="279" t="s">
        <v>43</v>
      </c>
      <c r="V77" s="71">
        <v>4.5999999999999996</v>
      </c>
      <c r="W77" s="78">
        <f>$W$76+V77</f>
        <v>384.6</v>
      </c>
      <c r="X77" s="45">
        <v>55</v>
      </c>
      <c r="Y77" s="46">
        <v>1</v>
      </c>
      <c r="Z77" s="84">
        <v>1.018</v>
      </c>
      <c r="AA77" s="95">
        <f>AA81/5</f>
        <v>0.4</v>
      </c>
      <c r="AB77" s="88">
        <f>$AB$76+AA77</f>
        <v>-0.6</v>
      </c>
      <c r="AC77" s="111">
        <f>AC76+$AE$77</f>
        <v>3.48</v>
      </c>
      <c r="AD77" s="282">
        <f>AC81-AC76</f>
        <v>1.3999999999999995</v>
      </c>
      <c r="AE77" s="282">
        <f>AD77/5</f>
        <v>0.27999999999999992</v>
      </c>
      <c r="AF77" s="62">
        <f t="shared" si="4"/>
        <v>0.2799999999999998</v>
      </c>
      <c r="AG77" s="114">
        <f t="shared" si="0"/>
        <v>2.7467999999999982E-2</v>
      </c>
      <c r="AH77" s="117">
        <v>0.04</v>
      </c>
      <c r="AI77" s="151">
        <f t="shared" si="1"/>
        <v>272.71800000000002</v>
      </c>
      <c r="AJ77" s="121">
        <f t="shared" si="9"/>
        <v>6.153987923712001</v>
      </c>
      <c r="AK77" s="151">
        <f t="shared" si="25"/>
        <v>-5802.4817079767927</v>
      </c>
      <c r="AL77" s="174">
        <v>194.59999999999985</v>
      </c>
      <c r="AM77" s="169">
        <f t="shared" si="6"/>
        <v>-5329.0097200530809</v>
      </c>
      <c r="AN77" s="61">
        <f t="shared" si="21"/>
        <v>-1492.1227216148616</v>
      </c>
      <c r="AO77" s="61">
        <f t="shared" si="7"/>
        <v>61148.122721614862</v>
      </c>
      <c r="AP77" s="61">
        <f t="shared" si="8"/>
        <v>-1492.1227216148616</v>
      </c>
      <c r="AQ77" s="5"/>
      <c r="AR77" s="160">
        <f t="shared" si="35"/>
        <v>-1492.1227216148616</v>
      </c>
      <c r="AS77" s="269">
        <f t="shared" si="11"/>
        <v>1492.1227216148616</v>
      </c>
    </row>
    <row r="78" spans="2:45" x14ac:dyDescent="0.25">
      <c r="R78" s="18"/>
      <c r="S78" s="18"/>
      <c r="U78" s="280"/>
      <c r="V78" s="72">
        <v>9.1999999999999993</v>
      </c>
      <c r="W78" s="72">
        <f t="shared" ref="W78:W80" si="36">$W$76+V78</f>
        <v>389.2</v>
      </c>
      <c r="X78" s="37">
        <v>56</v>
      </c>
      <c r="Y78" s="47">
        <v>2</v>
      </c>
      <c r="Z78" s="83">
        <v>2.036</v>
      </c>
      <c r="AA78" s="96">
        <f>AA77*2</f>
        <v>0.8</v>
      </c>
      <c r="AB78" s="89">
        <f t="shared" ref="AB78:AB81" si="37">$AB$76+AA78</f>
        <v>-0.19999999999999996</v>
      </c>
      <c r="AC78" s="40">
        <f t="shared" ref="AC78:AC80" si="38">AC77+$AE$77</f>
        <v>3.76</v>
      </c>
      <c r="AD78" s="283"/>
      <c r="AE78" s="283"/>
      <c r="AF78" s="58">
        <f t="shared" si="4"/>
        <v>0.2799999999999998</v>
      </c>
      <c r="AG78" s="116">
        <f t="shared" si="0"/>
        <v>2.7467999999999982E-2</v>
      </c>
      <c r="AH78" s="39">
        <v>0.04</v>
      </c>
      <c r="AI78" s="41">
        <f t="shared" si="1"/>
        <v>272.71800000000002</v>
      </c>
      <c r="AJ78" s="41">
        <f t="shared" si="9"/>
        <v>7.1841243617280002</v>
      </c>
      <c r="AK78" s="121">
        <f t="shared" si="25"/>
        <v>-6093.4079218071738</v>
      </c>
      <c r="AL78" s="154">
        <v>194.59999999999985</v>
      </c>
      <c r="AM78" s="41">
        <f t="shared" si="6"/>
        <v>-5618.9057974454463</v>
      </c>
      <c r="AN78" s="42">
        <f t="shared" si="21"/>
        <v>-1573.2936232847239</v>
      </c>
      <c r="AO78" s="42">
        <f t="shared" si="7"/>
        <v>61229.293623284721</v>
      </c>
      <c r="AP78" s="61">
        <f t="shared" si="8"/>
        <v>-1573.2936232847239</v>
      </c>
      <c r="AQ78" s="5"/>
      <c r="AR78" s="160">
        <f t="shared" si="35"/>
        <v>-1573.2936232847239</v>
      </c>
      <c r="AS78" s="269">
        <f t="shared" si="11"/>
        <v>1573.2936232847239</v>
      </c>
    </row>
    <row r="79" spans="2:45" x14ac:dyDescent="0.25">
      <c r="S79" s="18"/>
      <c r="U79" s="280"/>
      <c r="V79" s="72">
        <v>13.8</v>
      </c>
      <c r="W79" s="74">
        <f t="shared" si="36"/>
        <v>393.8</v>
      </c>
      <c r="X79" s="37">
        <v>57</v>
      </c>
      <c r="Y79" s="47">
        <v>3</v>
      </c>
      <c r="Z79" s="83">
        <v>3.0540000000000003</v>
      </c>
      <c r="AA79" s="96">
        <f>AA77*3</f>
        <v>1.2000000000000002</v>
      </c>
      <c r="AB79" s="89">
        <f t="shared" si="37"/>
        <v>0.20000000000000018</v>
      </c>
      <c r="AC79" s="40">
        <f t="shared" si="38"/>
        <v>4.04</v>
      </c>
      <c r="AD79" s="283"/>
      <c r="AE79" s="283"/>
      <c r="AF79" s="58">
        <f t="shared" si="4"/>
        <v>0.28000000000000025</v>
      </c>
      <c r="AG79" s="116">
        <f t="shared" si="0"/>
        <v>2.7468000000000027E-2</v>
      </c>
      <c r="AH79" s="39">
        <v>0.04</v>
      </c>
      <c r="AI79" s="41">
        <f t="shared" si="1"/>
        <v>272.71800000000002</v>
      </c>
      <c r="AJ79" s="41">
        <f t="shared" si="9"/>
        <v>8.2939398612480009</v>
      </c>
      <c r="AK79" s="121">
        <f t="shared" si="25"/>
        <v>-596.43895565917273</v>
      </c>
      <c r="AL79" s="154">
        <v>194.60000000000016</v>
      </c>
      <c r="AM79" s="41">
        <f t="shared" si="6"/>
        <v>-120.82701579792453</v>
      </c>
      <c r="AN79" s="42">
        <f t="shared" si="21"/>
        <v>-33.831564423418897</v>
      </c>
      <c r="AO79" s="42">
        <f t="shared" si="7"/>
        <v>59689.831564423417</v>
      </c>
      <c r="AP79" s="61">
        <f t="shared" si="8"/>
        <v>-33.831564423418897</v>
      </c>
      <c r="AQ79" s="5"/>
      <c r="AR79" s="160">
        <f t="shared" si="35"/>
        <v>-33.831564423418897</v>
      </c>
      <c r="AS79" s="269">
        <f t="shared" si="11"/>
        <v>33.831564423418897</v>
      </c>
    </row>
    <row r="80" spans="2:45" x14ac:dyDescent="0.25">
      <c r="S80" s="18"/>
      <c r="U80" s="280"/>
      <c r="V80" s="72">
        <v>18.399999999999999</v>
      </c>
      <c r="W80" s="74">
        <f t="shared" si="36"/>
        <v>398.4</v>
      </c>
      <c r="X80" s="37">
        <v>58</v>
      </c>
      <c r="Y80" s="47">
        <v>4</v>
      </c>
      <c r="Z80" s="83">
        <v>4.0720000000000001</v>
      </c>
      <c r="AA80" s="96">
        <f>AA77*4</f>
        <v>1.6</v>
      </c>
      <c r="AB80" s="89">
        <f t="shared" si="37"/>
        <v>0.60000000000000009</v>
      </c>
      <c r="AC80" s="40">
        <f t="shared" si="38"/>
        <v>4.32</v>
      </c>
      <c r="AD80" s="283"/>
      <c r="AE80" s="283"/>
      <c r="AF80" s="58">
        <f t="shared" si="4"/>
        <v>0.28000000000000025</v>
      </c>
      <c r="AG80" s="116">
        <f t="shared" si="0"/>
        <v>2.7468000000000027E-2</v>
      </c>
      <c r="AH80" s="39">
        <v>0.04</v>
      </c>
      <c r="AI80" s="41">
        <f t="shared" si="1"/>
        <v>272.71800000000002</v>
      </c>
      <c r="AJ80" s="41">
        <f t="shared" si="9"/>
        <v>9.4834344222720013</v>
      </c>
      <c r="AK80" s="121">
        <f t="shared" si="25"/>
        <v>5467.0645673263143</v>
      </c>
      <c r="AL80" s="154">
        <v>194.60000000000016</v>
      </c>
      <c r="AM80" s="41">
        <f t="shared" si="6"/>
        <v>5943.8660017485863</v>
      </c>
      <c r="AN80" s="42">
        <f t="shared" si="21"/>
        <v>1664.2824804896056</v>
      </c>
      <c r="AO80" s="42">
        <f t="shared" si="7"/>
        <v>57991.717519510392</v>
      </c>
      <c r="AP80" s="61">
        <f t="shared" si="8"/>
        <v>1664.2824804896056</v>
      </c>
      <c r="AQ80" s="248">
        <f>AN80</f>
        <v>1664.2824804896056</v>
      </c>
      <c r="AR80" s="7"/>
      <c r="AS80" s="269"/>
    </row>
    <row r="81" spans="17:45" ht="15.75" thickBot="1" x14ac:dyDescent="0.3">
      <c r="S81" s="18"/>
      <c r="U81" s="281"/>
      <c r="V81" s="75">
        <v>23</v>
      </c>
      <c r="W81" s="48">
        <f>W76+V81</f>
        <v>403</v>
      </c>
      <c r="X81" s="49">
        <f>X76+Y81</f>
        <v>59</v>
      </c>
      <c r="Y81" s="50">
        <v>5</v>
      </c>
      <c r="Z81" s="81">
        <v>5.09</v>
      </c>
      <c r="AA81" s="94">
        <v>2</v>
      </c>
      <c r="AB81" s="90">
        <f t="shared" si="37"/>
        <v>1</v>
      </c>
      <c r="AC81" s="102">
        <f>V81/Y81</f>
        <v>4.5999999999999996</v>
      </c>
      <c r="AD81" s="284"/>
      <c r="AE81" s="284"/>
      <c r="AF81" s="112">
        <f t="shared" si="4"/>
        <v>0.27999999999999936</v>
      </c>
      <c r="AG81" s="115">
        <f t="shared" si="0"/>
        <v>2.746799999999994E-2</v>
      </c>
      <c r="AH81" s="118">
        <v>0.04</v>
      </c>
      <c r="AI81" s="66">
        <f t="shared" si="1"/>
        <v>272.71800000000002</v>
      </c>
      <c r="AJ81" s="119">
        <f t="shared" si="9"/>
        <v>10.752608044799999</v>
      </c>
      <c r="AK81" s="121">
        <f t="shared" si="25"/>
        <v>6337.6125121016403</v>
      </c>
      <c r="AL81" s="66">
        <v>194.59999999999957</v>
      </c>
      <c r="AM81" s="152">
        <f t="shared" si="6"/>
        <v>6815.6831201464402</v>
      </c>
      <c r="AN81" s="164">
        <f t="shared" si="21"/>
        <v>1908.3912736409989</v>
      </c>
      <c r="AO81" s="164">
        <f t="shared" si="7"/>
        <v>57747.608726359002</v>
      </c>
      <c r="AP81" s="164">
        <f t="shared" si="8"/>
        <v>1908.3912736409989</v>
      </c>
      <c r="AQ81" s="248">
        <f>AN81</f>
        <v>1908.3912736409989</v>
      </c>
      <c r="AR81" s="7"/>
      <c r="AS81" s="269"/>
    </row>
    <row r="82" spans="17:45" x14ac:dyDescent="0.25">
      <c r="Q82" s="18"/>
      <c r="S82" s="18"/>
      <c r="U82" s="279" t="s">
        <v>44</v>
      </c>
      <c r="V82" s="71">
        <v>9.14</v>
      </c>
      <c r="W82" s="71">
        <f>$W$81+V82</f>
        <v>412.14</v>
      </c>
      <c r="X82" s="45">
        <v>60</v>
      </c>
      <c r="Y82" s="46">
        <v>1</v>
      </c>
      <c r="Z82" s="84">
        <v>4.362857142857143</v>
      </c>
      <c r="AA82" s="95">
        <f>AA87*6</f>
        <v>1.7142857142857142</v>
      </c>
      <c r="AB82" s="88">
        <f>$AB$81+AA82</f>
        <v>2.7142857142857144</v>
      </c>
      <c r="AC82" s="111">
        <f>AC81+$AE$82</f>
        <v>5.2489795918367346</v>
      </c>
      <c r="AD82" s="282">
        <f>AC88-AC81</f>
        <v>4.5428571428571427</v>
      </c>
      <c r="AE82" s="282">
        <f>AD82/7</f>
        <v>0.6489795918367347</v>
      </c>
      <c r="AF82" s="62">
        <f t="shared" si="4"/>
        <v>0.64897959183673493</v>
      </c>
      <c r="AG82" s="114">
        <f t="shared" si="0"/>
        <v>6.3664897959183703E-2</v>
      </c>
      <c r="AH82" s="117">
        <v>0.04</v>
      </c>
      <c r="AI82" s="60">
        <f t="shared" si="1"/>
        <v>272.71800000000002</v>
      </c>
      <c r="AJ82" s="121">
        <f t="shared" si="9"/>
        <v>14.000641016824323</v>
      </c>
      <c r="AK82" s="151">
        <f t="shared" si="25"/>
        <v>6405.6899840182441</v>
      </c>
      <c r="AL82" s="174">
        <v>451.04081632653077</v>
      </c>
      <c r="AM82" s="169">
        <f t="shared" si="6"/>
        <v>7143.4494413615994</v>
      </c>
      <c r="AN82" s="61">
        <f t="shared" si="21"/>
        <v>4635.9529027612025</v>
      </c>
      <c r="AO82" s="61">
        <f t="shared" si="7"/>
        <v>55020.047097238799</v>
      </c>
      <c r="AP82" s="61">
        <f t="shared" si="8"/>
        <v>4635.9529027612025</v>
      </c>
      <c r="AQ82" s="248">
        <f>AN82</f>
        <v>4635.9529027612025</v>
      </c>
      <c r="AR82" s="7"/>
      <c r="AS82" s="269"/>
    </row>
    <row r="83" spans="17:45" x14ac:dyDescent="0.25">
      <c r="Q83" s="18"/>
      <c r="S83" s="18"/>
      <c r="U83" s="280"/>
      <c r="V83" s="72">
        <f>V82*2</f>
        <v>18.28</v>
      </c>
      <c r="W83" s="72">
        <f t="shared" ref="W83:W87" si="39">$W$81+V83</f>
        <v>421.28</v>
      </c>
      <c r="X83" s="37">
        <v>61</v>
      </c>
      <c r="Y83" s="47">
        <v>2</v>
      </c>
      <c r="Z83" s="83">
        <v>3.6357142857142852</v>
      </c>
      <c r="AA83" s="96">
        <f>AA87*5</f>
        <v>1.4285714285714284</v>
      </c>
      <c r="AB83" s="89">
        <f t="shared" ref="AB83:AB88" si="40">$AB$81+AA83</f>
        <v>2.4285714285714284</v>
      </c>
      <c r="AC83" s="40">
        <f t="shared" ref="AC83:AC87" si="41">AC82+$AE$82</f>
        <v>5.8979591836734695</v>
      </c>
      <c r="AD83" s="283"/>
      <c r="AE83" s="283"/>
      <c r="AF83" s="58">
        <f t="shared" si="4"/>
        <v>0.64897959183673493</v>
      </c>
      <c r="AG83" s="116">
        <f t="shared" si="0"/>
        <v>6.3664897959183703E-2</v>
      </c>
      <c r="AH83" s="39">
        <v>0.04</v>
      </c>
      <c r="AI83" s="41">
        <f t="shared" si="1"/>
        <v>272.71800000000002</v>
      </c>
      <c r="AJ83" s="41">
        <f t="shared" si="9"/>
        <v>17.676719776293215</v>
      </c>
      <c r="AK83" s="121">
        <f t="shared" si="25"/>
        <v>3233.4709573873815</v>
      </c>
      <c r="AL83" s="154">
        <v>451.04081632653077</v>
      </c>
      <c r="AM83" s="41">
        <f t="shared" si="6"/>
        <v>3974.9064934902053</v>
      </c>
      <c r="AN83" s="42">
        <f t="shared" si="21"/>
        <v>2579.6331937344607</v>
      </c>
      <c r="AO83" s="42">
        <f t="shared" si="7"/>
        <v>57076.366806265542</v>
      </c>
      <c r="AP83" s="61">
        <f t="shared" si="8"/>
        <v>2579.6331937344607</v>
      </c>
      <c r="AQ83" s="248">
        <f>AN83</f>
        <v>2579.6331937344607</v>
      </c>
      <c r="AR83" s="7"/>
      <c r="AS83" s="269"/>
    </row>
    <row r="84" spans="17:45" x14ac:dyDescent="0.25">
      <c r="Q84" s="18"/>
      <c r="S84" s="18"/>
      <c r="U84" s="280"/>
      <c r="V84" s="72">
        <f>V82*3</f>
        <v>27.42</v>
      </c>
      <c r="W84" s="74">
        <f t="shared" si="39"/>
        <v>430.42</v>
      </c>
      <c r="X84" s="37">
        <v>62</v>
      </c>
      <c r="Y84" s="47">
        <v>3</v>
      </c>
      <c r="Z84" s="83">
        <v>2.9085714285714284</v>
      </c>
      <c r="AA84" s="96">
        <f>AA87*4</f>
        <v>1.1428571428571428</v>
      </c>
      <c r="AB84" s="89">
        <f t="shared" si="40"/>
        <v>2.1428571428571428</v>
      </c>
      <c r="AC84" s="40">
        <f t="shared" si="41"/>
        <v>6.5469387755102044</v>
      </c>
      <c r="AD84" s="283"/>
      <c r="AE84" s="283"/>
      <c r="AF84" s="58">
        <f t="shared" si="4"/>
        <v>0.64897959183673493</v>
      </c>
      <c r="AG84" s="116">
        <f t="shared" si="0"/>
        <v>6.3664897959183703E-2</v>
      </c>
      <c r="AH84" s="39">
        <v>0.04</v>
      </c>
      <c r="AI84" s="41">
        <f t="shared" si="1"/>
        <v>272.71800000000002</v>
      </c>
      <c r="AJ84" s="41">
        <f t="shared" si="9"/>
        <v>21.780844323206669</v>
      </c>
      <c r="AK84" s="121">
        <f t="shared" si="25"/>
        <v>-1574.3883589730233</v>
      </c>
      <c r="AL84" s="154">
        <v>451.04081632653077</v>
      </c>
      <c r="AM84" s="41">
        <f t="shared" si="6"/>
        <v>-828.84869832328582</v>
      </c>
      <c r="AN84" s="42">
        <f t="shared" si="21"/>
        <v>-537.90588993225504</v>
      </c>
      <c r="AO84" s="42">
        <f t="shared" si="7"/>
        <v>60193.905889932255</v>
      </c>
      <c r="AP84" s="61">
        <f t="shared" si="8"/>
        <v>-537.90588993225504</v>
      </c>
      <c r="AQ84" s="5"/>
      <c r="AR84" s="160">
        <f>AN84</f>
        <v>-537.90588993225504</v>
      </c>
      <c r="AS84" s="269">
        <f t="shared" si="11"/>
        <v>537.90588993225504</v>
      </c>
    </row>
    <row r="85" spans="17:45" x14ac:dyDescent="0.25">
      <c r="Q85" s="18"/>
      <c r="S85" s="18"/>
      <c r="U85" s="280"/>
      <c r="V85" s="72">
        <f>V82*4</f>
        <v>36.56</v>
      </c>
      <c r="W85" s="72">
        <f t="shared" si="39"/>
        <v>439.56</v>
      </c>
      <c r="X85" s="37">
        <v>63</v>
      </c>
      <c r="Y85" s="47">
        <v>4</v>
      </c>
      <c r="Z85" s="83">
        <v>2.1814285714285715</v>
      </c>
      <c r="AA85" s="96">
        <f>AA87*3</f>
        <v>0.8571428571428571</v>
      </c>
      <c r="AB85" s="89">
        <f t="shared" si="40"/>
        <v>1.8571428571428572</v>
      </c>
      <c r="AC85" s="40">
        <f t="shared" si="41"/>
        <v>7.1959183673469393</v>
      </c>
      <c r="AD85" s="283"/>
      <c r="AE85" s="283"/>
      <c r="AF85" s="58">
        <f t="shared" si="4"/>
        <v>0.64897959183673493</v>
      </c>
      <c r="AG85" s="116">
        <f t="shared" si="0"/>
        <v>6.3664897959183703E-2</v>
      </c>
      <c r="AH85" s="39">
        <v>0.04</v>
      </c>
      <c r="AI85" s="41">
        <f t="shared" si="1"/>
        <v>272.71800000000002</v>
      </c>
      <c r="AJ85" s="41">
        <f t="shared" si="9"/>
        <v>26.31301465756469</v>
      </c>
      <c r="AK85" s="121">
        <f t="shared" si="25"/>
        <v>-5585.8486769956962</v>
      </c>
      <c r="AL85" s="154">
        <v>451.04081632653077</v>
      </c>
      <c r="AM85" s="152">
        <f t="shared" si="6"/>
        <v>-4835.7768460116004</v>
      </c>
      <c r="AN85" s="42">
        <f t="shared" si="21"/>
        <v>-3138.3204837381418</v>
      </c>
      <c r="AO85" s="42">
        <f t="shared" si="7"/>
        <v>62794.320483738142</v>
      </c>
      <c r="AP85" s="61">
        <f t="shared" si="8"/>
        <v>-3138.3204837381418</v>
      </c>
      <c r="AQ85" s="5"/>
      <c r="AR85" s="160">
        <f>AN85</f>
        <v>-3138.3204837381418</v>
      </c>
      <c r="AS85" s="269">
        <f t="shared" si="11"/>
        <v>3138.3204837381418</v>
      </c>
    </row>
    <row r="86" spans="17:45" x14ac:dyDescent="0.25">
      <c r="Q86" s="18"/>
      <c r="S86" s="18"/>
      <c r="U86" s="280"/>
      <c r="V86" s="72">
        <f>V82*5</f>
        <v>45.7</v>
      </c>
      <c r="W86" s="74">
        <f t="shared" si="39"/>
        <v>448.7</v>
      </c>
      <c r="X86" s="37">
        <v>64</v>
      </c>
      <c r="Y86" s="47">
        <v>5</v>
      </c>
      <c r="Z86" s="83">
        <v>1.4542857142857142</v>
      </c>
      <c r="AA86" s="96">
        <f>AA87*2</f>
        <v>0.5714285714285714</v>
      </c>
      <c r="AB86" s="89">
        <f t="shared" si="40"/>
        <v>1.5714285714285714</v>
      </c>
      <c r="AC86" s="40">
        <f t="shared" si="41"/>
        <v>7.8448979591836743</v>
      </c>
      <c r="AD86" s="283"/>
      <c r="AE86" s="283"/>
      <c r="AF86" s="58">
        <f t="shared" si="4"/>
        <v>0.64897959183673493</v>
      </c>
      <c r="AG86" s="116">
        <f t="shared" si="0"/>
        <v>6.3664897959183703E-2</v>
      </c>
      <c r="AH86" s="39">
        <v>0.04</v>
      </c>
      <c r="AI86" s="41">
        <f t="shared" ref="AI86:AI149" si="42">$C$6*9.81*AH86</f>
        <v>272.71800000000002</v>
      </c>
      <c r="AJ86" s="41">
        <f t="shared" si="9"/>
        <v>31.273230779367271</v>
      </c>
      <c r="AK86" s="121">
        <f t="shared" si="25"/>
        <v>-6771.7264341009823</v>
      </c>
      <c r="AL86" s="154">
        <v>451.04081632653077</v>
      </c>
      <c r="AM86" s="41">
        <f t="shared" si="6"/>
        <v>-6016.6943869950837</v>
      </c>
      <c r="AN86" s="42">
        <f t="shared" ref="AN86:AN117" si="43">AM86*AF86</f>
        <v>-3904.7118674784433</v>
      </c>
      <c r="AO86" s="42">
        <f t="shared" si="7"/>
        <v>63560.711867478443</v>
      </c>
      <c r="AP86" s="61">
        <f t="shared" si="8"/>
        <v>-3904.7118674784433</v>
      </c>
      <c r="AQ86" s="5"/>
      <c r="AR86" s="160">
        <f>AN86</f>
        <v>-3904.7118674784433</v>
      </c>
      <c r="AS86" s="269">
        <f t="shared" si="11"/>
        <v>3904.7118674784433</v>
      </c>
    </row>
    <row r="87" spans="17:45" x14ac:dyDescent="0.25">
      <c r="Q87" s="18"/>
      <c r="S87" s="18"/>
      <c r="U87" s="280"/>
      <c r="V87" s="72">
        <f>V82*6</f>
        <v>54.84</v>
      </c>
      <c r="W87" s="74">
        <f t="shared" si="39"/>
        <v>457.84000000000003</v>
      </c>
      <c r="X87" s="37">
        <v>65</v>
      </c>
      <c r="Y87" s="47">
        <v>6</v>
      </c>
      <c r="Z87" s="83">
        <v>0.72714285714285709</v>
      </c>
      <c r="AA87" s="96">
        <f>AA81/7</f>
        <v>0.2857142857142857</v>
      </c>
      <c r="AB87" s="89">
        <f t="shared" si="40"/>
        <v>1.2857142857142856</v>
      </c>
      <c r="AC87" s="40">
        <f t="shared" si="41"/>
        <v>8.4938775510204092</v>
      </c>
      <c r="AD87" s="283"/>
      <c r="AE87" s="283"/>
      <c r="AF87" s="58">
        <f t="shared" si="4"/>
        <v>0.64897959183673493</v>
      </c>
      <c r="AG87" s="116">
        <f t="shared" si="0"/>
        <v>6.3664897959183703E-2</v>
      </c>
      <c r="AH87" s="39">
        <v>0.04</v>
      </c>
      <c r="AI87" s="41">
        <f t="shared" si="42"/>
        <v>272.71800000000002</v>
      </c>
      <c r="AJ87" s="41">
        <f t="shared" si="9"/>
        <v>36.661492688614423</v>
      </c>
      <c r="AK87" s="121">
        <f t="shared" ref="AK87:AK118" si="44">$C$6*9.81*-SIN(Z87)</f>
        <v>-4532.1493989382225</v>
      </c>
      <c r="AL87" s="154">
        <v>451.04081632653077</v>
      </c>
      <c r="AM87" s="41">
        <f t="shared" si="6"/>
        <v>-3771.729089923077</v>
      </c>
      <c r="AN87" s="42">
        <f t="shared" si="43"/>
        <v>-2447.7752052970181</v>
      </c>
      <c r="AO87" s="42">
        <f t="shared" si="7"/>
        <v>62103.775205297017</v>
      </c>
      <c r="AP87" s="61">
        <f t="shared" si="8"/>
        <v>-2447.7752052970181</v>
      </c>
      <c r="AQ87" s="5"/>
      <c r="AR87" s="160">
        <f>AN87</f>
        <v>-2447.7752052970181</v>
      </c>
      <c r="AS87" s="269">
        <f t="shared" si="11"/>
        <v>2447.7752052970181</v>
      </c>
    </row>
    <row r="88" spans="17:45" ht="15.75" thickBot="1" x14ac:dyDescent="0.3">
      <c r="Q88" s="18"/>
      <c r="R88" s="18"/>
      <c r="S88" s="18"/>
      <c r="U88" s="281"/>
      <c r="V88" s="75">
        <v>64</v>
      </c>
      <c r="W88" s="48">
        <f>W81+V88</f>
        <v>467</v>
      </c>
      <c r="X88" s="49">
        <f>X81+Y88</f>
        <v>66</v>
      </c>
      <c r="Y88" s="50">
        <v>7</v>
      </c>
      <c r="Z88" s="81">
        <v>0</v>
      </c>
      <c r="AA88" s="94">
        <v>0</v>
      </c>
      <c r="AB88" s="93">
        <f t="shared" si="40"/>
        <v>1</v>
      </c>
      <c r="AC88" s="102">
        <f>V88/Y88</f>
        <v>9.1428571428571423</v>
      </c>
      <c r="AD88" s="284"/>
      <c r="AE88" s="284"/>
      <c r="AF88" s="112">
        <f t="shared" ref="AF88:AF151" si="45">AC88-AC87</f>
        <v>0.64897959183673315</v>
      </c>
      <c r="AG88" s="115">
        <f t="shared" si="0"/>
        <v>6.3664897959183522E-2</v>
      </c>
      <c r="AH88" s="118">
        <v>0.04</v>
      </c>
      <c r="AI88" s="121">
        <f t="shared" si="42"/>
        <v>272.71800000000002</v>
      </c>
      <c r="AJ88" s="119">
        <f t="shared" si="9"/>
        <v>42.477800385306125</v>
      </c>
      <c r="AK88" s="66">
        <f t="shared" si="44"/>
        <v>0</v>
      </c>
      <c r="AL88" s="66">
        <v>451.04081632652952</v>
      </c>
      <c r="AM88" s="66">
        <f t="shared" ref="AM88:AM151" si="46">AI88+AJ88+AK88+AL88</f>
        <v>766.23661671183572</v>
      </c>
      <c r="AN88" s="164">
        <f t="shared" si="43"/>
        <v>497.27192676400648</v>
      </c>
      <c r="AO88" s="164">
        <f t="shared" ref="AO88:AO151" si="47">$C$5-AN88</f>
        <v>59158.728073235994</v>
      </c>
      <c r="AP88" s="164">
        <f t="shared" si="8"/>
        <v>497.27192676400648</v>
      </c>
      <c r="AQ88" s="248">
        <f>AN88</f>
        <v>497.27192676400648</v>
      </c>
      <c r="AR88" s="7"/>
      <c r="AS88" s="269"/>
    </row>
    <row r="89" spans="17:45" x14ac:dyDescent="0.25">
      <c r="R89" s="18"/>
      <c r="S89" s="18"/>
      <c r="U89" s="279" t="s">
        <v>47</v>
      </c>
      <c r="V89" s="71">
        <f>V91/3</f>
        <v>4.666666666666667</v>
      </c>
      <c r="W89" s="71">
        <f>$W$88+V89</f>
        <v>471.66666666666669</v>
      </c>
      <c r="X89" s="45">
        <v>67</v>
      </c>
      <c r="Y89" s="46">
        <v>1</v>
      </c>
      <c r="Z89" s="84">
        <v>2.8666666666666667</v>
      </c>
      <c r="AA89" s="95">
        <f>AA91/3</f>
        <v>0.33333333333333331</v>
      </c>
      <c r="AB89" s="91">
        <f>$AB$88+AA89</f>
        <v>1.3333333333333333</v>
      </c>
      <c r="AC89" s="111">
        <f>AC88+$AE$89</f>
        <v>7.6507936507936503</v>
      </c>
      <c r="AD89" s="282">
        <f>AC91-AC88</f>
        <v>-4.4761904761904754</v>
      </c>
      <c r="AE89" s="282">
        <f>AD89/3</f>
        <v>-1.4920634920634919</v>
      </c>
      <c r="AF89" s="62">
        <f t="shared" si="45"/>
        <v>-1.4920634920634921</v>
      </c>
      <c r="AG89" s="114">
        <f t="shared" si="0"/>
        <v>-0.1463714285714286</v>
      </c>
      <c r="AH89" s="117">
        <v>0.04</v>
      </c>
      <c r="AI89" s="151">
        <f t="shared" si="42"/>
        <v>272.71800000000002</v>
      </c>
      <c r="AJ89" s="121">
        <f t="shared" si="9"/>
        <v>29.744805220136055</v>
      </c>
      <c r="AK89" s="152">
        <f t="shared" si="44"/>
        <v>-1850.9077771932346</v>
      </c>
      <c r="AL89" s="171">
        <v>-1036.984126984127</v>
      </c>
      <c r="AM89" s="169">
        <f t="shared" si="46"/>
        <v>-2585.4290989572255</v>
      </c>
      <c r="AN89" s="61">
        <f t="shared" si="43"/>
        <v>3857.6243698726857</v>
      </c>
      <c r="AO89" s="61">
        <f t="shared" si="47"/>
        <v>55798.375630127317</v>
      </c>
      <c r="AP89" s="61">
        <f t="shared" ref="AP89:AP152" si="48">AN89/$Y$23</f>
        <v>3857.6243698726857</v>
      </c>
      <c r="AQ89" s="248">
        <f>AN89</f>
        <v>3857.6243698726857</v>
      </c>
      <c r="AR89" s="7"/>
      <c r="AS89" s="269"/>
    </row>
    <row r="90" spans="17:45" x14ac:dyDescent="0.25">
      <c r="S90" s="18"/>
      <c r="U90" s="280"/>
      <c r="V90" s="72">
        <f>V89*2</f>
        <v>9.3333333333333339</v>
      </c>
      <c r="W90" s="74">
        <f>$W$88+V90</f>
        <v>476.33333333333331</v>
      </c>
      <c r="X90" s="37">
        <v>68</v>
      </c>
      <c r="Y90" s="47">
        <v>2</v>
      </c>
      <c r="Z90" s="83">
        <v>1.4333333333333333</v>
      </c>
      <c r="AA90" s="96">
        <f>AA89*2</f>
        <v>0.66666666666666663</v>
      </c>
      <c r="AB90" s="89">
        <f>$AB$88+AA90</f>
        <v>1.6666666666666665</v>
      </c>
      <c r="AC90" s="40">
        <f>AC89+$AE$89</f>
        <v>6.1587301587301582</v>
      </c>
      <c r="AD90" s="283"/>
      <c r="AE90" s="283"/>
      <c r="AF90" s="58">
        <f t="shared" si="45"/>
        <v>-1.4920634920634921</v>
      </c>
      <c r="AG90" s="116">
        <f t="shared" si="0"/>
        <v>-0.1463714285714286</v>
      </c>
      <c r="AH90" s="39">
        <v>0.04</v>
      </c>
      <c r="AI90" s="41">
        <f t="shared" si="42"/>
        <v>272.71800000000002</v>
      </c>
      <c r="AJ90" s="41">
        <f t="shared" si="9"/>
        <v>19.274383865034011</v>
      </c>
      <c r="AK90" s="121">
        <f t="shared" si="44"/>
        <v>-6753.6351248343699</v>
      </c>
      <c r="AL90" s="154">
        <v>-1036.984126984127</v>
      </c>
      <c r="AM90" s="41">
        <f t="shared" si="46"/>
        <v>-7498.6268679534633</v>
      </c>
      <c r="AN90" s="42">
        <f t="shared" si="43"/>
        <v>11188.42739027977</v>
      </c>
      <c r="AO90" s="42">
        <f t="shared" si="47"/>
        <v>48467.572609720228</v>
      </c>
      <c r="AP90" s="61">
        <f t="shared" si="48"/>
        <v>11188.42739027977</v>
      </c>
      <c r="AQ90" s="248">
        <f>AN90</f>
        <v>11188.42739027977</v>
      </c>
      <c r="AR90" s="7"/>
      <c r="AS90" s="269"/>
    </row>
    <row r="91" spans="17:45" ht="15.75" thickBot="1" x14ac:dyDescent="0.3">
      <c r="R91" s="18"/>
      <c r="S91" s="18"/>
      <c r="U91" s="281"/>
      <c r="V91" s="75">
        <v>14</v>
      </c>
      <c r="W91" s="48">
        <f>W88+V91</f>
        <v>481</v>
      </c>
      <c r="X91" s="49">
        <f>X88+Y91</f>
        <v>69</v>
      </c>
      <c r="Y91" s="50">
        <v>3</v>
      </c>
      <c r="Z91" s="81">
        <v>4.3</v>
      </c>
      <c r="AA91" s="94">
        <v>1</v>
      </c>
      <c r="AB91" s="63">
        <f>AB88+AA91</f>
        <v>2</v>
      </c>
      <c r="AC91" s="102">
        <f>V91/Y91</f>
        <v>4.666666666666667</v>
      </c>
      <c r="AD91" s="284"/>
      <c r="AE91" s="284"/>
      <c r="AF91" s="64">
        <f t="shared" si="45"/>
        <v>-1.4920634920634912</v>
      </c>
      <c r="AG91" s="115">
        <f t="shared" si="0"/>
        <v>-0.14637142857142849</v>
      </c>
      <c r="AH91" s="118">
        <v>0.04</v>
      </c>
      <c r="AI91" s="121">
        <f t="shared" si="42"/>
        <v>272.71800000000002</v>
      </c>
      <c r="AJ91" s="119">
        <f t="shared" si="9"/>
        <v>11.066536320000003</v>
      </c>
      <c r="AK91" s="121">
        <f t="shared" si="44"/>
        <v>6246.3735484609469</v>
      </c>
      <c r="AL91" s="66">
        <v>-1036.9841269841263</v>
      </c>
      <c r="AM91" s="66">
        <f t="shared" si="46"/>
        <v>5493.173957796821</v>
      </c>
      <c r="AN91" s="164">
        <f t="shared" si="43"/>
        <v>-8196.1643179825533</v>
      </c>
      <c r="AO91" s="164">
        <f t="shared" si="47"/>
        <v>67852.164317982548</v>
      </c>
      <c r="AP91" s="164">
        <f t="shared" si="48"/>
        <v>-8196.1643179825533</v>
      </c>
      <c r="AQ91" s="5"/>
      <c r="AR91" s="160">
        <f>AN91</f>
        <v>-8196.1643179825533</v>
      </c>
      <c r="AS91" s="269">
        <f t="shared" si="11"/>
        <v>8196.1643179825533</v>
      </c>
    </row>
    <row r="92" spans="17:45" x14ac:dyDescent="0.25">
      <c r="R92" s="18"/>
      <c r="U92" s="279" t="s">
        <v>48</v>
      </c>
      <c r="V92" s="71">
        <f>V96/5</f>
        <v>7.8</v>
      </c>
      <c r="W92" s="78">
        <f>$W$91+V92</f>
        <v>488.8</v>
      </c>
      <c r="X92" s="45">
        <v>70</v>
      </c>
      <c r="Y92" s="46">
        <v>1</v>
      </c>
      <c r="Z92" s="84">
        <v>3.44</v>
      </c>
      <c r="AA92" s="95">
        <f>AA95*4</f>
        <v>0.8</v>
      </c>
      <c r="AB92" s="88">
        <f>$AB$91+AA92</f>
        <v>2.8</v>
      </c>
      <c r="AC92" s="111">
        <f>AC91+$AE$92</f>
        <v>5.2933333333333339</v>
      </c>
      <c r="AD92" s="282">
        <f>AC96-AC91</f>
        <v>3.1333333333333329</v>
      </c>
      <c r="AE92" s="282">
        <f>AD92/5</f>
        <v>0.62666666666666659</v>
      </c>
      <c r="AF92" s="58">
        <f t="shared" si="45"/>
        <v>0.62666666666666693</v>
      </c>
      <c r="AG92" s="114">
        <f t="shared" si="0"/>
        <v>6.1476000000000031E-2</v>
      </c>
      <c r="AH92" s="117">
        <v>0.04</v>
      </c>
      <c r="AI92" s="151">
        <f t="shared" si="42"/>
        <v>272.71800000000002</v>
      </c>
      <c r="AJ92" s="121">
        <f t="shared" ref="AJ92:AJ155" si="49">0.5*$C$18*$C$20*$C$22*(AC92*AC92)</f>
        <v>14.238250798848004</v>
      </c>
      <c r="AK92" s="151">
        <f t="shared" si="44"/>
        <v>2004.4657941337196</v>
      </c>
      <c r="AL92" s="174">
        <v>435.53333333333353</v>
      </c>
      <c r="AM92" s="169">
        <f t="shared" si="46"/>
        <v>2726.9553782659013</v>
      </c>
      <c r="AN92" s="61">
        <f t="shared" si="43"/>
        <v>1708.8920370466321</v>
      </c>
      <c r="AO92" s="61">
        <f t="shared" si="47"/>
        <v>57947.107962953371</v>
      </c>
      <c r="AP92" s="61">
        <f t="shared" si="48"/>
        <v>1708.8920370466321</v>
      </c>
      <c r="AQ92" s="248">
        <f>AN92</f>
        <v>1708.8920370466321</v>
      </c>
      <c r="AR92" s="7"/>
      <c r="AS92" s="269"/>
    </row>
    <row r="93" spans="17:45" x14ac:dyDescent="0.25">
      <c r="R93" s="18"/>
      <c r="U93" s="280"/>
      <c r="V93" s="72">
        <f>V92*2</f>
        <v>15.6</v>
      </c>
      <c r="W93" s="72">
        <f t="shared" ref="W93:W95" si="50">$W$91+V93</f>
        <v>496.6</v>
      </c>
      <c r="X93" s="37">
        <v>71</v>
      </c>
      <c r="Y93" s="47">
        <v>2</v>
      </c>
      <c r="Z93" s="83">
        <v>2.58</v>
      </c>
      <c r="AA93" s="96">
        <f>AA95*3</f>
        <v>0.60000000000000009</v>
      </c>
      <c r="AB93" s="89">
        <f t="shared" ref="AB93:AB96" si="51">$AB$91+AA93</f>
        <v>2.6</v>
      </c>
      <c r="AC93" s="40">
        <f t="shared" ref="AC93:AC95" si="52">AC92+$AE$92</f>
        <v>5.9200000000000008</v>
      </c>
      <c r="AD93" s="283"/>
      <c r="AE93" s="283"/>
      <c r="AF93" s="58">
        <f t="shared" si="45"/>
        <v>0.62666666666666693</v>
      </c>
      <c r="AG93" s="116">
        <f t="shared" si="0"/>
        <v>6.1476000000000031E-2</v>
      </c>
      <c r="AH93" s="39">
        <v>0.04</v>
      </c>
      <c r="AI93" s="41">
        <f t="shared" si="42"/>
        <v>272.71800000000002</v>
      </c>
      <c r="AJ93" s="41">
        <f t="shared" si="49"/>
        <v>17.809083297792007</v>
      </c>
      <c r="AK93" s="121">
        <f t="shared" si="44"/>
        <v>-3630.7963729688477</v>
      </c>
      <c r="AL93" s="154">
        <v>435.53333333333353</v>
      </c>
      <c r="AM93" s="41">
        <f t="shared" si="46"/>
        <v>-2904.7359563377222</v>
      </c>
      <c r="AN93" s="42">
        <f t="shared" si="43"/>
        <v>-1820.3011993049734</v>
      </c>
      <c r="AO93" s="42">
        <f t="shared" si="47"/>
        <v>61476.301199304973</v>
      </c>
      <c r="AP93" s="61">
        <f t="shared" si="48"/>
        <v>-1820.3011993049734</v>
      </c>
      <c r="AQ93" s="5"/>
      <c r="AR93" s="160">
        <f>AN93</f>
        <v>-1820.3011993049734</v>
      </c>
      <c r="AS93" s="269">
        <f t="shared" ref="AS93:AS156" si="53">0-AR93</f>
        <v>1820.3011993049734</v>
      </c>
    </row>
    <row r="94" spans="17:45" x14ac:dyDescent="0.25">
      <c r="R94" s="18"/>
      <c r="U94" s="280"/>
      <c r="V94" s="72">
        <f>V92*3</f>
        <v>23.4</v>
      </c>
      <c r="W94" s="77">
        <f t="shared" si="50"/>
        <v>504.4</v>
      </c>
      <c r="X94" s="37">
        <v>72</v>
      </c>
      <c r="Y94" s="47">
        <v>3</v>
      </c>
      <c r="Z94" s="83">
        <v>1.72</v>
      </c>
      <c r="AA94" s="96">
        <f>AA95*2</f>
        <v>0.4</v>
      </c>
      <c r="AB94" s="89">
        <f t="shared" si="51"/>
        <v>2.4</v>
      </c>
      <c r="AC94" s="40">
        <f t="shared" si="52"/>
        <v>6.5466666666666677</v>
      </c>
      <c r="AD94" s="283"/>
      <c r="AE94" s="283"/>
      <c r="AF94" s="58">
        <f t="shared" si="45"/>
        <v>0.62666666666666693</v>
      </c>
      <c r="AG94" s="116">
        <f t="shared" si="0"/>
        <v>6.1476000000000031E-2</v>
      </c>
      <c r="AH94" s="39">
        <v>0.04</v>
      </c>
      <c r="AI94" s="41">
        <f t="shared" si="42"/>
        <v>272.71800000000002</v>
      </c>
      <c r="AJ94" s="41">
        <f t="shared" si="49"/>
        <v>21.779033816832008</v>
      </c>
      <c r="AK94" s="121">
        <f t="shared" si="44"/>
        <v>-6742.2009801317554</v>
      </c>
      <c r="AL94" s="154">
        <v>435.53333333333353</v>
      </c>
      <c r="AM94" s="41">
        <f t="shared" si="46"/>
        <v>-6012.1706129815893</v>
      </c>
      <c r="AN94" s="42">
        <f t="shared" si="43"/>
        <v>-3767.6269174684644</v>
      </c>
      <c r="AO94" s="42">
        <f t="shared" si="47"/>
        <v>63423.626917468464</v>
      </c>
      <c r="AP94" s="61">
        <f t="shared" si="48"/>
        <v>-3767.6269174684644</v>
      </c>
      <c r="AQ94" s="5"/>
      <c r="AR94" s="160">
        <f>AN94</f>
        <v>-3767.6269174684644</v>
      </c>
      <c r="AS94" s="269">
        <f t="shared" si="53"/>
        <v>3767.6269174684644</v>
      </c>
    </row>
    <row r="95" spans="17:45" x14ac:dyDescent="0.25">
      <c r="R95" s="18"/>
      <c r="U95" s="280"/>
      <c r="V95" s="72">
        <f>V92*4</f>
        <v>31.2</v>
      </c>
      <c r="W95" s="72">
        <f t="shared" si="50"/>
        <v>512.20000000000005</v>
      </c>
      <c r="X95" s="37">
        <v>73</v>
      </c>
      <c r="Y95" s="47">
        <v>4</v>
      </c>
      <c r="Z95" s="83">
        <v>0.86</v>
      </c>
      <c r="AA95" s="96">
        <f>AA91/5</f>
        <v>0.2</v>
      </c>
      <c r="AB95" s="89">
        <f t="shared" si="51"/>
        <v>2.2000000000000002</v>
      </c>
      <c r="AC95" s="40">
        <f t="shared" si="52"/>
        <v>7.1733333333333347</v>
      </c>
      <c r="AD95" s="283"/>
      <c r="AE95" s="283"/>
      <c r="AF95" s="58">
        <f t="shared" si="45"/>
        <v>0.62666666666666693</v>
      </c>
      <c r="AG95" s="116">
        <f t="shared" si="0"/>
        <v>6.1476000000000031E-2</v>
      </c>
      <c r="AH95" s="39">
        <v>0.04</v>
      </c>
      <c r="AI95" s="41">
        <f t="shared" si="42"/>
        <v>272.71800000000002</v>
      </c>
      <c r="AJ95" s="41">
        <f t="shared" si="49"/>
        <v>26.148102355968014</v>
      </c>
      <c r="AK95" s="121">
        <f t="shared" si="44"/>
        <v>-5166.9327016918542</v>
      </c>
      <c r="AL95" s="154">
        <v>435.53333333333353</v>
      </c>
      <c r="AM95" s="60">
        <f t="shared" si="46"/>
        <v>-4432.5332660025524</v>
      </c>
      <c r="AN95" s="42">
        <f t="shared" si="43"/>
        <v>-2777.7208466949342</v>
      </c>
      <c r="AO95" s="42">
        <f t="shared" si="47"/>
        <v>62433.720846694938</v>
      </c>
      <c r="AP95" s="61">
        <f t="shared" si="48"/>
        <v>-2777.7208466949342</v>
      </c>
      <c r="AQ95" s="5"/>
      <c r="AR95" s="160">
        <f>AN95</f>
        <v>-2777.7208466949342</v>
      </c>
      <c r="AS95" s="269">
        <f t="shared" si="53"/>
        <v>2777.7208466949342</v>
      </c>
    </row>
    <row r="96" spans="17:45" ht="15.75" thickBot="1" x14ac:dyDescent="0.3">
      <c r="R96" s="18"/>
      <c r="S96" s="18"/>
      <c r="U96" s="281"/>
      <c r="V96" s="75">
        <v>39</v>
      </c>
      <c r="W96" s="48">
        <f>W91+V96</f>
        <v>520</v>
      </c>
      <c r="X96" s="49">
        <f>X91+Y96</f>
        <v>74</v>
      </c>
      <c r="Y96" s="50">
        <v>5</v>
      </c>
      <c r="Z96" s="81">
        <v>0</v>
      </c>
      <c r="AA96" s="94">
        <v>0</v>
      </c>
      <c r="AB96" s="90">
        <f t="shared" si="51"/>
        <v>2</v>
      </c>
      <c r="AC96" s="102">
        <f>V96/Y96</f>
        <v>7.8</v>
      </c>
      <c r="AD96" s="284"/>
      <c r="AE96" s="284"/>
      <c r="AF96" s="112">
        <f t="shared" si="45"/>
        <v>0.62666666666666515</v>
      </c>
      <c r="AG96" s="115">
        <f t="shared" si="0"/>
        <v>6.1475999999999857E-2</v>
      </c>
      <c r="AH96" s="118">
        <v>0.04</v>
      </c>
      <c r="AI96" s="121">
        <f t="shared" si="42"/>
        <v>272.71800000000002</v>
      </c>
      <c r="AJ96" s="119">
        <f t="shared" si="49"/>
        <v>30.916288915199999</v>
      </c>
      <c r="AK96" s="121">
        <f t="shared" si="44"/>
        <v>0</v>
      </c>
      <c r="AL96" s="66">
        <v>435.53333333333228</v>
      </c>
      <c r="AM96" s="152">
        <f t="shared" si="46"/>
        <v>739.16762224853233</v>
      </c>
      <c r="AN96" s="164">
        <f t="shared" si="43"/>
        <v>463.21170994241248</v>
      </c>
      <c r="AO96" s="164">
        <f t="shared" si="47"/>
        <v>59192.788290057586</v>
      </c>
      <c r="AP96" s="164">
        <f t="shared" si="48"/>
        <v>463.21170994241248</v>
      </c>
      <c r="AQ96" s="248">
        <f>AN96</f>
        <v>463.21170994241248</v>
      </c>
      <c r="AR96" s="7"/>
      <c r="AS96" s="269"/>
    </row>
    <row r="97" spans="18:45" x14ac:dyDescent="0.25">
      <c r="R97" s="18"/>
      <c r="S97" s="18"/>
      <c r="U97" s="279" t="s">
        <v>49</v>
      </c>
      <c r="V97" s="71">
        <f>V100/4</f>
        <v>4.25</v>
      </c>
      <c r="W97" s="78">
        <f>$W$96+V97</f>
        <v>524.25</v>
      </c>
      <c r="X97" s="45">
        <v>75</v>
      </c>
      <c r="Y97" s="46">
        <v>1</v>
      </c>
      <c r="Z97" s="84">
        <v>1.7024999999999999</v>
      </c>
      <c r="AA97" s="95">
        <f>AA100/4</f>
        <v>0.5</v>
      </c>
      <c r="AB97" s="88">
        <f>$AB$96+AA97</f>
        <v>2.5</v>
      </c>
      <c r="AC97" s="111">
        <f>AC96+$AE$97</f>
        <v>6.9124999999999996</v>
      </c>
      <c r="AD97" s="282">
        <f>AC100-AC96</f>
        <v>-3.55</v>
      </c>
      <c r="AE97" s="282">
        <f>AD97/4</f>
        <v>-0.88749999999999996</v>
      </c>
      <c r="AF97" s="62">
        <f t="shared" si="45"/>
        <v>-0.88750000000000018</v>
      </c>
      <c r="AG97" s="114">
        <f t="shared" si="0"/>
        <v>-8.7063750000000023E-2</v>
      </c>
      <c r="AH97" s="117">
        <v>0.04</v>
      </c>
      <c r="AI97" s="151">
        <f t="shared" si="42"/>
        <v>272.71800000000002</v>
      </c>
      <c r="AJ97" s="121">
        <f t="shared" si="49"/>
        <v>24.281104631175001</v>
      </c>
      <c r="AK97" s="151">
        <f t="shared" si="44"/>
        <v>-6758.9038299199319</v>
      </c>
      <c r="AL97" s="171">
        <v>-616.81250000000011</v>
      </c>
      <c r="AM97" s="151">
        <f t="shared" si="46"/>
        <v>-7078.7172252887567</v>
      </c>
      <c r="AN97" s="61">
        <f t="shared" si="43"/>
        <v>6282.3615374437732</v>
      </c>
      <c r="AO97" s="61">
        <f t="shared" si="47"/>
        <v>53373.638462556228</v>
      </c>
      <c r="AP97" s="61">
        <f t="shared" si="48"/>
        <v>6282.3615374437732</v>
      </c>
      <c r="AQ97" s="248">
        <f>AN97</f>
        <v>6282.3615374437732</v>
      </c>
      <c r="AR97" s="7"/>
      <c r="AS97" s="269"/>
    </row>
    <row r="98" spans="18:45" x14ac:dyDescent="0.25">
      <c r="R98" s="18"/>
      <c r="S98" s="18"/>
      <c r="U98" s="280"/>
      <c r="V98" s="72">
        <f>V97*2</f>
        <v>8.5</v>
      </c>
      <c r="W98" s="72">
        <f t="shared" ref="W98:W99" si="54">$W$96+V98</f>
        <v>528.5</v>
      </c>
      <c r="X98" s="37">
        <v>76</v>
      </c>
      <c r="Y98" s="47">
        <v>2</v>
      </c>
      <c r="Z98" s="83">
        <v>3.4049999999999998</v>
      </c>
      <c r="AA98" s="96">
        <f>AA97*2</f>
        <v>1</v>
      </c>
      <c r="AB98" s="89">
        <f t="shared" ref="AB98:AB100" si="55">$AB$96+AA98</f>
        <v>3</v>
      </c>
      <c r="AC98" s="40">
        <f t="shared" ref="AC98:AC99" si="56">AC97+$AE$97</f>
        <v>6.0249999999999995</v>
      </c>
      <c r="AD98" s="283"/>
      <c r="AE98" s="283"/>
      <c r="AF98" s="58">
        <f t="shared" si="45"/>
        <v>-0.88750000000000018</v>
      </c>
      <c r="AG98" s="116">
        <f t="shared" si="0"/>
        <v>-8.7063750000000023E-2</v>
      </c>
      <c r="AH98" s="39">
        <v>0.04</v>
      </c>
      <c r="AI98" s="41">
        <f t="shared" si="42"/>
        <v>272.71800000000002</v>
      </c>
      <c r="AJ98" s="41">
        <f t="shared" si="49"/>
        <v>18.446426862300001</v>
      </c>
      <c r="AK98" s="121">
        <f t="shared" si="44"/>
        <v>1775.2024496395356</v>
      </c>
      <c r="AL98" s="154">
        <v>-616.81250000000011</v>
      </c>
      <c r="AM98" s="60">
        <f t="shared" si="46"/>
        <v>1449.5543765018356</v>
      </c>
      <c r="AN98" s="42">
        <f t="shared" si="43"/>
        <v>-1286.4795091453793</v>
      </c>
      <c r="AO98" s="42">
        <f t="shared" si="47"/>
        <v>60942.479509145378</v>
      </c>
      <c r="AP98" s="61">
        <f t="shared" si="48"/>
        <v>-1286.4795091453793</v>
      </c>
      <c r="AQ98" s="5"/>
      <c r="AR98" s="160">
        <f>AN98</f>
        <v>-1286.4795091453793</v>
      </c>
      <c r="AS98" s="269">
        <f t="shared" si="53"/>
        <v>1286.4795091453793</v>
      </c>
    </row>
    <row r="99" spans="18:45" x14ac:dyDescent="0.25">
      <c r="R99" s="18"/>
      <c r="S99" s="18"/>
      <c r="U99" s="280"/>
      <c r="V99" s="72">
        <f>V97*3</f>
        <v>12.75</v>
      </c>
      <c r="W99" s="74">
        <f t="shared" si="54"/>
        <v>532.75</v>
      </c>
      <c r="X99" s="37">
        <v>77</v>
      </c>
      <c r="Y99" s="47">
        <v>3</v>
      </c>
      <c r="Z99" s="83">
        <v>5.1074999999999999</v>
      </c>
      <c r="AA99" s="96">
        <f>AA97*3</f>
        <v>1.5</v>
      </c>
      <c r="AB99" s="89">
        <f t="shared" si="55"/>
        <v>3.5</v>
      </c>
      <c r="AC99" s="40">
        <f t="shared" si="56"/>
        <v>5.1374999999999993</v>
      </c>
      <c r="AD99" s="283"/>
      <c r="AE99" s="283"/>
      <c r="AF99" s="58">
        <f t="shared" si="45"/>
        <v>-0.88750000000000018</v>
      </c>
      <c r="AG99" s="116">
        <f t="shared" si="0"/>
        <v>-8.7063750000000023E-2</v>
      </c>
      <c r="AH99" s="39">
        <v>0.04</v>
      </c>
      <c r="AI99" s="41">
        <f t="shared" si="42"/>
        <v>272.71800000000002</v>
      </c>
      <c r="AJ99" s="41">
        <f t="shared" si="49"/>
        <v>13.412255608574998</v>
      </c>
      <c r="AK99" s="121">
        <f t="shared" si="44"/>
        <v>6292.6531158239532</v>
      </c>
      <c r="AL99" s="41">
        <v>-616.81250000000011</v>
      </c>
      <c r="AM99" s="60">
        <f t="shared" si="46"/>
        <v>5961.9708714325279</v>
      </c>
      <c r="AN99" s="42">
        <f t="shared" si="43"/>
        <v>-5291.2491483963695</v>
      </c>
      <c r="AO99" s="42">
        <f t="shared" si="47"/>
        <v>64947.249148396368</v>
      </c>
      <c r="AP99" s="61">
        <f t="shared" si="48"/>
        <v>-5291.2491483963695</v>
      </c>
      <c r="AQ99" s="5"/>
      <c r="AR99" s="160">
        <f>AN99</f>
        <v>-5291.2491483963695</v>
      </c>
      <c r="AS99" s="269">
        <f t="shared" si="53"/>
        <v>5291.2491483963695</v>
      </c>
    </row>
    <row r="100" spans="18:45" ht="15.75" thickBot="1" x14ac:dyDescent="0.3">
      <c r="R100" s="18"/>
      <c r="S100" s="18"/>
      <c r="U100" s="281"/>
      <c r="V100" s="75">
        <v>17</v>
      </c>
      <c r="W100" s="48">
        <f>W96+V100</f>
        <v>537</v>
      </c>
      <c r="X100" s="49">
        <f>X96+Y100</f>
        <v>78</v>
      </c>
      <c r="Y100" s="50">
        <v>4</v>
      </c>
      <c r="Z100" s="81">
        <v>6.81</v>
      </c>
      <c r="AA100" s="94">
        <v>2</v>
      </c>
      <c r="AB100" s="93">
        <f t="shared" si="55"/>
        <v>4</v>
      </c>
      <c r="AC100" s="102">
        <f>V100/Y100</f>
        <v>4.25</v>
      </c>
      <c r="AD100" s="284"/>
      <c r="AE100" s="284"/>
      <c r="AF100" s="64">
        <f t="shared" si="45"/>
        <v>-0.88749999999999929</v>
      </c>
      <c r="AG100" s="115">
        <f t="shared" si="0"/>
        <v>-8.706374999999994E-2</v>
      </c>
      <c r="AH100" s="118">
        <v>0.04</v>
      </c>
      <c r="AI100" s="121">
        <f t="shared" si="42"/>
        <v>272.71800000000002</v>
      </c>
      <c r="AJ100" s="119">
        <f t="shared" si="49"/>
        <v>9.1785908700000007</v>
      </c>
      <c r="AK100" s="66">
        <f t="shared" si="44"/>
        <v>-3427.9457800731739</v>
      </c>
      <c r="AL100" s="173">
        <v>-616.81249999999955</v>
      </c>
      <c r="AM100" s="152">
        <f t="shared" si="46"/>
        <v>-3762.8616892031732</v>
      </c>
      <c r="AN100" s="164">
        <f t="shared" si="43"/>
        <v>3339.5397491678136</v>
      </c>
      <c r="AO100" s="164">
        <f t="shared" si="47"/>
        <v>56316.460250832184</v>
      </c>
      <c r="AP100" s="164">
        <f t="shared" si="48"/>
        <v>3339.5397491678136</v>
      </c>
      <c r="AQ100" s="248">
        <f>AN100</f>
        <v>3339.5397491678136</v>
      </c>
      <c r="AR100" s="7"/>
      <c r="AS100" s="269"/>
    </row>
    <row r="101" spans="18:45" x14ac:dyDescent="0.25">
      <c r="R101" s="18"/>
      <c r="S101" s="18"/>
      <c r="U101" s="279" t="s">
        <v>50</v>
      </c>
      <c r="V101" s="71">
        <f>V105/5</f>
        <v>9.1999999999999993</v>
      </c>
      <c r="W101" s="71">
        <f>$W$100+V101</f>
        <v>546.20000000000005</v>
      </c>
      <c r="X101" s="45">
        <v>79</v>
      </c>
      <c r="Y101" s="46">
        <v>1</v>
      </c>
      <c r="Z101" s="85">
        <v>5.4479999999999995</v>
      </c>
      <c r="AA101" s="95">
        <f>AA104*4</f>
        <v>1.6</v>
      </c>
      <c r="AB101" s="91">
        <f>$AB$100+AA101</f>
        <v>5.6</v>
      </c>
      <c r="AC101" s="111">
        <f>AC100+$AE$101</f>
        <v>5.24</v>
      </c>
      <c r="AD101" s="282">
        <f>AC105-AC100</f>
        <v>4.9499999999999993</v>
      </c>
      <c r="AE101" s="282">
        <f>AD101/5</f>
        <v>0.98999999999999988</v>
      </c>
      <c r="AF101" s="58">
        <f t="shared" si="45"/>
        <v>0.99000000000000021</v>
      </c>
      <c r="AG101" s="114">
        <f t="shared" si="0"/>
        <v>9.7119000000000025E-2</v>
      </c>
      <c r="AH101" s="117">
        <v>0.04</v>
      </c>
      <c r="AI101" s="151">
        <f t="shared" si="42"/>
        <v>272.71800000000002</v>
      </c>
      <c r="AJ101" s="121">
        <f t="shared" si="49"/>
        <v>13.952779331328003</v>
      </c>
      <c r="AK101" s="152">
        <f t="shared" si="44"/>
        <v>5054.9704413605805</v>
      </c>
      <c r="AL101" s="171">
        <v>688.05000000000018</v>
      </c>
      <c r="AM101" s="169">
        <f t="shared" si="46"/>
        <v>6029.6912206919087</v>
      </c>
      <c r="AN101" s="61">
        <f t="shared" si="43"/>
        <v>5969.3943084849907</v>
      </c>
      <c r="AO101" s="61">
        <f t="shared" si="47"/>
        <v>53686.605691515011</v>
      </c>
      <c r="AP101" s="61">
        <f t="shared" si="48"/>
        <v>5969.3943084849907</v>
      </c>
      <c r="AQ101" s="248">
        <f>AN101</f>
        <v>5969.3943084849907</v>
      </c>
      <c r="AR101" s="7"/>
      <c r="AS101" s="269"/>
    </row>
    <row r="102" spans="18:45" x14ac:dyDescent="0.25">
      <c r="R102" s="18"/>
      <c r="S102" s="18"/>
      <c r="U102" s="280"/>
      <c r="V102" s="72">
        <f>V101*2</f>
        <v>18.399999999999999</v>
      </c>
      <c r="W102" s="72">
        <f t="shared" ref="W102:W104" si="57">$W$100+V102</f>
        <v>555.4</v>
      </c>
      <c r="X102" s="37">
        <v>80</v>
      </c>
      <c r="Y102" s="47">
        <v>2</v>
      </c>
      <c r="Z102" s="83">
        <v>4.0859999999999994</v>
      </c>
      <c r="AA102" s="100">
        <f>AA103*3</f>
        <v>2.4000000000000004</v>
      </c>
      <c r="AB102" s="89">
        <f t="shared" ref="AB102:AB105" si="58">$AB$100+AA102</f>
        <v>6.4</v>
      </c>
      <c r="AC102" s="40">
        <f t="shared" ref="AC102:AC104" si="59">AC101+$AE$101</f>
        <v>6.23</v>
      </c>
      <c r="AD102" s="283"/>
      <c r="AE102" s="283"/>
      <c r="AF102" s="58">
        <f t="shared" si="45"/>
        <v>0.99000000000000021</v>
      </c>
      <c r="AG102" s="116">
        <f t="shared" si="0"/>
        <v>9.7119000000000025E-2</v>
      </c>
      <c r="AH102" s="39">
        <v>0.04</v>
      </c>
      <c r="AI102" s="41">
        <f t="shared" si="42"/>
        <v>272.71800000000002</v>
      </c>
      <c r="AJ102" s="41">
        <f t="shared" si="49"/>
        <v>19.723057692912004</v>
      </c>
      <c r="AK102" s="121">
        <f t="shared" si="44"/>
        <v>5523.559798372874</v>
      </c>
      <c r="AL102" s="154">
        <v>688.05000000000018</v>
      </c>
      <c r="AM102" s="41">
        <f t="shared" si="46"/>
        <v>6504.0508560657863</v>
      </c>
      <c r="AN102" s="42">
        <f t="shared" si="43"/>
        <v>6439.0103475051301</v>
      </c>
      <c r="AO102" s="42">
        <f t="shared" si="47"/>
        <v>53216.989652494871</v>
      </c>
      <c r="AP102" s="61">
        <f t="shared" si="48"/>
        <v>6439.0103475051301</v>
      </c>
      <c r="AQ102" s="248">
        <f>AN102</f>
        <v>6439.0103475051301</v>
      </c>
      <c r="AR102" s="7"/>
      <c r="AS102" s="269"/>
    </row>
    <row r="103" spans="18:45" x14ac:dyDescent="0.25">
      <c r="R103" s="18"/>
      <c r="S103" s="18"/>
      <c r="U103" s="280"/>
      <c r="V103" s="72">
        <f>V101*3</f>
        <v>27.599999999999998</v>
      </c>
      <c r="W103" s="74">
        <f t="shared" si="57"/>
        <v>564.6</v>
      </c>
      <c r="X103" s="37">
        <v>81</v>
      </c>
      <c r="Y103" s="47">
        <v>3</v>
      </c>
      <c r="Z103" s="83">
        <v>2.7239999999999998</v>
      </c>
      <c r="AA103" s="96">
        <f>AA104*2</f>
        <v>0.8</v>
      </c>
      <c r="AB103" s="89">
        <f t="shared" si="58"/>
        <v>4.8</v>
      </c>
      <c r="AC103" s="40">
        <f t="shared" si="59"/>
        <v>7.2200000000000006</v>
      </c>
      <c r="AD103" s="283"/>
      <c r="AE103" s="283"/>
      <c r="AF103" s="58">
        <f t="shared" si="45"/>
        <v>0.99000000000000021</v>
      </c>
      <c r="AG103" s="116">
        <f t="shared" si="0"/>
        <v>9.7119000000000025E-2</v>
      </c>
      <c r="AH103" s="39">
        <v>0.04</v>
      </c>
      <c r="AI103" s="41">
        <f t="shared" si="42"/>
        <v>272.71800000000002</v>
      </c>
      <c r="AJ103" s="41">
        <f t="shared" si="49"/>
        <v>26.489425954752004</v>
      </c>
      <c r="AK103" s="121">
        <f t="shared" si="44"/>
        <v>-2765.0956579837434</v>
      </c>
      <c r="AL103" s="154">
        <v>688.05000000000018</v>
      </c>
      <c r="AM103" s="41">
        <f t="shared" si="46"/>
        <v>-1777.8382320289911</v>
      </c>
      <c r="AN103" s="42">
        <f t="shared" si="43"/>
        <v>-1760.0598497087017</v>
      </c>
      <c r="AO103" s="42">
        <f t="shared" si="47"/>
        <v>61416.059849708705</v>
      </c>
      <c r="AP103" s="61">
        <f t="shared" si="48"/>
        <v>-1760.0598497087017</v>
      </c>
      <c r="AQ103" s="5"/>
      <c r="AR103" s="160">
        <f>AN103</f>
        <v>-1760.0598497087017</v>
      </c>
      <c r="AS103" s="269">
        <f t="shared" si="53"/>
        <v>1760.0598497087017</v>
      </c>
    </row>
    <row r="104" spans="18:45" x14ac:dyDescent="0.25">
      <c r="U104" s="280"/>
      <c r="V104" s="72">
        <f>V101*4</f>
        <v>36.799999999999997</v>
      </c>
      <c r="W104" s="74">
        <f t="shared" si="57"/>
        <v>573.79999999999995</v>
      </c>
      <c r="X104" s="37">
        <v>82</v>
      </c>
      <c r="Y104" s="47">
        <v>4</v>
      </c>
      <c r="Z104" s="83">
        <v>1.3619999999999999</v>
      </c>
      <c r="AA104" s="96">
        <f>AA100/5</f>
        <v>0.4</v>
      </c>
      <c r="AB104" s="89">
        <f t="shared" si="58"/>
        <v>4.4000000000000004</v>
      </c>
      <c r="AC104" s="40">
        <f t="shared" si="59"/>
        <v>8.2100000000000009</v>
      </c>
      <c r="AD104" s="283"/>
      <c r="AE104" s="283"/>
      <c r="AF104" s="58">
        <f t="shared" si="45"/>
        <v>0.99000000000000021</v>
      </c>
      <c r="AG104" s="116">
        <f t="shared" si="0"/>
        <v>9.7119000000000025E-2</v>
      </c>
      <c r="AH104" s="39">
        <v>0.04</v>
      </c>
      <c r="AI104" s="41">
        <f t="shared" si="42"/>
        <v>272.71800000000002</v>
      </c>
      <c r="AJ104" s="41">
        <f t="shared" si="49"/>
        <v>34.251884116848011</v>
      </c>
      <c r="AK104" s="121">
        <f t="shared" si="44"/>
        <v>-6669.8717877365016</v>
      </c>
      <c r="AL104" s="154">
        <v>688.05000000000018</v>
      </c>
      <c r="AM104" s="152">
        <f t="shared" si="46"/>
        <v>-5674.8519036196531</v>
      </c>
      <c r="AN104" s="42">
        <f t="shared" si="43"/>
        <v>-5618.1033845834581</v>
      </c>
      <c r="AO104" s="42">
        <f t="shared" si="47"/>
        <v>65274.103384583461</v>
      </c>
      <c r="AP104" s="61">
        <f t="shared" si="48"/>
        <v>-5618.1033845834581</v>
      </c>
      <c r="AQ104" s="5"/>
      <c r="AR104" s="160">
        <f>AN104</f>
        <v>-5618.1033845834581</v>
      </c>
      <c r="AS104" s="269">
        <f t="shared" si="53"/>
        <v>5618.1033845834581</v>
      </c>
    </row>
    <row r="105" spans="18:45" ht="15.75" thickBot="1" x14ac:dyDescent="0.3">
      <c r="U105" s="281"/>
      <c r="V105" s="75">
        <v>46</v>
      </c>
      <c r="W105" s="48">
        <f>W100+V105</f>
        <v>583</v>
      </c>
      <c r="X105" s="49">
        <f>X100+Y105</f>
        <v>83</v>
      </c>
      <c r="Y105" s="50">
        <v>5</v>
      </c>
      <c r="Z105" s="81">
        <v>0</v>
      </c>
      <c r="AA105" s="94">
        <v>0</v>
      </c>
      <c r="AB105" s="90">
        <f t="shared" si="58"/>
        <v>4</v>
      </c>
      <c r="AC105" s="102">
        <f>V105/Y105</f>
        <v>9.1999999999999993</v>
      </c>
      <c r="AD105" s="284"/>
      <c r="AE105" s="284"/>
      <c r="AF105" s="112">
        <f t="shared" si="45"/>
        <v>0.98999999999999844</v>
      </c>
      <c r="AG105" s="115">
        <f t="shared" si="0"/>
        <v>9.7118999999999858E-2</v>
      </c>
      <c r="AH105" s="118">
        <v>0.04</v>
      </c>
      <c r="AI105" s="121">
        <f t="shared" si="42"/>
        <v>272.71800000000002</v>
      </c>
      <c r="AJ105" s="119">
        <f t="shared" si="49"/>
        <v>43.010432179199995</v>
      </c>
      <c r="AK105" s="66">
        <f t="shared" si="44"/>
        <v>0</v>
      </c>
      <c r="AL105" s="66">
        <v>688.04999999999893</v>
      </c>
      <c r="AM105" s="66">
        <f t="shared" si="46"/>
        <v>1003.7784321791989</v>
      </c>
      <c r="AN105" s="164">
        <f t="shared" si="43"/>
        <v>993.74064785740541</v>
      </c>
      <c r="AO105" s="164">
        <f t="shared" si="47"/>
        <v>58662.259352142595</v>
      </c>
      <c r="AP105" s="164">
        <f t="shared" si="48"/>
        <v>993.74064785740541</v>
      </c>
      <c r="AQ105" s="248">
        <f>AN105</f>
        <v>993.74064785740541</v>
      </c>
      <c r="AR105" s="7"/>
      <c r="AS105" s="269"/>
    </row>
    <row r="106" spans="18:45" x14ac:dyDescent="0.25">
      <c r="U106" s="279" t="s">
        <v>51</v>
      </c>
      <c r="V106" s="71">
        <f>V109/4</f>
        <v>7</v>
      </c>
      <c r="W106" s="78">
        <f>$W$105+V106</f>
        <v>590</v>
      </c>
      <c r="X106" s="45">
        <v>84</v>
      </c>
      <c r="Y106" s="46">
        <v>1</v>
      </c>
      <c r="Z106" s="84">
        <v>-2.0175000000000001</v>
      </c>
      <c r="AA106" s="95">
        <v>-1</v>
      </c>
      <c r="AB106" s="88">
        <f>$AB$105+AA106</f>
        <v>3</v>
      </c>
      <c r="AC106" s="111">
        <f>AC105+$AE$106</f>
        <v>8.6499999999999986</v>
      </c>
      <c r="AD106" s="282">
        <f>AC109-AC105</f>
        <v>-2.1999999999999993</v>
      </c>
      <c r="AE106" s="282">
        <f>AD106/4</f>
        <v>-0.54999999999999982</v>
      </c>
      <c r="AF106" s="62">
        <f t="shared" si="45"/>
        <v>-0.55000000000000071</v>
      </c>
      <c r="AG106" s="114">
        <f t="shared" si="0"/>
        <v>-5.3955000000000072E-2</v>
      </c>
      <c r="AH106" s="117">
        <v>0.04</v>
      </c>
      <c r="AI106" s="151">
        <f t="shared" si="42"/>
        <v>272.71800000000002</v>
      </c>
      <c r="AJ106" s="121">
        <f t="shared" si="49"/>
        <v>38.02159808279999</v>
      </c>
      <c r="AK106" s="152">
        <f t="shared" si="44"/>
        <v>6148.9454488359379</v>
      </c>
      <c r="AL106" s="171">
        <v>-382.25000000000051</v>
      </c>
      <c r="AM106" s="169">
        <f t="shared" si="46"/>
        <v>6077.4350469187366</v>
      </c>
      <c r="AN106" s="61">
        <f t="shared" si="43"/>
        <v>-3342.5892758053096</v>
      </c>
      <c r="AO106" s="61">
        <f t="shared" si="47"/>
        <v>62998.589275805309</v>
      </c>
      <c r="AP106" s="61">
        <f t="shared" si="48"/>
        <v>-3342.5892758053096</v>
      </c>
      <c r="AQ106" s="5"/>
      <c r="AR106" s="160">
        <f>AN106</f>
        <v>-3342.5892758053096</v>
      </c>
      <c r="AS106" s="269">
        <f t="shared" si="53"/>
        <v>3342.5892758053096</v>
      </c>
    </row>
    <row r="107" spans="18:45" x14ac:dyDescent="0.25">
      <c r="R107" s="18"/>
      <c r="U107" s="280"/>
      <c r="V107" s="72">
        <f>V106*2</f>
        <v>14</v>
      </c>
      <c r="W107" s="72">
        <f t="shared" ref="W107:W108" si="60">$W$105+V107</f>
        <v>597</v>
      </c>
      <c r="X107" s="37">
        <v>85</v>
      </c>
      <c r="Y107" s="47">
        <v>2</v>
      </c>
      <c r="Z107" s="83">
        <v>-4.0350000000000001</v>
      </c>
      <c r="AA107" s="96">
        <v>-2</v>
      </c>
      <c r="AB107" s="89">
        <f t="shared" ref="AB107:AB109" si="61">$AB$105+AA107</f>
        <v>2</v>
      </c>
      <c r="AC107" s="40">
        <f t="shared" ref="AC107:AC108" si="62">AC106+$AE$106</f>
        <v>8.0999999999999979</v>
      </c>
      <c r="AD107" s="283"/>
      <c r="AE107" s="283"/>
      <c r="AF107" s="58">
        <f t="shared" si="45"/>
        <v>-0.55000000000000071</v>
      </c>
      <c r="AG107" s="116">
        <f t="shared" si="0"/>
        <v>-5.3955000000000072E-2</v>
      </c>
      <c r="AH107" s="39">
        <v>0.04</v>
      </c>
      <c r="AI107" s="41">
        <f t="shared" si="42"/>
        <v>272.71800000000002</v>
      </c>
      <c r="AJ107" s="41">
        <f t="shared" si="49"/>
        <v>33.340199140799989</v>
      </c>
      <c r="AK107" s="121">
        <f t="shared" si="44"/>
        <v>-5312.6274823791073</v>
      </c>
      <c r="AL107" s="154">
        <v>-382.25000000000051</v>
      </c>
      <c r="AM107" s="41">
        <f t="shared" si="46"/>
        <v>-5388.8192832383083</v>
      </c>
      <c r="AN107" s="42">
        <f t="shared" si="43"/>
        <v>2963.8506057810732</v>
      </c>
      <c r="AO107" s="42">
        <f t="shared" si="47"/>
        <v>56692.149394218926</v>
      </c>
      <c r="AP107" s="61">
        <f t="shared" si="48"/>
        <v>2963.8506057810732</v>
      </c>
      <c r="AQ107" s="248">
        <f>AN107</f>
        <v>2963.8506057810732</v>
      </c>
      <c r="AR107" s="7"/>
      <c r="AS107" s="269"/>
    </row>
    <row r="108" spans="18:45" x14ac:dyDescent="0.25">
      <c r="U108" s="280"/>
      <c r="V108" s="72">
        <f>V106*3</f>
        <v>21</v>
      </c>
      <c r="W108" s="74">
        <f t="shared" si="60"/>
        <v>604</v>
      </c>
      <c r="X108" s="37">
        <v>86</v>
      </c>
      <c r="Y108" s="47">
        <v>3</v>
      </c>
      <c r="Z108" s="83">
        <v>-6.0525000000000002</v>
      </c>
      <c r="AA108" s="96">
        <v>-3</v>
      </c>
      <c r="AB108" s="89">
        <f t="shared" si="61"/>
        <v>1</v>
      </c>
      <c r="AC108" s="40">
        <f t="shared" si="62"/>
        <v>7.549999999999998</v>
      </c>
      <c r="AD108" s="283"/>
      <c r="AE108" s="283"/>
      <c r="AF108" s="58">
        <f t="shared" si="45"/>
        <v>-0.54999999999999982</v>
      </c>
      <c r="AG108" s="116">
        <f t="shared" si="0"/>
        <v>-5.3954999999999989E-2</v>
      </c>
      <c r="AH108" s="39">
        <v>0.04</v>
      </c>
      <c r="AI108" s="41">
        <f t="shared" si="42"/>
        <v>272.71800000000002</v>
      </c>
      <c r="AJ108" s="41">
        <f t="shared" si="49"/>
        <v>28.966235353199988</v>
      </c>
      <c r="AK108" s="121">
        <f t="shared" si="44"/>
        <v>-1558.8883404462576</v>
      </c>
      <c r="AL108" s="154">
        <v>-382.24999999999989</v>
      </c>
      <c r="AM108" s="152">
        <f t="shared" si="46"/>
        <v>-1639.4541050930575</v>
      </c>
      <c r="AN108" s="42">
        <f t="shared" si="43"/>
        <v>901.69975780118136</v>
      </c>
      <c r="AO108" s="42">
        <f t="shared" si="47"/>
        <v>58754.30024219882</v>
      </c>
      <c r="AP108" s="61">
        <f t="shared" si="48"/>
        <v>901.69975780118136</v>
      </c>
      <c r="AQ108" s="248">
        <f>AN108</f>
        <v>901.69975780118136</v>
      </c>
      <c r="AR108" s="7"/>
      <c r="AS108" s="269"/>
    </row>
    <row r="109" spans="18:45" ht="15.75" thickBot="1" x14ac:dyDescent="0.3">
      <c r="U109" s="281"/>
      <c r="V109" s="75">
        <v>28</v>
      </c>
      <c r="W109" s="48">
        <f>W105+V109</f>
        <v>611</v>
      </c>
      <c r="X109" s="49">
        <v>87</v>
      </c>
      <c r="Y109" s="50">
        <v>4</v>
      </c>
      <c r="Z109" s="81">
        <v>-8.07</v>
      </c>
      <c r="AA109" s="94">
        <v>-4</v>
      </c>
      <c r="AB109" s="93">
        <f t="shared" si="61"/>
        <v>0</v>
      </c>
      <c r="AC109" s="102">
        <f>V109/Y109</f>
        <v>7</v>
      </c>
      <c r="AD109" s="284"/>
      <c r="AE109" s="284"/>
      <c r="AF109" s="64">
        <f t="shared" si="45"/>
        <v>-0.54999999999999805</v>
      </c>
      <c r="AG109" s="115">
        <f t="shared" si="0"/>
        <v>-5.3954999999999809E-2</v>
      </c>
      <c r="AH109" s="118">
        <v>0.04</v>
      </c>
      <c r="AI109" s="66">
        <f t="shared" si="42"/>
        <v>272.71800000000002</v>
      </c>
      <c r="AJ109" s="119">
        <f t="shared" si="49"/>
        <v>24.899706720000001</v>
      </c>
      <c r="AK109" s="66">
        <f t="shared" si="44"/>
        <v>6659.4914460174541</v>
      </c>
      <c r="AL109" s="66">
        <v>-382.24999999999864</v>
      </c>
      <c r="AM109" s="66">
        <f t="shared" si="46"/>
        <v>6574.8591527374556</v>
      </c>
      <c r="AN109" s="164">
        <f t="shared" si="43"/>
        <v>-3616.1725340055877</v>
      </c>
      <c r="AO109" s="164">
        <f t="shared" si="47"/>
        <v>63272.172534005585</v>
      </c>
      <c r="AP109" s="164">
        <f t="shared" si="48"/>
        <v>-3616.1725340055877</v>
      </c>
      <c r="AQ109" s="5"/>
      <c r="AR109" s="160">
        <f>AN109</f>
        <v>-3616.1725340055877</v>
      </c>
      <c r="AS109" s="269">
        <f t="shared" si="53"/>
        <v>3616.1725340055877</v>
      </c>
    </row>
    <row r="110" spans="18:45" x14ac:dyDescent="0.25">
      <c r="U110" s="279" t="s">
        <v>52</v>
      </c>
      <c r="V110" s="71">
        <f>V116/7</f>
        <v>11.428571428571429</v>
      </c>
      <c r="W110" s="78">
        <f>$W$109+V110</f>
        <v>622.42857142857144</v>
      </c>
      <c r="X110" s="45">
        <v>88</v>
      </c>
      <c r="Y110" s="46">
        <v>1</v>
      </c>
      <c r="Z110" s="84">
        <v>-6.9171428571428564</v>
      </c>
      <c r="AA110" s="95">
        <f>AA115*6</f>
        <v>-3.4285714285714284</v>
      </c>
      <c r="AB110" s="91">
        <f>$AB$109+AA110</f>
        <v>-3.4285714285714284</v>
      </c>
      <c r="AC110" s="111">
        <f>AC109+$AE$110</f>
        <v>7.6326530612244898</v>
      </c>
      <c r="AD110" s="282">
        <f>AC116-AC109</f>
        <v>4.4285714285714288</v>
      </c>
      <c r="AE110" s="282">
        <f>AD110/7</f>
        <v>0.63265306122448983</v>
      </c>
      <c r="AF110" s="58">
        <f t="shared" si="45"/>
        <v>0.63265306122448983</v>
      </c>
      <c r="AG110" s="114">
        <f t="shared" si="0"/>
        <v>6.206326530612246E-2</v>
      </c>
      <c r="AH110" s="117">
        <v>0.04</v>
      </c>
      <c r="AI110" s="60">
        <f t="shared" si="42"/>
        <v>272.71800000000002</v>
      </c>
      <c r="AJ110" s="121">
        <f t="shared" si="49"/>
        <v>29.60391824126614</v>
      </c>
      <c r="AK110" s="60">
        <f t="shared" si="44"/>
        <v>4038.530493371793</v>
      </c>
      <c r="AL110" s="171">
        <v>439.69387755102042</v>
      </c>
      <c r="AM110" s="151">
        <f t="shared" si="46"/>
        <v>4780.54628916408</v>
      </c>
      <c r="AN110" s="61">
        <f t="shared" si="43"/>
        <v>3024.4272441650305</v>
      </c>
      <c r="AO110" s="61">
        <f t="shared" si="47"/>
        <v>56631.572755834968</v>
      </c>
      <c r="AP110" s="61">
        <f t="shared" si="48"/>
        <v>3024.4272441650305</v>
      </c>
      <c r="AQ110" s="248">
        <f>AN110</f>
        <v>3024.4272441650305</v>
      </c>
      <c r="AR110" s="7"/>
      <c r="AS110" s="269"/>
    </row>
    <row r="111" spans="18:45" x14ac:dyDescent="0.25">
      <c r="U111" s="280"/>
      <c r="V111" s="74">
        <f>V110*2</f>
        <v>22.857142857142858</v>
      </c>
      <c r="W111" s="76">
        <f t="shared" ref="W111:W115" si="63">$W$109+V111</f>
        <v>633.85714285714289</v>
      </c>
      <c r="X111" s="44">
        <v>89</v>
      </c>
      <c r="Y111" s="51">
        <v>2</v>
      </c>
      <c r="Z111" s="83">
        <v>-5.7642857142857142</v>
      </c>
      <c r="AA111" s="96">
        <f>AA115*5</f>
        <v>-2.8571428571428568</v>
      </c>
      <c r="AB111" s="89">
        <f t="shared" ref="AB111:AB116" si="64">$AB$109+AA111</f>
        <v>-2.8571428571428568</v>
      </c>
      <c r="AC111" s="40">
        <f t="shared" ref="AC111:AC115" si="65">AC110+$AE$110</f>
        <v>8.2653061224489797</v>
      </c>
      <c r="AD111" s="283"/>
      <c r="AE111" s="283"/>
      <c r="AF111" s="58">
        <f t="shared" si="45"/>
        <v>0.63265306122448983</v>
      </c>
      <c r="AG111" s="116">
        <f t="shared" si="0"/>
        <v>6.206326530612246E-2</v>
      </c>
      <c r="AH111" s="39">
        <v>0.04</v>
      </c>
      <c r="AI111" s="41">
        <f t="shared" si="42"/>
        <v>272.71800000000002</v>
      </c>
      <c r="AJ111" s="41">
        <f t="shared" si="49"/>
        <v>34.714909559350275</v>
      </c>
      <c r="AK111" s="168">
        <f t="shared" si="44"/>
        <v>-3381.1910547497014</v>
      </c>
      <c r="AL111" s="168">
        <v>439.69387755102042</v>
      </c>
      <c r="AM111" s="152">
        <f t="shared" si="46"/>
        <v>-2634.0642676393309</v>
      </c>
      <c r="AN111" s="42">
        <f t="shared" si="43"/>
        <v>-1666.4488223840665</v>
      </c>
      <c r="AO111" s="42">
        <f t="shared" si="47"/>
        <v>61322.448822384067</v>
      </c>
      <c r="AP111" s="61">
        <f t="shared" si="48"/>
        <v>-1666.4488223840665</v>
      </c>
      <c r="AQ111" s="5"/>
      <c r="AR111" s="160">
        <f>AN111</f>
        <v>-1666.4488223840665</v>
      </c>
      <c r="AS111" s="269">
        <f t="shared" si="53"/>
        <v>1666.4488223840665</v>
      </c>
    </row>
    <row r="112" spans="18:45" x14ac:dyDescent="0.25">
      <c r="U112" s="280"/>
      <c r="V112" s="72">
        <f>V110*3</f>
        <v>34.285714285714285</v>
      </c>
      <c r="W112" s="72">
        <f t="shared" si="63"/>
        <v>645.28571428571433</v>
      </c>
      <c r="X112" s="37">
        <v>90</v>
      </c>
      <c r="Y112" s="47">
        <v>3</v>
      </c>
      <c r="Z112" s="83">
        <v>-4.6114285714285712</v>
      </c>
      <c r="AA112" s="96">
        <f>AA115*4</f>
        <v>-2.2857142857142856</v>
      </c>
      <c r="AB112" s="89">
        <f t="shared" si="64"/>
        <v>-2.2857142857142856</v>
      </c>
      <c r="AC112" s="40">
        <f t="shared" si="65"/>
        <v>8.8979591836734695</v>
      </c>
      <c r="AD112" s="283"/>
      <c r="AE112" s="283"/>
      <c r="AF112" s="58">
        <f t="shared" si="45"/>
        <v>0.63265306122448983</v>
      </c>
      <c r="AG112" s="116">
        <f t="shared" si="0"/>
        <v>6.206326530612246E-2</v>
      </c>
      <c r="AH112" s="39">
        <v>0.04</v>
      </c>
      <c r="AI112" s="41">
        <f t="shared" si="42"/>
        <v>272.71800000000002</v>
      </c>
      <c r="AJ112" s="41">
        <f t="shared" si="49"/>
        <v>40.2326806742524</v>
      </c>
      <c r="AK112" s="168">
        <f t="shared" si="44"/>
        <v>-6783.2318088451875</v>
      </c>
      <c r="AL112" s="168">
        <v>439.69387755102042</v>
      </c>
      <c r="AM112" s="41">
        <f t="shared" si="46"/>
        <v>-6030.5872506199148</v>
      </c>
      <c r="AN112" s="42">
        <f t="shared" si="43"/>
        <v>-3815.2694850860689</v>
      </c>
      <c r="AO112" s="42">
        <f t="shared" si="47"/>
        <v>63471.269485086072</v>
      </c>
      <c r="AP112" s="61">
        <f t="shared" si="48"/>
        <v>-3815.2694850860689</v>
      </c>
      <c r="AQ112" s="5"/>
      <c r="AR112" s="160">
        <f>AN112</f>
        <v>-3815.2694850860689</v>
      </c>
      <c r="AS112" s="269">
        <f t="shared" si="53"/>
        <v>3815.2694850860689</v>
      </c>
    </row>
    <row r="113" spans="21:45" x14ac:dyDescent="0.25">
      <c r="U113" s="280"/>
      <c r="V113" s="72">
        <f>V110*4</f>
        <v>45.714285714285715</v>
      </c>
      <c r="W113" s="74">
        <f t="shared" si="63"/>
        <v>656.71428571428567</v>
      </c>
      <c r="X113" s="37">
        <v>91</v>
      </c>
      <c r="Y113" s="47">
        <v>4</v>
      </c>
      <c r="Z113" s="83">
        <v>-3.4585714285714282</v>
      </c>
      <c r="AA113" s="96">
        <f>AA115*3</f>
        <v>-1.7142857142857142</v>
      </c>
      <c r="AB113" s="89">
        <f t="shared" si="64"/>
        <v>-1.7142857142857142</v>
      </c>
      <c r="AC113" s="40">
        <f t="shared" si="65"/>
        <v>9.5306122448979593</v>
      </c>
      <c r="AD113" s="283"/>
      <c r="AE113" s="283"/>
      <c r="AF113" s="58">
        <f t="shared" si="45"/>
        <v>0.63265306122448983</v>
      </c>
      <c r="AG113" s="116">
        <f t="shared" si="0"/>
        <v>6.206326530612246E-2</v>
      </c>
      <c r="AH113" s="39">
        <v>0.04</v>
      </c>
      <c r="AI113" s="41">
        <f t="shared" si="42"/>
        <v>272.71800000000002</v>
      </c>
      <c r="AJ113" s="41">
        <f t="shared" si="49"/>
        <v>46.157231585972518</v>
      </c>
      <c r="AK113" s="168">
        <f t="shared" si="44"/>
        <v>-2125.1364397421917</v>
      </c>
      <c r="AL113" s="168">
        <v>439.69387755102042</v>
      </c>
      <c r="AM113" s="41">
        <f t="shared" si="46"/>
        <v>-1366.5673306051988</v>
      </c>
      <c r="AN113" s="42">
        <f t="shared" si="43"/>
        <v>-864.56300507675849</v>
      </c>
      <c r="AO113" s="42">
        <f t="shared" si="47"/>
        <v>60520.563005076758</v>
      </c>
      <c r="AP113" s="61">
        <f t="shared" si="48"/>
        <v>-864.56300507675849</v>
      </c>
      <c r="AQ113" s="5"/>
      <c r="AR113" s="160">
        <f>AN113</f>
        <v>-864.56300507675849</v>
      </c>
      <c r="AS113" s="269">
        <f t="shared" si="53"/>
        <v>864.56300507675849</v>
      </c>
    </row>
    <row r="114" spans="21:45" x14ac:dyDescent="0.25">
      <c r="U114" s="280"/>
      <c r="V114" s="72">
        <f>V110*5</f>
        <v>57.142857142857146</v>
      </c>
      <c r="W114" s="77">
        <f t="shared" si="63"/>
        <v>668.14285714285711</v>
      </c>
      <c r="X114" s="37">
        <v>92</v>
      </c>
      <c r="Y114" s="47">
        <v>5</v>
      </c>
      <c r="Z114" s="83">
        <v>-2.3057142857142856</v>
      </c>
      <c r="AA114" s="96">
        <f>AA115*2</f>
        <v>-1.1428571428571428</v>
      </c>
      <c r="AB114" s="89">
        <f t="shared" si="64"/>
        <v>-1.1428571428571428</v>
      </c>
      <c r="AC114" s="40">
        <f t="shared" si="65"/>
        <v>10.163265306122449</v>
      </c>
      <c r="AD114" s="283"/>
      <c r="AE114" s="283"/>
      <c r="AF114" s="58">
        <f t="shared" si="45"/>
        <v>0.63265306122448983</v>
      </c>
      <c r="AG114" s="116">
        <f t="shared" si="0"/>
        <v>6.206326530612246E-2</v>
      </c>
      <c r="AH114" s="39">
        <v>0.04</v>
      </c>
      <c r="AI114" s="41">
        <f t="shared" si="42"/>
        <v>272.71800000000002</v>
      </c>
      <c r="AJ114" s="41">
        <f t="shared" si="49"/>
        <v>52.488562294510622</v>
      </c>
      <c r="AK114" s="168">
        <f t="shared" si="44"/>
        <v>5058.1400623947275</v>
      </c>
      <c r="AL114" s="168">
        <v>439.69387755102042</v>
      </c>
      <c r="AM114" s="41">
        <f t="shared" si="46"/>
        <v>5823.0405022402592</v>
      </c>
      <c r="AN114" s="42">
        <f t="shared" si="43"/>
        <v>3683.9643993764907</v>
      </c>
      <c r="AO114" s="42">
        <f t="shared" si="47"/>
        <v>55972.035600623509</v>
      </c>
      <c r="AP114" s="61">
        <f t="shared" si="48"/>
        <v>3683.9643993764907</v>
      </c>
      <c r="AQ114" s="248">
        <f>AN114</f>
        <v>3683.9643993764907</v>
      </c>
      <c r="AR114" s="7"/>
      <c r="AS114" s="269"/>
    </row>
    <row r="115" spans="21:45" x14ac:dyDescent="0.25">
      <c r="U115" s="280"/>
      <c r="V115" s="72">
        <f>V110*6</f>
        <v>68.571428571428569</v>
      </c>
      <c r="W115" s="72">
        <f t="shared" si="63"/>
        <v>679.57142857142856</v>
      </c>
      <c r="X115" s="37">
        <v>93</v>
      </c>
      <c r="Y115" s="47">
        <v>6</v>
      </c>
      <c r="Z115" s="83">
        <v>-1.1528571428571428</v>
      </c>
      <c r="AA115" s="96">
        <f>AA109/7</f>
        <v>-0.5714285714285714</v>
      </c>
      <c r="AB115" s="89">
        <f t="shared" si="64"/>
        <v>-0.5714285714285714</v>
      </c>
      <c r="AC115" s="40">
        <f t="shared" si="65"/>
        <v>10.795918367346939</v>
      </c>
      <c r="AD115" s="283"/>
      <c r="AE115" s="283"/>
      <c r="AF115" s="58">
        <f t="shared" si="45"/>
        <v>0.63265306122448983</v>
      </c>
      <c r="AG115" s="116">
        <f t="shared" si="0"/>
        <v>6.206326530612246E-2</v>
      </c>
      <c r="AH115" s="39">
        <v>0.04</v>
      </c>
      <c r="AI115" s="41">
        <f t="shared" si="42"/>
        <v>272.71800000000002</v>
      </c>
      <c r="AJ115" s="41">
        <f t="shared" si="49"/>
        <v>59.226672799866733</v>
      </c>
      <c r="AK115" s="168">
        <f t="shared" si="44"/>
        <v>6231.110771953121</v>
      </c>
      <c r="AL115" s="168">
        <v>439.69387755102042</v>
      </c>
      <c r="AM115" s="152">
        <f t="shared" si="46"/>
        <v>7002.7493223040083</v>
      </c>
      <c r="AN115" s="42">
        <f t="shared" si="43"/>
        <v>4430.3107957433522</v>
      </c>
      <c r="AO115" s="42">
        <f t="shared" si="47"/>
        <v>55225.689204256647</v>
      </c>
      <c r="AP115" s="61">
        <f t="shared" si="48"/>
        <v>4430.3107957433522</v>
      </c>
      <c r="AQ115" s="248">
        <f>AN115</f>
        <v>4430.3107957433522</v>
      </c>
      <c r="AR115" s="7"/>
      <c r="AS115" s="269"/>
    </row>
    <row r="116" spans="21:45" ht="15.75" thickBot="1" x14ac:dyDescent="0.3">
      <c r="U116" s="281"/>
      <c r="V116" s="75">
        <v>80</v>
      </c>
      <c r="W116" s="48">
        <f>W109+V116</f>
        <v>691</v>
      </c>
      <c r="X116" s="49">
        <f>X109+Y116</f>
        <v>94</v>
      </c>
      <c r="Y116" s="50">
        <v>7</v>
      </c>
      <c r="Z116" s="81">
        <v>0</v>
      </c>
      <c r="AA116" s="94">
        <v>0</v>
      </c>
      <c r="AB116" s="93">
        <f t="shared" si="64"/>
        <v>0</v>
      </c>
      <c r="AC116" s="102">
        <f>V116/Y116</f>
        <v>11.428571428571429</v>
      </c>
      <c r="AD116" s="284"/>
      <c r="AE116" s="284"/>
      <c r="AF116" s="64">
        <f t="shared" si="45"/>
        <v>0.63265306122448983</v>
      </c>
      <c r="AG116" s="115">
        <f t="shared" si="0"/>
        <v>6.206326530612246E-2</v>
      </c>
      <c r="AH116" s="118">
        <v>0.04</v>
      </c>
      <c r="AI116" s="121">
        <f t="shared" si="42"/>
        <v>272.71800000000002</v>
      </c>
      <c r="AJ116" s="119">
        <f t="shared" si="49"/>
        <v>66.371563102040824</v>
      </c>
      <c r="AK116" s="170">
        <f t="shared" si="44"/>
        <v>0</v>
      </c>
      <c r="AL116" s="170">
        <v>439.69387755102042</v>
      </c>
      <c r="AM116" s="66">
        <f t="shared" si="46"/>
        <v>778.78344065306123</v>
      </c>
      <c r="AN116" s="164">
        <f t="shared" si="43"/>
        <v>492.69972776010002</v>
      </c>
      <c r="AO116" s="164">
        <f t="shared" si="47"/>
        <v>59163.300272239903</v>
      </c>
      <c r="AP116" s="164">
        <f t="shared" si="48"/>
        <v>492.69972776010002</v>
      </c>
      <c r="AQ116" s="248">
        <f>AN116</f>
        <v>492.69972776010002</v>
      </c>
      <c r="AR116" s="7"/>
      <c r="AS116" s="269"/>
    </row>
    <row r="117" spans="21:45" x14ac:dyDescent="0.25">
      <c r="U117" s="279" t="s">
        <v>53</v>
      </c>
      <c r="V117" s="71">
        <f>V120/4</f>
        <v>6</v>
      </c>
      <c r="W117" s="78">
        <f>$W$116+V117</f>
        <v>697</v>
      </c>
      <c r="X117" s="45">
        <v>95</v>
      </c>
      <c r="Y117" s="46">
        <v>1</v>
      </c>
      <c r="Z117" s="84">
        <v>1.7324999999999999</v>
      </c>
      <c r="AA117" s="95">
        <f>AA120/4</f>
        <v>0.75</v>
      </c>
      <c r="AB117" s="91">
        <f>$AB$116+AA117</f>
        <v>0.75</v>
      </c>
      <c r="AC117" s="111">
        <f>AC116+$AE$117</f>
        <v>10.071428571428571</v>
      </c>
      <c r="AD117" s="282">
        <f>AC120-AC116</f>
        <v>-5.4285714285714288</v>
      </c>
      <c r="AE117" s="282">
        <f>AD117/4</f>
        <v>-1.3571428571428572</v>
      </c>
      <c r="AF117" s="58">
        <f t="shared" si="45"/>
        <v>-1.3571428571428577</v>
      </c>
      <c r="AG117" s="114">
        <f t="shared" si="0"/>
        <v>-0.13313571428571436</v>
      </c>
      <c r="AH117" s="117">
        <v>0.04</v>
      </c>
      <c r="AI117" s="151">
        <f t="shared" si="42"/>
        <v>272.71800000000002</v>
      </c>
      <c r="AJ117" s="121">
        <f t="shared" si="49"/>
        <v>51.544259610612251</v>
      </c>
      <c r="AK117" s="172">
        <f t="shared" si="44"/>
        <v>-6729.0059194252508</v>
      </c>
      <c r="AL117" s="172">
        <v>-943.21428571428612</v>
      </c>
      <c r="AM117" s="169">
        <f t="shared" si="46"/>
        <v>-7347.9579455289249</v>
      </c>
      <c r="AN117" s="61">
        <f t="shared" si="43"/>
        <v>9972.2286403606868</v>
      </c>
      <c r="AO117" s="61">
        <f t="shared" si="47"/>
        <v>49683.771359639315</v>
      </c>
      <c r="AP117" s="61">
        <f t="shared" si="48"/>
        <v>9972.2286403606868</v>
      </c>
      <c r="AQ117" s="248">
        <f>AN117</f>
        <v>9972.2286403606868</v>
      </c>
      <c r="AR117" s="7"/>
      <c r="AS117" s="269"/>
    </row>
    <row r="118" spans="21:45" x14ac:dyDescent="0.25">
      <c r="U118" s="280"/>
      <c r="V118" s="72">
        <f>V117*2</f>
        <v>12</v>
      </c>
      <c r="W118" s="72">
        <f t="shared" ref="W118:W119" si="66">$W$116+V118</f>
        <v>703</v>
      </c>
      <c r="X118" s="37">
        <v>96</v>
      </c>
      <c r="Y118" s="47">
        <v>2</v>
      </c>
      <c r="Z118" s="83">
        <v>3.4649999999999999</v>
      </c>
      <c r="AA118" s="96">
        <f>AA117*2</f>
        <v>1.5</v>
      </c>
      <c r="AB118" s="89">
        <f t="shared" ref="AB118:AB120" si="67">$AB$116+AA118</f>
        <v>1.5</v>
      </c>
      <c r="AC118" s="40">
        <f t="shared" ref="AC118:AC119" si="68">AC117+$AE$117</f>
        <v>8.7142857142857135</v>
      </c>
      <c r="AD118" s="283"/>
      <c r="AE118" s="283"/>
      <c r="AF118" s="58">
        <f t="shared" si="45"/>
        <v>-1.3571428571428577</v>
      </c>
      <c r="AG118" s="116">
        <f t="shared" si="0"/>
        <v>-0.13313571428571436</v>
      </c>
      <c r="AH118" s="39">
        <v>0.04</v>
      </c>
      <c r="AI118" s="41">
        <f t="shared" si="42"/>
        <v>272.71800000000002</v>
      </c>
      <c r="AJ118" s="41">
        <f t="shared" si="49"/>
        <v>38.588841609795914</v>
      </c>
      <c r="AK118" s="168">
        <f t="shared" si="44"/>
        <v>2166.7383887983037</v>
      </c>
      <c r="AL118" s="168">
        <v>-943.21428571428612</v>
      </c>
      <c r="AM118" s="41">
        <f t="shared" si="46"/>
        <v>1534.8309446938133</v>
      </c>
      <c r="AN118" s="42">
        <f t="shared" ref="AN118:AN149" si="69">AM118*AF118</f>
        <v>-2082.9848535130332</v>
      </c>
      <c r="AO118" s="42">
        <f t="shared" si="47"/>
        <v>61738.98485351303</v>
      </c>
      <c r="AP118" s="61">
        <f t="shared" si="48"/>
        <v>-2082.9848535130332</v>
      </c>
      <c r="AQ118" s="5"/>
      <c r="AR118" s="160">
        <f>AN118</f>
        <v>-2082.9848535130332</v>
      </c>
      <c r="AS118" s="269">
        <f t="shared" si="53"/>
        <v>2082.9848535130332</v>
      </c>
    </row>
    <row r="119" spans="21:45" x14ac:dyDescent="0.25">
      <c r="U119" s="280"/>
      <c r="V119" s="72">
        <f>V117*3</f>
        <v>18</v>
      </c>
      <c r="W119" s="72">
        <f t="shared" si="66"/>
        <v>709</v>
      </c>
      <c r="X119" s="37">
        <v>97</v>
      </c>
      <c r="Y119" s="47">
        <v>3</v>
      </c>
      <c r="Z119" s="83">
        <v>5.1974999999999998</v>
      </c>
      <c r="AA119" s="96">
        <f>AA117*3</f>
        <v>2.25</v>
      </c>
      <c r="AB119" s="89">
        <f t="shared" si="67"/>
        <v>2.25</v>
      </c>
      <c r="AC119" s="40">
        <f t="shared" si="68"/>
        <v>7.3571428571428559</v>
      </c>
      <c r="AD119" s="283"/>
      <c r="AE119" s="283"/>
      <c r="AF119" s="58">
        <f t="shared" si="45"/>
        <v>-1.3571428571428577</v>
      </c>
      <c r="AG119" s="116">
        <f t="shared" si="0"/>
        <v>-0.13313571428571436</v>
      </c>
      <c r="AH119" s="39">
        <v>0.04</v>
      </c>
      <c r="AI119" s="41">
        <f t="shared" si="42"/>
        <v>272.71800000000002</v>
      </c>
      <c r="AJ119" s="41">
        <f t="shared" si="49"/>
        <v>27.505309099591827</v>
      </c>
      <c r="AK119" s="168">
        <f t="shared" ref="AK119:AK150" si="70">$C$6*9.81*-SIN(Z119)</f>
        <v>6031.3166467884894</v>
      </c>
      <c r="AL119" s="41">
        <v>-943.21428571428612</v>
      </c>
      <c r="AM119" s="152">
        <f t="shared" si="46"/>
        <v>5388.3256701737946</v>
      </c>
      <c r="AN119" s="42">
        <f t="shared" si="69"/>
        <v>-7312.727695235867</v>
      </c>
      <c r="AO119" s="42">
        <f t="shared" si="47"/>
        <v>66968.727695235866</v>
      </c>
      <c r="AP119" s="61">
        <f t="shared" si="48"/>
        <v>-7312.727695235867</v>
      </c>
      <c r="AQ119" s="5"/>
      <c r="AR119" s="160">
        <f>AN119</f>
        <v>-7312.727695235867</v>
      </c>
      <c r="AS119" s="269">
        <f t="shared" si="53"/>
        <v>7312.727695235867</v>
      </c>
    </row>
    <row r="120" spans="21:45" ht="15.75" thickBot="1" x14ac:dyDescent="0.3">
      <c r="U120" s="281"/>
      <c r="V120" s="75">
        <v>24</v>
      </c>
      <c r="W120" s="48">
        <f>W116+V120</f>
        <v>715</v>
      </c>
      <c r="X120" s="49">
        <f>X116+Y120</f>
        <v>98</v>
      </c>
      <c r="Y120" s="50">
        <v>4</v>
      </c>
      <c r="Z120" s="81">
        <v>6.93</v>
      </c>
      <c r="AA120" s="94">
        <v>3</v>
      </c>
      <c r="AB120" s="90">
        <f t="shared" si="67"/>
        <v>3</v>
      </c>
      <c r="AC120" s="102">
        <f>V120/Y120</f>
        <v>6</v>
      </c>
      <c r="AD120" s="284"/>
      <c r="AE120" s="284"/>
      <c r="AF120" s="112">
        <f t="shared" si="45"/>
        <v>-1.3571428571428559</v>
      </c>
      <c r="AG120" s="115">
        <f t="shared" si="0"/>
        <v>-0.13313571428571416</v>
      </c>
      <c r="AH120" s="118">
        <v>0.04</v>
      </c>
      <c r="AI120" s="121">
        <f t="shared" si="42"/>
        <v>272.71800000000002</v>
      </c>
      <c r="AJ120" s="119">
        <f t="shared" si="49"/>
        <v>18.293662080000001</v>
      </c>
      <c r="AK120" s="66">
        <f t="shared" si="70"/>
        <v>-4108.820989122587</v>
      </c>
      <c r="AL120" s="173">
        <v>-943.21428571428487</v>
      </c>
      <c r="AM120" s="66">
        <f t="shared" si="46"/>
        <v>-4761.0236127568714</v>
      </c>
      <c r="AN120" s="164">
        <f t="shared" si="69"/>
        <v>6461.389188741462</v>
      </c>
      <c r="AO120" s="164">
        <f t="shared" si="47"/>
        <v>53194.610811258535</v>
      </c>
      <c r="AP120" s="164">
        <f t="shared" si="48"/>
        <v>6461.389188741462</v>
      </c>
      <c r="AQ120" s="248">
        <f>AN120</f>
        <v>6461.389188741462</v>
      </c>
      <c r="AR120" s="7"/>
      <c r="AS120" s="269"/>
    </row>
    <row r="121" spans="21:45" x14ac:dyDescent="0.25">
      <c r="U121" s="279" t="s">
        <v>54</v>
      </c>
      <c r="V121" s="71">
        <f>V126/6</f>
        <v>8.1666666666666661</v>
      </c>
      <c r="W121" s="71">
        <f>$W$120+V121</f>
        <v>723.16666666666663</v>
      </c>
      <c r="X121" s="45">
        <v>99</v>
      </c>
      <c r="Y121" s="46">
        <v>1</v>
      </c>
      <c r="Z121" s="84">
        <v>5.7750000000000004</v>
      </c>
      <c r="AA121" s="95">
        <f>AA125*5</f>
        <v>2.5</v>
      </c>
      <c r="AB121" s="88">
        <f>$AB$120+AA121</f>
        <v>5.5</v>
      </c>
      <c r="AC121" s="111">
        <f>AC120+$AE$121</f>
        <v>6.3611111111111107</v>
      </c>
      <c r="AD121" s="282">
        <f>AC126-AC120</f>
        <v>2.1666666666666661</v>
      </c>
      <c r="AE121" s="282">
        <f>AD121/6</f>
        <v>0.36111111111111099</v>
      </c>
      <c r="AF121" s="62">
        <f t="shared" si="45"/>
        <v>0.36111111111111072</v>
      </c>
      <c r="AG121" s="114">
        <f t="shared" si="0"/>
        <v>3.5424999999999963E-2</v>
      </c>
      <c r="AH121" s="117">
        <v>0.04</v>
      </c>
      <c r="AI121" s="151">
        <f t="shared" si="42"/>
        <v>272.71800000000002</v>
      </c>
      <c r="AJ121" s="121">
        <f t="shared" si="49"/>
        <v>20.561941296666664</v>
      </c>
      <c r="AK121" s="152">
        <f t="shared" si="70"/>
        <v>3317.5645677167627</v>
      </c>
      <c r="AL121" s="171">
        <v>250.97222222222194</v>
      </c>
      <c r="AM121" s="169">
        <f t="shared" si="46"/>
        <v>3861.8167312356509</v>
      </c>
      <c r="AN121" s="61">
        <f t="shared" si="69"/>
        <v>1394.5449307239835</v>
      </c>
      <c r="AO121" s="61">
        <f t="shared" si="47"/>
        <v>58261.455069276017</v>
      </c>
      <c r="AP121" s="61">
        <f t="shared" si="48"/>
        <v>1394.5449307239835</v>
      </c>
      <c r="AQ121" s="248">
        <f>AN121</f>
        <v>1394.5449307239835</v>
      </c>
      <c r="AR121" s="7"/>
      <c r="AS121" s="269"/>
    </row>
    <row r="122" spans="21:45" x14ac:dyDescent="0.25">
      <c r="U122" s="280"/>
      <c r="V122" s="72">
        <f>V121*2</f>
        <v>16.333333333333332</v>
      </c>
      <c r="W122" s="77">
        <f t="shared" ref="W122:W125" si="71">$W$120+V122</f>
        <v>731.33333333333337</v>
      </c>
      <c r="X122" s="37">
        <v>100</v>
      </c>
      <c r="Y122" s="47">
        <v>2</v>
      </c>
      <c r="Z122" s="83">
        <v>4.62</v>
      </c>
      <c r="AA122" s="96">
        <f>AA125*4</f>
        <v>2</v>
      </c>
      <c r="AB122" s="89">
        <f t="shared" ref="AB122:AB126" si="72">$AB$120+AA122</f>
        <v>5</v>
      </c>
      <c r="AC122" s="40">
        <f t="shared" ref="AC122:AC125" si="73">AC121+$AE$121</f>
        <v>6.7222222222222214</v>
      </c>
      <c r="AD122" s="283"/>
      <c r="AE122" s="283"/>
      <c r="AF122" s="58">
        <f t="shared" si="45"/>
        <v>0.36111111111111072</v>
      </c>
      <c r="AG122" s="116">
        <f t="shared" si="0"/>
        <v>3.5424999999999963E-2</v>
      </c>
      <c r="AH122" s="39">
        <v>0.04</v>
      </c>
      <c r="AI122" s="41">
        <f t="shared" si="42"/>
        <v>272.71800000000002</v>
      </c>
      <c r="AJ122" s="41">
        <f t="shared" si="49"/>
        <v>22.962749186666663</v>
      </c>
      <c r="AK122" s="121">
        <f t="shared" si="70"/>
        <v>6788.8726231797364</v>
      </c>
      <c r="AL122" s="154">
        <v>250.97222222222194</v>
      </c>
      <c r="AM122" s="41">
        <f t="shared" si="46"/>
        <v>7335.5255945886247</v>
      </c>
      <c r="AN122" s="42">
        <f t="shared" si="69"/>
        <v>2648.9397980458893</v>
      </c>
      <c r="AO122" s="42">
        <f t="shared" si="47"/>
        <v>57007.060201954111</v>
      </c>
      <c r="AP122" s="61">
        <f t="shared" si="48"/>
        <v>2648.9397980458893</v>
      </c>
      <c r="AQ122" s="248">
        <f>AN122</f>
        <v>2648.9397980458893</v>
      </c>
      <c r="AR122" s="7"/>
      <c r="AS122" s="269"/>
    </row>
    <row r="123" spans="21:45" x14ac:dyDescent="0.25">
      <c r="U123" s="280"/>
      <c r="V123" s="72">
        <f>V121*3</f>
        <v>24.5</v>
      </c>
      <c r="W123" s="76">
        <f t="shared" si="71"/>
        <v>739.5</v>
      </c>
      <c r="X123" s="37">
        <v>101</v>
      </c>
      <c r="Y123" s="47">
        <v>3</v>
      </c>
      <c r="Z123" s="83">
        <v>3.4649999999999999</v>
      </c>
      <c r="AA123" s="96">
        <f>AA125*3</f>
        <v>1.5</v>
      </c>
      <c r="AB123" s="89">
        <f t="shared" si="72"/>
        <v>4.5</v>
      </c>
      <c r="AC123" s="40">
        <f t="shared" si="73"/>
        <v>7.0833333333333321</v>
      </c>
      <c r="AD123" s="283"/>
      <c r="AE123" s="283"/>
      <c r="AF123" s="58">
        <f t="shared" si="45"/>
        <v>0.36111111111111072</v>
      </c>
      <c r="AG123" s="116">
        <f t="shared" si="0"/>
        <v>3.5424999999999963E-2</v>
      </c>
      <c r="AH123" s="39">
        <v>0.04</v>
      </c>
      <c r="AI123" s="41">
        <f t="shared" si="42"/>
        <v>272.71800000000002</v>
      </c>
      <c r="AJ123" s="41">
        <f t="shared" si="49"/>
        <v>25.496085749999992</v>
      </c>
      <c r="AK123" s="121">
        <f t="shared" si="70"/>
        <v>2166.7383887983037</v>
      </c>
      <c r="AL123" s="154">
        <v>250.97222222222194</v>
      </c>
      <c r="AM123" s="41">
        <f t="shared" si="46"/>
        <v>2715.9246967705258</v>
      </c>
      <c r="AN123" s="42">
        <f t="shared" si="69"/>
        <v>980.750584944911</v>
      </c>
      <c r="AO123" s="42">
        <f t="shared" si="47"/>
        <v>58675.249415055092</v>
      </c>
      <c r="AP123" s="61">
        <f t="shared" si="48"/>
        <v>980.750584944911</v>
      </c>
      <c r="AQ123" s="248">
        <f>AN123</f>
        <v>980.750584944911</v>
      </c>
      <c r="AR123" s="7"/>
      <c r="AS123" s="269"/>
    </row>
    <row r="124" spans="21:45" x14ac:dyDescent="0.25">
      <c r="U124" s="280"/>
      <c r="V124" s="72">
        <f>V121*4</f>
        <v>32.666666666666664</v>
      </c>
      <c r="W124" s="76">
        <f t="shared" si="71"/>
        <v>747.66666666666663</v>
      </c>
      <c r="X124" s="37">
        <v>102</v>
      </c>
      <c r="Y124" s="47">
        <v>4</v>
      </c>
      <c r="Z124" s="83">
        <v>2.31</v>
      </c>
      <c r="AA124" s="96">
        <f>AA125*2</f>
        <v>1</v>
      </c>
      <c r="AB124" s="89">
        <f t="shared" si="72"/>
        <v>4</v>
      </c>
      <c r="AC124" s="40">
        <f t="shared" si="73"/>
        <v>7.4444444444444429</v>
      </c>
      <c r="AD124" s="283"/>
      <c r="AE124" s="283"/>
      <c r="AF124" s="58">
        <f t="shared" si="45"/>
        <v>0.36111111111111072</v>
      </c>
      <c r="AG124" s="116">
        <f t="shared" si="0"/>
        <v>3.5424999999999963E-2</v>
      </c>
      <c r="AH124" s="39">
        <v>0.04</v>
      </c>
      <c r="AI124" s="41">
        <f t="shared" si="42"/>
        <v>272.71800000000002</v>
      </c>
      <c r="AJ124" s="41">
        <f t="shared" si="49"/>
        <v>28.161950986666657</v>
      </c>
      <c r="AK124" s="121">
        <f t="shared" si="70"/>
        <v>-5038.5010355455697</v>
      </c>
      <c r="AL124" s="154">
        <v>250.97222222222194</v>
      </c>
      <c r="AM124" s="41">
        <f t="shared" si="46"/>
        <v>-4486.6488623366813</v>
      </c>
      <c r="AN124" s="42">
        <f t="shared" si="69"/>
        <v>-1620.1787558437998</v>
      </c>
      <c r="AO124" s="42">
        <f t="shared" si="47"/>
        <v>61276.178755843801</v>
      </c>
      <c r="AP124" s="61">
        <f t="shared" si="48"/>
        <v>-1620.1787558437998</v>
      </c>
      <c r="AQ124" s="5"/>
      <c r="AR124" s="160">
        <f>AN124</f>
        <v>-1620.1787558437998</v>
      </c>
      <c r="AS124" s="269">
        <f t="shared" si="53"/>
        <v>1620.1787558437998</v>
      </c>
    </row>
    <row r="125" spans="21:45" x14ac:dyDescent="0.25">
      <c r="U125" s="280"/>
      <c r="V125" s="72">
        <f>V121*5</f>
        <v>40.833333333333329</v>
      </c>
      <c r="W125" s="72">
        <f t="shared" si="71"/>
        <v>755.83333333333337</v>
      </c>
      <c r="X125" s="37">
        <v>103</v>
      </c>
      <c r="Y125" s="47">
        <v>5</v>
      </c>
      <c r="Z125" s="83">
        <v>1.155</v>
      </c>
      <c r="AA125" s="96">
        <f>AA120/6</f>
        <v>0.5</v>
      </c>
      <c r="AB125" s="89">
        <f t="shared" si="72"/>
        <v>3.5</v>
      </c>
      <c r="AC125" s="40">
        <f t="shared" si="73"/>
        <v>7.8055555555555536</v>
      </c>
      <c r="AD125" s="283"/>
      <c r="AE125" s="283"/>
      <c r="AF125" s="58">
        <f t="shared" si="45"/>
        <v>0.36111111111111072</v>
      </c>
      <c r="AG125" s="116">
        <f t="shared" si="0"/>
        <v>3.5424999999999963E-2</v>
      </c>
      <c r="AH125" s="39">
        <v>0.04</v>
      </c>
      <c r="AI125" s="41">
        <f t="shared" si="42"/>
        <v>272.71800000000002</v>
      </c>
      <c r="AJ125" s="41">
        <f t="shared" si="49"/>
        <v>30.960344896666655</v>
      </c>
      <c r="AK125" s="121">
        <f t="shared" si="70"/>
        <v>-6237.0262936410927</v>
      </c>
      <c r="AL125" s="41">
        <v>250.97222222222194</v>
      </c>
      <c r="AM125" s="60">
        <f t="shared" si="46"/>
        <v>-5682.3757265222039</v>
      </c>
      <c r="AN125" s="42">
        <f t="shared" si="69"/>
        <v>-2051.9690123552382</v>
      </c>
      <c r="AO125" s="42">
        <f t="shared" si="47"/>
        <v>61707.969012355235</v>
      </c>
      <c r="AP125" s="61">
        <f t="shared" si="48"/>
        <v>-2051.9690123552382</v>
      </c>
      <c r="AQ125" s="5"/>
      <c r="AR125" s="160">
        <f>AN125</f>
        <v>-2051.9690123552382</v>
      </c>
      <c r="AS125" s="269">
        <f t="shared" si="53"/>
        <v>2051.9690123552382</v>
      </c>
    </row>
    <row r="126" spans="21:45" ht="15.75" thickBot="1" x14ac:dyDescent="0.3">
      <c r="U126" s="281"/>
      <c r="V126" s="75">
        <v>49</v>
      </c>
      <c r="W126" s="48">
        <f>W120+V126</f>
        <v>764</v>
      </c>
      <c r="X126" s="49">
        <f>X120+Y126</f>
        <v>104</v>
      </c>
      <c r="Y126" s="50">
        <v>6</v>
      </c>
      <c r="Z126" s="81">
        <v>0</v>
      </c>
      <c r="AA126" s="94">
        <v>0</v>
      </c>
      <c r="AB126" s="93">
        <f t="shared" si="72"/>
        <v>3</v>
      </c>
      <c r="AC126" s="102">
        <f>V126/Y126</f>
        <v>8.1666666666666661</v>
      </c>
      <c r="AD126" s="284"/>
      <c r="AE126" s="284"/>
      <c r="AF126" s="112">
        <f t="shared" si="45"/>
        <v>0.36111111111111249</v>
      </c>
      <c r="AG126" s="115">
        <f t="shared" si="0"/>
        <v>3.5425000000000137E-2</v>
      </c>
      <c r="AH126" s="118">
        <v>0.04</v>
      </c>
      <c r="AI126" s="66">
        <f t="shared" si="42"/>
        <v>272.71800000000002</v>
      </c>
      <c r="AJ126" s="119">
        <f t="shared" si="49"/>
        <v>33.891267479999996</v>
      </c>
      <c r="AK126" s="66">
        <f t="shared" si="70"/>
        <v>0</v>
      </c>
      <c r="AL126" s="173">
        <v>250.97222222222319</v>
      </c>
      <c r="AM126" s="152">
        <f t="shared" si="46"/>
        <v>557.58148970222328</v>
      </c>
      <c r="AN126" s="164">
        <f t="shared" si="69"/>
        <v>201.34887128135918</v>
      </c>
      <c r="AO126" s="164">
        <f t="shared" si="47"/>
        <v>59454.651128718644</v>
      </c>
      <c r="AP126" s="164">
        <f t="shared" si="48"/>
        <v>201.34887128135918</v>
      </c>
      <c r="AQ126" s="248">
        <f>AN126</f>
        <v>201.34887128135918</v>
      </c>
      <c r="AR126" s="7"/>
      <c r="AS126" s="269"/>
    </row>
    <row r="127" spans="21:45" x14ac:dyDescent="0.25">
      <c r="U127" s="279" t="s">
        <v>55</v>
      </c>
      <c r="V127" s="71">
        <f>V130/4</f>
        <v>5</v>
      </c>
      <c r="W127" s="78">
        <f>$W$126+V127</f>
        <v>769</v>
      </c>
      <c r="X127" s="45">
        <v>105</v>
      </c>
      <c r="Y127" s="46">
        <v>1</v>
      </c>
      <c r="Z127" s="84">
        <v>1.4325000000000001</v>
      </c>
      <c r="AA127" s="95">
        <f>AA130/4</f>
        <v>0.5</v>
      </c>
      <c r="AB127" s="91">
        <f>$AB$126+AA127</f>
        <v>3.5</v>
      </c>
      <c r="AC127" s="111">
        <f>AC126+$AE$127</f>
        <v>7.375</v>
      </c>
      <c r="AD127" s="282">
        <f>AC130-AC126</f>
        <v>-3.1666666666666661</v>
      </c>
      <c r="AE127" s="282">
        <f>AD127/4</f>
        <v>-0.79166666666666652</v>
      </c>
      <c r="AF127" s="62">
        <f t="shared" si="45"/>
        <v>-0.79166666666666607</v>
      </c>
      <c r="AG127" s="114">
        <f t="shared" si="0"/>
        <v>-7.7662499999999954E-2</v>
      </c>
      <c r="AH127" s="117">
        <v>0.04</v>
      </c>
      <c r="AI127" s="60">
        <f t="shared" si="42"/>
        <v>272.71800000000002</v>
      </c>
      <c r="AJ127" s="121">
        <f t="shared" si="49"/>
        <v>27.638992057500001</v>
      </c>
      <c r="AK127" s="152">
        <f t="shared" si="70"/>
        <v>-6752.8542240898732</v>
      </c>
      <c r="AL127" s="171">
        <v>-550.20833333333292</v>
      </c>
      <c r="AM127" s="169">
        <f t="shared" si="46"/>
        <v>-7002.7055653657062</v>
      </c>
      <c r="AN127" s="61">
        <f t="shared" si="69"/>
        <v>5543.8085725811798</v>
      </c>
      <c r="AO127" s="61">
        <f t="shared" si="47"/>
        <v>54112.191427418817</v>
      </c>
      <c r="AP127" s="61">
        <f t="shared" si="48"/>
        <v>5543.8085725811798</v>
      </c>
      <c r="AQ127" s="248">
        <f>AN127</f>
        <v>5543.8085725811798</v>
      </c>
      <c r="AR127" s="7"/>
      <c r="AS127" s="269"/>
    </row>
    <row r="128" spans="21:45" x14ac:dyDescent="0.25">
      <c r="U128" s="280"/>
      <c r="V128" s="72">
        <f>V127*2</f>
        <v>10</v>
      </c>
      <c r="W128" s="76">
        <f t="shared" ref="W128:W129" si="74">$W$126+V128</f>
        <v>774</v>
      </c>
      <c r="X128" s="37">
        <v>106</v>
      </c>
      <c r="Y128" s="47">
        <v>2</v>
      </c>
      <c r="Z128" s="83">
        <v>2.8650000000000002</v>
      </c>
      <c r="AA128" s="96">
        <f>AA127*2</f>
        <v>1</v>
      </c>
      <c r="AB128" s="89">
        <f t="shared" ref="AB128:AB130" si="75">$AB$126+AA128</f>
        <v>4</v>
      </c>
      <c r="AC128" s="40">
        <f t="shared" ref="AC128:AC129" si="76">AC127+$AE$127</f>
        <v>6.5833333333333339</v>
      </c>
      <c r="AD128" s="283"/>
      <c r="AE128" s="283"/>
      <c r="AF128" s="58">
        <f t="shared" si="45"/>
        <v>-0.79166666666666607</v>
      </c>
      <c r="AG128" s="116">
        <f t="shared" si="0"/>
        <v>-7.7662499999999954E-2</v>
      </c>
      <c r="AH128" s="39">
        <v>0.04</v>
      </c>
      <c r="AI128" s="41">
        <f t="shared" si="42"/>
        <v>272.71800000000002</v>
      </c>
      <c r="AJ128" s="41">
        <f t="shared" si="49"/>
        <v>22.023677670000005</v>
      </c>
      <c r="AK128" s="121">
        <f t="shared" si="70"/>
        <v>-1861.8417079012552</v>
      </c>
      <c r="AL128" s="154">
        <v>-550.20833333333292</v>
      </c>
      <c r="AM128" s="41">
        <f t="shared" si="46"/>
        <v>-2117.308363564588</v>
      </c>
      <c r="AN128" s="42">
        <f t="shared" si="69"/>
        <v>1676.202454488631</v>
      </c>
      <c r="AO128" s="42">
        <f t="shared" si="47"/>
        <v>57979.79754551137</v>
      </c>
      <c r="AP128" s="61">
        <f t="shared" si="48"/>
        <v>1676.202454488631</v>
      </c>
      <c r="AQ128" s="248">
        <f>AN128</f>
        <v>1676.202454488631</v>
      </c>
      <c r="AR128" s="7"/>
      <c r="AS128" s="269"/>
    </row>
    <row r="129" spans="21:45" x14ac:dyDescent="0.25">
      <c r="U129" s="280"/>
      <c r="V129" s="72">
        <f>V127*3</f>
        <v>15</v>
      </c>
      <c r="W129" s="72">
        <f t="shared" si="74"/>
        <v>779</v>
      </c>
      <c r="X129" s="37">
        <v>107</v>
      </c>
      <c r="Y129" s="47">
        <v>3</v>
      </c>
      <c r="Z129" s="83">
        <v>4.2975000000000003</v>
      </c>
      <c r="AA129" s="96">
        <f>AA127*3</f>
        <v>1.5</v>
      </c>
      <c r="AB129" s="89">
        <f t="shared" si="75"/>
        <v>4.5</v>
      </c>
      <c r="AC129" s="40">
        <f t="shared" si="76"/>
        <v>5.7916666666666679</v>
      </c>
      <c r="AD129" s="283"/>
      <c r="AE129" s="283"/>
      <c r="AF129" s="58">
        <f t="shared" si="45"/>
        <v>-0.79166666666666607</v>
      </c>
      <c r="AG129" s="116">
        <f t="shared" si="0"/>
        <v>-7.7662499999999954E-2</v>
      </c>
      <c r="AH129" s="39">
        <v>0.04</v>
      </c>
      <c r="AI129" s="41">
        <f t="shared" si="42"/>
        <v>272.71800000000002</v>
      </c>
      <c r="AJ129" s="41">
        <f t="shared" si="49"/>
        <v>17.045324317500008</v>
      </c>
      <c r="AK129" s="121">
        <f t="shared" si="70"/>
        <v>6239.5224638817872</v>
      </c>
      <c r="AL129" s="154">
        <v>-550.20833333333292</v>
      </c>
      <c r="AM129" s="41">
        <f t="shared" si="46"/>
        <v>5979.0774548659538</v>
      </c>
      <c r="AN129" s="42">
        <f t="shared" si="69"/>
        <v>-4733.4363184355434</v>
      </c>
      <c r="AO129" s="42">
        <f t="shared" si="47"/>
        <v>64389.436318435546</v>
      </c>
      <c r="AP129" s="61">
        <f t="shared" si="48"/>
        <v>-4733.4363184355434</v>
      </c>
      <c r="AQ129" s="5"/>
      <c r="AR129" s="160">
        <f>AN129</f>
        <v>-4733.4363184355434</v>
      </c>
      <c r="AS129" s="269">
        <f t="shared" si="53"/>
        <v>4733.4363184355434</v>
      </c>
    </row>
    <row r="130" spans="21:45" ht="15.75" thickBot="1" x14ac:dyDescent="0.3">
      <c r="U130" s="281"/>
      <c r="V130" s="75">
        <v>20</v>
      </c>
      <c r="W130" s="48">
        <f>W126+V130</f>
        <v>784</v>
      </c>
      <c r="X130" s="49">
        <f>X126+Y130</f>
        <v>108</v>
      </c>
      <c r="Y130" s="50">
        <v>4</v>
      </c>
      <c r="Z130" s="81">
        <v>5.73</v>
      </c>
      <c r="AA130" s="94">
        <v>2</v>
      </c>
      <c r="AB130" s="93">
        <f t="shared" si="75"/>
        <v>5</v>
      </c>
      <c r="AC130" s="102">
        <f>V130/Y130</f>
        <v>5</v>
      </c>
      <c r="AD130" s="284"/>
      <c r="AE130" s="284"/>
      <c r="AF130" s="112">
        <f t="shared" si="45"/>
        <v>-0.79166666666666785</v>
      </c>
      <c r="AG130" s="115">
        <f t="shared" si="0"/>
        <v>-7.766250000000012E-2</v>
      </c>
      <c r="AH130" s="118">
        <v>0.04</v>
      </c>
      <c r="AI130" s="66">
        <f t="shared" si="42"/>
        <v>272.71800000000002</v>
      </c>
      <c r="AJ130" s="119">
        <f t="shared" si="49"/>
        <v>12.703932000000002</v>
      </c>
      <c r="AK130" s="66">
        <f t="shared" si="70"/>
        <v>3582.1517834837941</v>
      </c>
      <c r="AL130" s="66">
        <v>-550.20833333333417</v>
      </c>
      <c r="AM130" s="66">
        <f t="shared" si="46"/>
        <v>3317.3653821504604</v>
      </c>
      <c r="AN130" s="164">
        <f t="shared" si="69"/>
        <v>-2626.2475942024516</v>
      </c>
      <c r="AO130" s="164">
        <f t="shared" si="47"/>
        <v>62282.247594202454</v>
      </c>
      <c r="AP130" s="164">
        <f t="shared" si="48"/>
        <v>-2626.2475942024516</v>
      </c>
      <c r="AQ130" s="5"/>
      <c r="AR130" s="160">
        <f>AN130</f>
        <v>-2626.2475942024516</v>
      </c>
      <c r="AS130" s="269">
        <f t="shared" si="53"/>
        <v>2626.2475942024516</v>
      </c>
    </row>
    <row r="131" spans="21:45" x14ac:dyDescent="0.25">
      <c r="U131" s="279" t="s">
        <v>56</v>
      </c>
      <c r="V131" s="71">
        <f>V136/6</f>
        <v>11.666666666666666</v>
      </c>
      <c r="W131" s="71">
        <f>$W$130+V131</f>
        <v>795.66666666666663</v>
      </c>
      <c r="X131" s="45">
        <v>109</v>
      </c>
      <c r="Y131" s="46">
        <v>1</v>
      </c>
      <c r="Z131" s="84">
        <v>4.7750000000000004</v>
      </c>
      <c r="AA131" s="95">
        <f>AA135*5</f>
        <v>1.6666666666666665</v>
      </c>
      <c r="AB131" s="91">
        <f>$AB$130+AA131</f>
        <v>6.6666666666666661</v>
      </c>
      <c r="AC131" s="111">
        <f>AC130+$AE$131</f>
        <v>6.1111111111111107</v>
      </c>
      <c r="AD131" s="282">
        <f>AC136-AC130</f>
        <v>6.6666666666666661</v>
      </c>
      <c r="AE131" s="282">
        <f>AD131/6</f>
        <v>1.1111111111111109</v>
      </c>
      <c r="AF131" s="62">
        <f t="shared" si="45"/>
        <v>1.1111111111111107</v>
      </c>
      <c r="AG131" s="114">
        <f t="shared" si="0"/>
        <v>0.10899999999999997</v>
      </c>
      <c r="AH131" s="117">
        <v>0.04</v>
      </c>
      <c r="AI131" s="60">
        <f t="shared" si="42"/>
        <v>272.71800000000002</v>
      </c>
      <c r="AJ131" s="121">
        <f t="shared" si="49"/>
        <v>18.977478666666666</v>
      </c>
      <c r="AK131" s="152">
        <f t="shared" si="70"/>
        <v>6804.5907065498013</v>
      </c>
      <c r="AL131" s="171">
        <v>772.22222222222194</v>
      </c>
      <c r="AM131" s="169">
        <f t="shared" si="46"/>
        <v>7868.5084074386896</v>
      </c>
      <c r="AN131" s="61">
        <f t="shared" si="69"/>
        <v>8742.7871193763185</v>
      </c>
      <c r="AO131" s="61">
        <f t="shared" si="47"/>
        <v>50913.21288062368</v>
      </c>
      <c r="AP131" s="61">
        <f t="shared" si="48"/>
        <v>8742.7871193763185</v>
      </c>
      <c r="AQ131" s="248">
        <f>AN131</f>
        <v>8742.7871193763185</v>
      </c>
      <c r="AR131" s="7"/>
      <c r="AS131" s="269"/>
    </row>
    <row r="132" spans="21:45" x14ac:dyDescent="0.25">
      <c r="U132" s="280"/>
      <c r="V132" s="72">
        <f>V131*2</f>
        <v>23.333333333333332</v>
      </c>
      <c r="W132" s="77">
        <f t="shared" ref="W132:W135" si="77">$W$130+V132</f>
        <v>807.33333333333337</v>
      </c>
      <c r="X132" s="37">
        <v>110</v>
      </c>
      <c r="Y132" s="47">
        <v>2</v>
      </c>
      <c r="Z132" s="83">
        <v>3.8200000000000003</v>
      </c>
      <c r="AA132" s="96">
        <f>AA135*4</f>
        <v>1.3333333333333333</v>
      </c>
      <c r="AB132" s="89">
        <f t="shared" ref="AB132:AB136" si="78">$AB$130+AA132</f>
        <v>6.333333333333333</v>
      </c>
      <c r="AC132" s="40">
        <f t="shared" ref="AC132:AC135" si="79">AC131+$AE$131</f>
        <v>7.2222222222222214</v>
      </c>
      <c r="AD132" s="283"/>
      <c r="AE132" s="283"/>
      <c r="AF132" s="58">
        <f t="shared" si="45"/>
        <v>1.1111111111111107</v>
      </c>
      <c r="AG132" s="116">
        <f t="shared" si="0"/>
        <v>0.10899999999999997</v>
      </c>
      <c r="AH132" s="39">
        <v>0.04</v>
      </c>
      <c r="AI132" s="41">
        <f t="shared" si="42"/>
        <v>272.71800000000002</v>
      </c>
      <c r="AJ132" s="41">
        <f t="shared" si="49"/>
        <v>26.505734666666662</v>
      </c>
      <c r="AK132" s="121">
        <f t="shared" si="70"/>
        <v>4278.6305880634709</v>
      </c>
      <c r="AL132" s="154">
        <v>772.22222222222194</v>
      </c>
      <c r="AM132" s="41">
        <f t="shared" si="46"/>
        <v>5350.0765449523597</v>
      </c>
      <c r="AN132" s="42">
        <f t="shared" si="69"/>
        <v>5944.5294943915087</v>
      </c>
      <c r="AO132" s="42">
        <f t="shared" si="47"/>
        <v>53711.470505608493</v>
      </c>
      <c r="AP132" s="61">
        <f t="shared" si="48"/>
        <v>5944.5294943915087</v>
      </c>
      <c r="AQ132" s="248">
        <f>AN132</f>
        <v>5944.5294943915087</v>
      </c>
      <c r="AR132" s="7"/>
      <c r="AS132" s="269"/>
    </row>
    <row r="133" spans="21:45" x14ac:dyDescent="0.25">
      <c r="U133" s="280"/>
      <c r="V133" s="72">
        <f>V131*3</f>
        <v>35</v>
      </c>
      <c r="W133" s="72">
        <f t="shared" si="77"/>
        <v>819</v>
      </c>
      <c r="X133" s="37">
        <v>111</v>
      </c>
      <c r="Y133" s="47">
        <v>3</v>
      </c>
      <c r="Z133" s="83">
        <v>2.8650000000000002</v>
      </c>
      <c r="AA133" s="96">
        <f>AA135*3</f>
        <v>1</v>
      </c>
      <c r="AB133" s="89">
        <f t="shared" si="78"/>
        <v>6</v>
      </c>
      <c r="AC133" s="40">
        <f t="shared" si="79"/>
        <v>8.3333333333333321</v>
      </c>
      <c r="AD133" s="283"/>
      <c r="AE133" s="283"/>
      <c r="AF133" s="58">
        <f t="shared" si="45"/>
        <v>1.1111111111111107</v>
      </c>
      <c r="AG133" s="116">
        <f t="shared" si="0"/>
        <v>0.10899999999999997</v>
      </c>
      <c r="AH133" s="39">
        <v>0.04</v>
      </c>
      <c r="AI133" s="41">
        <f t="shared" si="42"/>
        <v>272.71800000000002</v>
      </c>
      <c r="AJ133" s="41">
        <f t="shared" si="49"/>
        <v>35.288699999999992</v>
      </c>
      <c r="AK133" s="121">
        <f t="shared" si="70"/>
        <v>-1861.8417079012552</v>
      </c>
      <c r="AL133" s="154">
        <v>772.22222222222194</v>
      </c>
      <c r="AM133" s="41">
        <f t="shared" si="46"/>
        <v>-781.61278567903332</v>
      </c>
      <c r="AN133" s="42">
        <f t="shared" si="69"/>
        <v>-868.45865075448114</v>
      </c>
      <c r="AO133" s="42">
        <f t="shared" si="47"/>
        <v>60524.458650754481</v>
      </c>
      <c r="AP133" s="61">
        <f t="shared" si="48"/>
        <v>-868.45865075448114</v>
      </c>
      <c r="AQ133" s="5"/>
      <c r="AR133" s="160">
        <f>AN133</f>
        <v>-868.45865075448114</v>
      </c>
      <c r="AS133" s="269">
        <f t="shared" si="53"/>
        <v>868.45865075448114</v>
      </c>
    </row>
    <row r="134" spans="21:45" x14ac:dyDescent="0.25">
      <c r="U134" s="280"/>
      <c r="V134" s="72">
        <f>V131*4</f>
        <v>46.666666666666664</v>
      </c>
      <c r="W134" s="77">
        <f t="shared" si="77"/>
        <v>830.66666666666663</v>
      </c>
      <c r="X134" s="37">
        <v>112</v>
      </c>
      <c r="Y134" s="47">
        <v>4</v>
      </c>
      <c r="Z134" s="83">
        <v>1.9100000000000001</v>
      </c>
      <c r="AA134" s="96">
        <f>AA135*2</f>
        <v>0.66666666666666663</v>
      </c>
      <c r="AB134" s="89">
        <f t="shared" si="78"/>
        <v>5.666666666666667</v>
      </c>
      <c r="AC134" s="40">
        <f t="shared" si="79"/>
        <v>9.4444444444444429</v>
      </c>
      <c r="AD134" s="283"/>
      <c r="AE134" s="283"/>
      <c r="AF134" s="58">
        <f t="shared" si="45"/>
        <v>1.1111111111111107</v>
      </c>
      <c r="AG134" s="116">
        <f t="shared" si="0"/>
        <v>0.10899999999999997</v>
      </c>
      <c r="AH134" s="39">
        <v>0.04</v>
      </c>
      <c r="AI134" s="41">
        <f t="shared" si="42"/>
        <v>272.71800000000002</v>
      </c>
      <c r="AJ134" s="41">
        <f t="shared" si="49"/>
        <v>45.326374666666659</v>
      </c>
      <c r="AK134" s="121">
        <f t="shared" si="70"/>
        <v>-6429.4627405387273</v>
      </c>
      <c r="AL134" s="154">
        <v>772.22222222222194</v>
      </c>
      <c r="AM134" s="60">
        <f t="shared" si="46"/>
        <v>-5339.1961436498386</v>
      </c>
      <c r="AN134" s="42">
        <f t="shared" si="69"/>
        <v>-5932.4401596109301</v>
      </c>
      <c r="AO134" s="42">
        <f t="shared" si="47"/>
        <v>65588.440159610924</v>
      </c>
      <c r="AP134" s="61">
        <f t="shared" si="48"/>
        <v>-5932.4401596109301</v>
      </c>
      <c r="AQ134" s="5"/>
      <c r="AR134" s="160">
        <f>AN134</f>
        <v>-5932.4401596109301</v>
      </c>
      <c r="AS134" s="269">
        <f t="shared" si="53"/>
        <v>5932.4401596109301</v>
      </c>
    </row>
    <row r="135" spans="21:45" x14ac:dyDescent="0.25">
      <c r="U135" s="280"/>
      <c r="V135" s="72">
        <f>V131*5</f>
        <v>58.333333333333329</v>
      </c>
      <c r="W135" s="72">
        <f t="shared" si="77"/>
        <v>842.33333333333337</v>
      </c>
      <c r="X135" s="37">
        <v>113</v>
      </c>
      <c r="Y135" s="47">
        <v>5</v>
      </c>
      <c r="Z135" s="83">
        <v>0.95500000000000007</v>
      </c>
      <c r="AA135" s="96">
        <f>AA130/6</f>
        <v>0.33333333333333331</v>
      </c>
      <c r="AB135" s="89">
        <f t="shared" si="78"/>
        <v>5.333333333333333</v>
      </c>
      <c r="AC135" s="40">
        <f t="shared" si="79"/>
        <v>10.555555555555554</v>
      </c>
      <c r="AD135" s="283"/>
      <c r="AE135" s="283"/>
      <c r="AF135" s="58">
        <f t="shared" si="45"/>
        <v>1.1111111111111107</v>
      </c>
      <c r="AG135" s="116">
        <f t="shared" si="0"/>
        <v>0.10899999999999997</v>
      </c>
      <c r="AH135" s="39">
        <v>0.04</v>
      </c>
      <c r="AI135" s="41">
        <f t="shared" si="42"/>
        <v>272.71800000000002</v>
      </c>
      <c r="AJ135" s="41">
        <f t="shared" si="49"/>
        <v>56.61875866666665</v>
      </c>
      <c r="AK135" s="121">
        <f t="shared" si="70"/>
        <v>-5565.5862666716484</v>
      </c>
      <c r="AL135" s="154">
        <v>772.22222222222194</v>
      </c>
      <c r="AM135" s="60">
        <f t="shared" si="46"/>
        <v>-4464.0272857827604</v>
      </c>
      <c r="AN135" s="42">
        <f t="shared" si="69"/>
        <v>-4960.0303175363988</v>
      </c>
      <c r="AO135" s="42">
        <f t="shared" si="47"/>
        <v>64616.030317536395</v>
      </c>
      <c r="AP135" s="61">
        <f t="shared" si="48"/>
        <v>-4960.0303175363988</v>
      </c>
      <c r="AQ135" s="5"/>
      <c r="AR135" s="160">
        <f>AN135</f>
        <v>-4960.0303175363988</v>
      </c>
      <c r="AS135" s="269">
        <f t="shared" si="53"/>
        <v>4960.0303175363988</v>
      </c>
    </row>
    <row r="136" spans="21:45" ht="15.75" thickBot="1" x14ac:dyDescent="0.3">
      <c r="U136" s="281"/>
      <c r="V136" s="75">
        <v>70</v>
      </c>
      <c r="W136" s="48">
        <f>W130+V136</f>
        <v>854</v>
      </c>
      <c r="X136" s="49">
        <f>X130+Y136</f>
        <v>114</v>
      </c>
      <c r="Y136" s="50">
        <v>6</v>
      </c>
      <c r="Z136" s="81">
        <v>0</v>
      </c>
      <c r="AA136" s="94">
        <v>0</v>
      </c>
      <c r="AB136" s="93">
        <f t="shared" si="78"/>
        <v>5</v>
      </c>
      <c r="AC136" s="102">
        <f>V136/Y136</f>
        <v>11.666666666666666</v>
      </c>
      <c r="AD136" s="284"/>
      <c r="AE136" s="284"/>
      <c r="AF136" s="64">
        <f t="shared" si="45"/>
        <v>1.1111111111111125</v>
      </c>
      <c r="AG136" s="115">
        <f t="shared" si="0"/>
        <v>0.10900000000000014</v>
      </c>
      <c r="AH136" s="118">
        <v>0.04</v>
      </c>
      <c r="AI136" s="121">
        <f t="shared" si="42"/>
        <v>272.71800000000002</v>
      </c>
      <c r="AJ136" s="119">
        <f t="shared" si="49"/>
        <v>69.165851999999987</v>
      </c>
      <c r="AK136" s="121">
        <f t="shared" si="70"/>
        <v>0</v>
      </c>
      <c r="AL136" s="66">
        <v>772.22222222222319</v>
      </c>
      <c r="AM136" s="152">
        <f t="shared" si="46"/>
        <v>1114.1060742222232</v>
      </c>
      <c r="AN136" s="164">
        <f t="shared" si="69"/>
        <v>1237.8956380246941</v>
      </c>
      <c r="AO136" s="164">
        <f t="shared" si="47"/>
        <v>58418.104361975304</v>
      </c>
      <c r="AP136" s="164">
        <f t="shared" si="48"/>
        <v>1237.8956380246941</v>
      </c>
      <c r="AQ136" s="248">
        <f>AN136</f>
        <v>1237.8956380246941</v>
      </c>
      <c r="AR136" s="7"/>
      <c r="AS136" s="269"/>
    </row>
    <row r="137" spans="21:45" x14ac:dyDescent="0.25">
      <c r="U137" s="279" t="s">
        <v>57</v>
      </c>
      <c r="V137" s="71">
        <f>V140/4</f>
        <v>5</v>
      </c>
      <c r="W137" s="71">
        <f>$W$136+V137</f>
        <v>859</v>
      </c>
      <c r="X137" s="45">
        <v>115</v>
      </c>
      <c r="Y137" s="46">
        <v>1</v>
      </c>
      <c r="Z137" s="84">
        <v>-1.43</v>
      </c>
      <c r="AA137" s="95">
        <f>AA140/4</f>
        <v>-0.5</v>
      </c>
      <c r="AB137" s="91">
        <f>$AB$136+AA137</f>
        <v>4.5</v>
      </c>
      <c r="AC137" s="111">
        <f>AC136+$AE$137</f>
        <v>10</v>
      </c>
      <c r="AD137" s="282">
        <f>AC140-AC136</f>
        <v>-6.6666666666666661</v>
      </c>
      <c r="AE137" s="282">
        <f>AD137/4</f>
        <v>-1.6666666666666665</v>
      </c>
      <c r="AF137" s="58">
        <f t="shared" si="45"/>
        <v>-1.6666666666666661</v>
      </c>
      <c r="AG137" s="114">
        <f t="shared" si="0"/>
        <v>-0.16349999999999995</v>
      </c>
      <c r="AH137" s="117">
        <v>0.04</v>
      </c>
      <c r="AI137" s="151">
        <f t="shared" si="42"/>
        <v>272.71800000000002</v>
      </c>
      <c r="AJ137" s="121">
        <f t="shared" si="49"/>
        <v>50.815728000000007</v>
      </c>
      <c r="AK137" s="151">
        <f t="shared" si="70"/>
        <v>6750.4833871508617</v>
      </c>
      <c r="AL137" s="174">
        <v>-1158.333333333333</v>
      </c>
      <c r="AM137" s="169">
        <f t="shared" si="46"/>
        <v>5915.6837818175291</v>
      </c>
      <c r="AN137" s="61">
        <f t="shared" si="69"/>
        <v>-9859.4729696958784</v>
      </c>
      <c r="AO137" s="61">
        <f t="shared" si="47"/>
        <v>69515.472969695882</v>
      </c>
      <c r="AP137" s="61">
        <f t="shared" si="48"/>
        <v>-9859.4729696958784</v>
      </c>
      <c r="AQ137" s="5"/>
      <c r="AR137" s="160">
        <f>AN137</f>
        <v>-9859.4729696958784</v>
      </c>
      <c r="AS137" s="269">
        <f t="shared" si="53"/>
        <v>9859.4729696958784</v>
      </c>
    </row>
    <row r="138" spans="21:45" x14ac:dyDescent="0.25">
      <c r="U138" s="280"/>
      <c r="V138" s="72">
        <f>V137*2</f>
        <v>10</v>
      </c>
      <c r="W138" s="77">
        <f t="shared" ref="W138:W139" si="80">$W$136+V138</f>
        <v>864</v>
      </c>
      <c r="X138" s="37">
        <v>116</v>
      </c>
      <c r="Y138" s="47">
        <v>2</v>
      </c>
      <c r="Z138" s="83">
        <v>-2.86</v>
      </c>
      <c r="AA138" s="96">
        <f>AA137*2</f>
        <v>-1</v>
      </c>
      <c r="AB138" s="89">
        <f t="shared" ref="AB138:AB140" si="81">$AB$136+AA138</f>
        <v>4</v>
      </c>
      <c r="AC138" s="40">
        <f t="shared" ref="AC138:AC139" si="82">AC137+$AE$137</f>
        <v>8.3333333333333339</v>
      </c>
      <c r="AD138" s="283"/>
      <c r="AE138" s="283"/>
      <c r="AF138" s="58">
        <f t="shared" si="45"/>
        <v>-1.6666666666666661</v>
      </c>
      <c r="AG138" s="116">
        <f t="shared" si="0"/>
        <v>-0.16349999999999995</v>
      </c>
      <c r="AH138" s="39">
        <v>0.04</v>
      </c>
      <c r="AI138" s="41">
        <f t="shared" si="42"/>
        <v>272.71800000000002</v>
      </c>
      <c r="AJ138" s="41">
        <f t="shared" si="49"/>
        <v>35.288700000000013</v>
      </c>
      <c r="AK138" s="121">
        <f t="shared" si="70"/>
        <v>1894.6123479211981</v>
      </c>
      <c r="AL138" s="154">
        <v>-1158.333333333333</v>
      </c>
      <c r="AM138" s="41">
        <f t="shared" si="46"/>
        <v>1044.2857145878652</v>
      </c>
      <c r="AN138" s="42">
        <f t="shared" si="69"/>
        <v>-1740.4761909797746</v>
      </c>
      <c r="AO138" s="42">
        <f t="shared" si="47"/>
        <v>61396.476190979774</v>
      </c>
      <c r="AP138" s="61">
        <f t="shared" si="48"/>
        <v>-1740.4761909797746</v>
      </c>
      <c r="AQ138" s="5"/>
      <c r="AR138" s="160">
        <f>AN138</f>
        <v>-1740.4761909797746</v>
      </c>
      <c r="AS138" s="269">
        <f t="shared" si="53"/>
        <v>1740.4761909797746</v>
      </c>
    </row>
    <row r="139" spans="21:45" x14ac:dyDescent="0.25">
      <c r="U139" s="280"/>
      <c r="V139" s="72">
        <f>V137*3</f>
        <v>15</v>
      </c>
      <c r="W139" s="72">
        <f t="shared" si="80"/>
        <v>869</v>
      </c>
      <c r="X139" s="37">
        <v>117</v>
      </c>
      <c r="Y139" s="47">
        <v>3</v>
      </c>
      <c r="Z139" s="83">
        <v>-4.29</v>
      </c>
      <c r="AA139" s="96">
        <f>AA137*3</f>
        <v>-1.5</v>
      </c>
      <c r="AB139" s="89">
        <f t="shared" si="81"/>
        <v>3.5</v>
      </c>
      <c r="AC139" s="40">
        <f t="shared" si="82"/>
        <v>6.6666666666666679</v>
      </c>
      <c r="AD139" s="283"/>
      <c r="AE139" s="283"/>
      <c r="AF139" s="58">
        <f t="shared" si="45"/>
        <v>-1.6666666666666661</v>
      </c>
      <c r="AG139" s="116">
        <f t="shared" si="0"/>
        <v>-0.16349999999999995</v>
      </c>
      <c r="AH139" s="39">
        <v>0.04</v>
      </c>
      <c r="AI139" s="41">
        <f t="shared" si="42"/>
        <v>272.71800000000002</v>
      </c>
      <c r="AJ139" s="41">
        <f t="shared" si="49"/>
        <v>22.584768000000008</v>
      </c>
      <c r="AK139" s="121">
        <f t="shared" si="70"/>
        <v>-6218.7354006691867</v>
      </c>
      <c r="AL139" s="41">
        <v>-1158.333333333333</v>
      </c>
      <c r="AM139" s="41">
        <f t="shared" si="46"/>
        <v>-7081.7659660025192</v>
      </c>
      <c r="AN139" s="42">
        <f t="shared" si="69"/>
        <v>11802.943276670861</v>
      </c>
      <c r="AO139" s="42">
        <f t="shared" si="47"/>
        <v>47853.056723329137</v>
      </c>
      <c r="AP139" s="61">
        <f t="shared" si="48"/>
        <v>11802.943276670861</v>
      </c>
      <c r="AQ139" s="248">
        <f>AN139</f>
        <v>11802.943276670861</v>
      </c>
      <c r="AR139" s="7"/>
      <c r="AS139" s="269"/>
    </row>
    <row r="140" spans="21:45" ht="15.75" thickBot="1" x14ac:dyDescent="0.3">
      <c r="U140" s="281"/>
      <c r="V140" s="75">
        <v>20</v>
      </c>
      <c r="W140" s="48">
        <f>W136+V140</f>
        <v>874</v>
      </c>
      <c r="X140" s="49">
        <f>X136+Y140</f>
        <v>118</v>
      </c>
      <c r="Y140" s="50">
        <v>4</v>
      </c>
      <c r="Z140" s="81">
        <v>-5.72</v>
      </c>
      <c r="AA140" s="94">
        <v>-2</v>
      </c>
      <c r="AB140" s="93">
        <f t="shared" si="81"/>
        <v>3</v>
      </c>
      <c r="AC140" s="102">
        <f>V140/Y140</f>
        <v>5</v>
      </c>
      <c r="AD140" s="284"/>
      <c r="AE140" s="284"/>
      <c r="AF140" s="64">
        <f t="shared" si="45"/>
        <v>-1.6666666666666679</v>
      </c>
      <c r="AG140" s="115">
        <f t="shared" si="0"/>
        <v>-0.16350000000000012</v>
      </c>
      <c r="AH140" s="118">
        <v>0.04</v>
      </c>
      <c r="AI140" s="66">
        <f t="shared" si="42"/>
        <v>272.71800000000002</v>
      </c>
      <c r="AJ140" s="119">
        <f t="shared" si="49"/>
        <v>12.703932000000002</v>
      </c>
      <c r="AK140" s="66">
        <f t="shared" si="70"/>
        <v>-3639.9825981449112</v>
      </c>
      <c r="AL140" s="119">
        <v>-1158.3333333333342</v>
      </c>
      <c r="AM140" s="66">
        <f t="shared" si="46"/>
        <v>-4512.893999478245</v>
      </c>
      <c r="AN140" s="164">
        <f t="shared" si="69"/>
        <v>7521.4899991304137</v>
      </c>
      <c r="AO140" s="164">
        <f t="shared" si="47"/>
        <v>52134.510000869588</v>
      </c>
      <c r="AP140" s="164">
        <f t="shared" si="48"/>
        <v>7521.4899991304137</v>
      </c>
      <c r="AQ140" s="248">
        <f>AN140</f>
        <v>7521.4899991304137</v>
      </c>
      <c r="AR140" s="7"/>
      <c r="AS140" s="269"/>
    </row>
    <row r="141" spans="21:45" x14ac:dyDescent="0.25">
      <c r="U141" s="279" t="s">
        <v>58</v>
      </c>
      <c r="V141" s="71">
        <f>V145/5</f>
        <v>10.8</v>
      </c>
      <c r="W141" s="71">
        <f>$W$140+V141</f>
        <v>884.8</v>
      </c>
      <c r="X141" s="45">
        <v>119</v>
      </c>
      <c r="Y141" s="46">
        <v>1</v>
      </c>
      <c r="Z141" s="84">
        <v>-4.5759999999999996</v>
      </c>
      <c r="AA141" s="95">
        <f>AA144*4</f>
        <v>-1.6</v>
      </c>
      <c r="AB141" s="91">
        <f>$AB$140+AA141</f>
        <v>1.4</v>
      </c>
      <c r="AC141" s="111">
        <f>AC140+$AE$141</f>
        <v>6.16</v>
      </c>
      <c r="AD141" s="282">
        <f>AC145-AC140</f>
        <v>5.8000000000000007</v>
      </c>
      <c r="AE141" s="282">
        <f>AD141/5</f>
        <v>1.1600000000000001</v>
      </c>
      <c r="AF141" s="58">
        <f t="shared" si="45"/>
        <v>1.1600000000000001</v>
      </c>
      <c r="AG141" s="114">
        <f t="shared" si="0"/>
        <v>0.11379600000000002</v>
      </c>
      <c r="AH141" s="117">
        <v>0.04</v>
      </c>
      <c r="AI141" s="60">
        <f t="shared" si="42"/>
        <v>272.71800000000002</v>
      </c>
      <c r="AJ141" s="121">
        <f t="shared" si="49"/>
        <v>19.282332883967999</v>
      </c>
      <c r="AK141" s="152">
        <f t="shared" si="70"/>
        <v>-6754.634644430359</v>
      </c>
      <c r="AL141" s="171">
        <v>806.2</v>
      </c>
      <c r="AM141" s="169">
        <f t="shared" si="46"/>
        <v>-5656.4343115463907</v>
      </c>
      <c r="AN141" s="61">
        <f t="shared" si="69"/>
        <v>-6561.4638013938138</v>
      </c>
      <c r="AO141" s="61">
        <f t="shared" si="47"/>
        <v>66217.463801393809</v>
      </c>
      <c r="AP141" s="61">
        <f t="shared" si="48"/>
        <v>-6561.4638013938138</v>
      </c>
      <c r="AQ141" s="5"/>
      <c r="AR141" s="160">
        <f>AN141</f>
        <v>-6561.4638013938138</v>
      </c>
      <c r="AS141" s="269">
        <f t="shared" si="53"/>
        <v>6561.4638013938138</v>
      </c>
    </row>
    <row r="142" spans="21:45" x14ac:dyDescent="0.25">
      <c r="U142" s="280"/>
      <c r="V142" s="72">
        <f>V141*2</f>
        <v>21.6</v>
      </c>
      <c r="W142" s="72">
        <f t="shared" ref="W142:W144" si="83">$W$140+V142</f>
        <v>895.6</v>
      </c>
      <c r="X142" s="37">
        <v>120</v>
      </c>
      <c r="Y142" s="47">
        <v>2</v>
      </c>
      <c r="Z142" s="83">
        <v>-3.4319999999999995</v>
      </c>
      <c r="AA142" s="96">
        <f>AA144*3</f>
        <v>-1.2000000000000002</v>
      </c>
      <c r="AB142" s="89">
        <f t="shared" ref="AB142:AB145" si="84">$AB$140+AA142</f>
        <v>1.7999999999999998</v>
      </c>
      <c r="AC142" s="40">
        <f t="shared" ref="AC142:AC144" si="85">AC141+$AE$141</f>
        <v>7.32</v>
      </c>
      <c r="AD142" s="283"/>
      <c r="AE142" s="283"/>
      <c r="AF142" s="58">
        <f t="shared" si="45"/>
        <v>1.1600000000000001</v>
      </c>
      <c r="AG142" s="116">
        <f t="shared" si="0"/>
        <v>0.11379600000000002</v>
      </c>
      <c r="AH142" s="39">
        <v>0.04</v>
      </c>
      <c r="AI142" s="41">
        <f t="shared" si="42"/>
        <v>272.71800000000002</v>
      </c>
      <c r="AJ142" s="41">
        <f t="shared" si="49"/>
        <v>27.228286639872007</v>
      </c>
      <c r="AK142" s="121">
        <f t="shared" si="70"/>
        <v>-1952.2691108613985</v>
      </c>
      <c r="AL142" s="154">
        <v>806.2</v>
      </c>
      <c r="AM142" s="41">
        <f t="shared" si="46"/>
        <v>-846.12282422152634</v>
      </c>
      <c r="AN142" s="42">
        <f t="shared" si="69"/>
        <v>-981.50247609697067</v>
      </c>
      <c r="AO142" s="42">
        <f t="shared" si="47"/>
        <v>60637.502476096968</v>
      </c>
      <c r="AP142" s="61">
        <f t="shared" si="48"/>
        <v>-981.50247609697067</v>
      </c>
      <c r="AQ142" s="5"/>
      <c r="AR142" s="160">
        <f>AN142</f>
        <v>-981.50247609697067</v>
      </c>
      <c r="AS142" s="269">
        <f t="shared" si="53"/>
        <v>981.50247609697067</v>
      </c>
    </row>
    <row r="143" spans="21:45" x14ac:dyDescent="0.25">
      <c r="U143" s="280"/>
      <c r="V143" s="72">
        <f>V141*3</f>
        <v>32.400000000000006</v>
      </c>
      <c r="W143" s="72">
        <f t="shared" si="83"/>
        <v>906.4</v>
      </c>
      <c r="X143" s="37">
        <v>121</v>
      </c>
      <c r="Y143" s="47">
        <v>3</v>
      </c>
      <c r="Z143" s="83">
        <v>-2.2879999999999998</v>
      </c>
      <c r="AA143" s="96">
        <f>AA144*2</f>
        <v>-0.8</v>
      </c>
      <c r="AB143" s="89">
        <f t="shared" si="84"/>
        <v>2.2000000000000002</v>
      </c>
      <c r="AC143" s="40">
        <f t="shared" si="85"/>
        <v>8.48</v>
      </c>
      <c r="AD143" s="283"/>
      <c r="AE143" s="283"/>
      <c r="AF143" s="58">
        <f t="shared" si="45"/>
        <v>1.1600000000000001</v>
      </c>
      <c r="AG143" s="116">
        <f t="shared" si="0"/>
        <v>0.11379600000000002</v>
      </c>
      <c r="AH143" s="39">
        <v>0.04</v>
      </c>
      <c r="AI143" s="41">
        <f t="shared" si="42"/>
        <v>272.71800000000002</v>
      </c>
      <c r="AJ143" s="41">
        <f t="shared" si="49"/>
        <v>36.541793267712009</v>
      </c>
      <c r="AK143" s="121">
        <f t="shared" si="70"/>
        <v>5138.3251256531803</v>
      </c>
      <c r="AL143" s="154">
        <v>806.2</v>
      </c>
      <c r="AM143" s="41">
        <f t="shared" si="46"/>
        <v>6253.7849189208919</v>
      </c>
      <c r="AN143" s="42">
        <f t="shared" si="69"/>
        <v>7254.3905059482358</v>
      </c>
      <c r="AO143" s="42">
        <f t="shared" si="47"/>
        <v>52401.609494051765</v>
      </c>
      <c r="AP143" s="61">
        <f t="shared" si="48"/>
        <v>7254.3905059482358</v>
      </c>
      <c r="AQ143" s="248">
        <f>AN143</f>
        <v>7254.3905059482358</v>
      </c>
      <c r="AR143" s="7"/>
      <c r="AS143" s="269"/>
    </row>
    <row r="144" spans="21:45" x14ac:dyDescent="0.25">
      <c r="U144" s="280"/>
      <c r="V144" s="72">
        <f>V141*4</f>
        <v>43.2</v>
      </c>
      <c r="W144" s="74">
        <f t="shared" si="83"/>
        <v>917.2</v>
      </c>
      <c r="X144" s="37">
        <v>122</v>
      </c>
      <c r="Y144" s="47">
        <v>4</v>
      </c>
      <c r="Z144" s="83">
        <v>-1.1439999999999999</v>
      </c>
      <c r="AA144" s="96">
        <f>AA140/5</f>
        <v>-0.4</v>
      </c>
      <c r="AB144" s="89">
        <f t="shared" si="84"/>
        <v>2.6</v>
      </c>
      <c r="AC144" s="40">
        <f t="shared" si="85"/>
        <v>9.64</v>
      </c>
      <c r="AD144" s="283"/>
      <c r="AE144" s="283"/>
      <c r="AF144" s="58">
        <f t="shared" si="45"/>
        <v>1.1600000000000001</v>
      </c>
      <c r="AG144" s="116">
        <f t="shared" si="0"/>
        <v>0.11379600000000002</v>
      </c>
      <c r="AH144" s="39">
        <v>0.04</v>
      </c>
      <c r="AI144" s="41">
        <f t="shared" si="42"/>
        <v>272.71800000000002</v>
      </c>
      <c r="AJ144" s="41">
        <f t="shared" si="49"/>
        <v>47.222852767488007</v>
      </c>
      <c r="AK144" s="121">
        <f t="shared" si="70"/>
        <v>6206.3567081910069</v>
      </c>
      <c r="AL144" s="154">
        <v>806.2</v>
      </c>
      <c r="AM144" s="152">
        <f t="shared" si="46"/>
        <v>7332.4975609584944</v>
      </c>
      <c r="AN144" s="42">
        <f t="shared" si="69"/>
        <v>8505.6971707118537</v>
      </c>
      <c r="AO144" s="42">
        <f t="shared" si="47"/>
        <v>51150.30282928815</v>
      </c>
      <c r="AP144" s="61">
        <f t="shared" si="48"/>
        <v>8505.6971707118537</v>
      </c>
      <c r="AQ144" s="248">
        <f>AN144</f>
        <v>8505.6971707118537</v>
      </c>
      <c r="AR144" s="7"/>
      <c r="AS144" s="269"/>
    </row>
    <row r="145" spans="21:45" ht="15.75" thickBot="1" x14ac:dyDescent="0.3">
      <c r="U145" s="281"/>
      <c r="V145" s="75">
        <v>54</v>
      </c>
      <c r="W145" s="48">
        <f>W140+V145</f>
        <v>928</v>
      </c>
      <c r="X145" s="49">
        <f>X140+Y145</f>
        <v>123</v>
      </c>
      <c r="Y145" s="50">
        <v>5</v>
      </c>
      <c r="Z145" s="81">
        <v>0</v>
      </c>
      <c r="AA145" s="94">
        <v>0</v>
      </c>
      <c r="AB145" s="93">
        <f t="shared" si="84"/>
        <v>3</v>
      </c>
      <c r="AC145" s="102">
        <f>V145/Y145</f>
        <v>10.8</v>
      </c>
      <c r="AD145" s="284"/>
      <c r="AE145" s="284"/>
      <c r="AF145" s="112">
        <f t="shared" si="45"/>
        <v>1.1600000000000001</v>
      </c>
      <c r="AG145" s="115">
        <f t="shared" si="0"/>
        <v>0.11379600000000002</v>
      </c>
      <c r="AH145" s="118">
        <v>0.04</v>
      </c>
      <c r="AI145" s="121">
        <f t="shared" si="42"/>
        <v>272.71800000000002</v>
      </c>
      <c r="AJ145" s="119">
        <f t="shared" si="49"/>
        <v>59.271465139200011</v>
      </c>
      <c r="AK145" s="66">
        <f t="shared" si="70"/>
        <v>0</v>
      </c>
      <c r="AL145" s="66">
        <v>806.2</v>
      </c>
      <c r="AM145" s="66">
        <f t="shared" si="46"/>
        <v>1138.1894651392001</v>
      </c>
      <c r="AN145" s="164">
        <f t="shared" si="69"/>
        <v>1320.2997795614724</v>
      </c>
      <c r="AO145" s="164">
        <f t="shared" si="47"/>
        <v>58335.700220438528</v>
      </c>
      <c r="AP145" s="164">
        <f t="shared" si="48"/>
        <v>1320.2997795614724</v>
      </c>
      <c r="AQ145" s="248">
        <f>AN145</f>
        <v>1320.2997795614724</v>
      </c>
      <c r="AR145" s="7"/>
      <c r="AS145" s="269"/>
    </row>
    <row r="146" spans="21:45" x14ac:dyDescent="0.25">
      <c r="U146" s="279" t="s">
        <v>59</v>
      </c>
      <c r="V146" s="71">
        <f>V148/3</f>
        <v>5</v>
      </c>
      <c r="W146" s="71">
        <f>$W$145+V146</f>
        <v>933</v>
      </c>
      <c r="X146" s="45">
        <v>124</v>
      </c>
      <c r="Y146" s="46">
        <v>1</v>
      </c>
      <c r="Z146" s="84">
        <v>-1.3733333333333333</v>
      </c>
      <c r="AA146" s="95">
        <f>AA148/3</f>
        <v>-0.33333333333333331</v>
      </c>
      <c r="AB146" s="91">
        <f>$AB$145+AA146</f>
        <v>2.6666666666666665</v>
      </c>
      <c r="AC146" s="111">
        <f>AC145+$AE$146</f>
        <v>8.8666666666666671</v>
      </c>
      <c r="AD146" s="282">
        <f>AC148-AC145</f>
        <v>-5.8000000000000007</v>
      </c>
      <c r="AE146" s="282">
        <f>AD146/3</f>
        <v>-1.9333333333333336</v>
      </c>
      <c r="AF146" s="62">
        <f t="shared" si="45"/>
        <v>-1.9333333333333336</v>
      </c>
      <c r="AG146" s="114">
        <f t="shared" si="0"/>
        <v>-0.18966000000000002</v>
      </c>
      <c r="AH146" s="117">
        <v>0.04</v>
      </c>
      <c r="AI146" s="151">
        <f t="shared" si="42"/>
        <v>272.71800000000002</v>
      </c>
      <c r="AJ146" s="121">
        <f t="shared" si="49"/>
        <v>39.950196115200008</v>
      </c>
      <c r="AK146" s="152">
        <f t="shared" si="70"/>
        <v>6685.4598364696467</v>
      </c>
      <c r="AL146" s="171">
        <v>-1343.6666666666667</v>
      </c>
      <c r="AM146" s="169">
        <f t="shared" si="46"/>
        <v>5654.4613659181796</v>
      </c>
      <c r="AN146" s="61">
        <f t="shared" si="69"/>
        <v>-10931.958640775149</v>
      </c>
      <c r="AO146" s="61">
        <f t="shared" si="47"/>
        <v>70587.958640775149</v>
      </c>
      <c r="AP146" s="61">
        <f t="shared" si="48"/>
        <v>-10931.958640775149</v>
      </c>
      <c r="AQ146" s="5"/>
      <c r="AR146" s="160">
        <f>AN146</f>
        <v>-10931.958640775149</v>
      </c>
      <c r="AS146" s="269">
        <f t="shared" si="53"/>
        <v>10931.958640775149</v>
      </c>
    </row>
    <row r="147" spans="21:45" x14ac:dyDescent="0.25">
      <c r="U147" s="280"/>
      <c r="V147" s="72">
        <f>V146*2</f>
        <v>10</v>
      </c>
      <c r="W147" s="74">
        <f>$W$145+V147</f>
        <v>938</v>
      </c>
      <c r="X147" s="37">
        <v>125</v>
      </c>
      <c r="Y147" s="47">
        <v>2</v>
      </c>
      <c r="Z147" s="83">
        <v>-2.7466666666666666</v>
      </c>
      <c r="AA147" s="96">
        <f>AA146*2</f>
        <v>-0.66666666666666663</v>
      </c>
      <c r="AB147" s="89">
        <f>$AB$145+AA147</f>
        <v>2.3333333333333335</v>
      </c>
      <c r="AC147" s="40">
        <f>AC146+$AE$146</f>
        <v>6.9333333333333336</v>
      </c>
      <c r="AD147" s="283"/>
      <c r="AE147" s="283"/>
      <c r="AF147" s="58">
        <f t="shared" si="45"/>
        <v>-1.9333333333333336</v>
      </c>
      <c r="AG147" s="116">
        <f t="shared" si="0"/>
        <v>-0.18966000000000002</v>
      </c>
      <c r="AH147" s="39">
        <v>0.04</v>
      </c>
      <c r="AI147" s="41">
        <f t="shared" si="42"/>
        <v>272.71800000000002</v>
      </c>
      <c r="AJ147" s="41">
        <f t="shared" si="49"/>
        <v>24.427685068800002</v>
      </c>
      <c r="AK147" s="121">
        <f t="shared" si="70"/>
        <v>2623.1372235200743</v>
      </c>
      <c r="AL147" s="41">
        <v>-1343.6666666666667</v>
      </c>
      <c r="AM147" s="41">
        <f t="shared" si="46"/>
        <v>1576.6162419222076</v>
      </c>
      <c r="AN147" s="42">
        <f t="shared" si="69"/>
        <v>-3048.124734382935</v>
      </c>
      <c r="AO147" s="42">
        <f t="shared" si="47"/>
        <v>62704.124734382938</v>
      </c>
      <c r="AP147" s="61">
        <f t="shared" si="48"/>
        <v>-3048.124734382935</v>
      </c>
      <c r="AQ147" s="5"/>
      <c r="AR147" s="160">
        <f>AN147</f>
        <v>-3048.124734382935</v>
      </c>
      <c r="AS147" s="269">
        <f t="shared" si="53"/>
        <v>3048.124734382935</v>
      </c>
    </row>
    <row r="148" spans="21:45" ht="15.75" thickBot="1" x14ac:dyDescent="0.3">
      <c r="U148" s="281"/>
      <c r="V148" s="75">
        <v>15</v>
      </c>
      <c r="W148" s="48">
        <f>W145+V148</f>
        <v>943</v>
      </c>
      <c r="X148" s="49">
        <f>X145+Y148</f>
        <v>126</v>
      </c>
      <c r="Y148" s="50">
        <v>3</v>
      </c>
      <c r="Z148" s="81">
        <v>-4.12</v>
      </c>
      <c r="AA148" s="94">
        <v>-1</v>
      </c>
      <c r="AB148" s="93">
        <f>$AB$145+AA148</f>
        <v>2</v>
      </c>
      <c r="AC148" s="102">
        <f>V148/Y148</f>
        <v>5</v>
      </c>
      <c r="AD148" s="284"/>
      <c r="AE148" s="284"/>
      <c r="AF148" s="64">
        <f t="shared" si="45"/>
        <v>-1.9333333333333336</v>
      </c>
      <c r="AG148" s="115">
        <f t="shared" si="0"/>
        <v>-0.18966000000000002</v>
      </c>
      <c r="AH148" s="118">
        <v>0.04</v>
      </c>
      <c r="AI148" s="66">
        <f t="shared" si="42"/>
        <v>272.71800000000002</v>
      </c>
      <c r="AJ148" s="119">
        <f t="shared" si="49"/>
        <v>12.703932000000002</v>
      </c>
      <c r="AK148" s="66">
        <f t="shared" si="70"/>
        <v>-5656.2338652236467</v>
      </c>
      <c r="AL148" s="173">
        <v>-1343.6666666666667</v>
      </c>
      <c r="AM148" s="152">
        <f t="shared" si="46"/>
        <v>-6714.4785998903135</v>
      </c>
      <c r="AN148" s="164">
        <f t="shared" si="69"/>
        <v>12981.325293121274</v>
      </c>
      <c r="AO148" s="164">
        <f t="shared" si="47"/>
        <v>46674.674706878723</v>
      </c>
      <c r="AP148" s="164">
        <f t="shared" si="48"/>
        <v>12981.325293121274</v>
      </c>
      <c r="AQ148" s="248">
        <f>AN148</f>
        <v>12981.325293121274</v>
      </c>
      <c r="AR148" s="7"/>
      <c r="AS148" s="269"/>
    </row>
    <row r="149" spans="21:45" x14ac:dyDescent="0.25">
      <c r="U149" s="279" t="s">
        <v>60</v>
      </c>
      <c r="V149" s="71">
        <f>V151/3</f>
        <v>4</v>
      </c>
      <c r="W149" s="78">
        <f>$W$148+V149</f>
        <v>947</v>
      </c>
      <c r="X149" s="45">
        <v>127</v>
      </c>
      <c r="Y149" s="46">
        <v>1</v>
      </c>
      <c r="Z149" s="84">
        <v>-2.7466666666666666</v>
      </c>
      <c r="AA149" s="95">
        <f>AA150*2</f>
        <v>-0.66666666666666663</v>
      </c>
      <c r="AB149" s="91">
        <f>$AB$148+AA149</f>
        <v>1.3333333333333335</v>
      </c>
      <c r="AC149" s="111">
        <f>AC148+$AE$149</f>
        <v>4.666666666666667</v>
      </c>
      <c r="AD149" s="282">
        <f>AC151-AC148</f>
        <v>-1</v>
      </c>
      <c r="AE149" s="282">
        <f>AD149/3</f>
        <v>-0.33333333333333331</v>
      </c>
      <c r="AF149" s="58">
        <f t="shared" si="45"/>
        <v>-0.33333333333333304</v>
      </c>
      <c r="AG149" s="114">
        <f t="shared" si="0"/>
        <v>-3.2699999999999972E-2</v>
      </c>
      <c r="AH149" s="117">
        <v>0.04</v>
      </c>
      <c r="AI149" s="60">
        <f t="shared" si="42"/>
        <v>272.71800000000002</v>
      </c>
      <c r="AJ149" s="121">
        <f t="shared" si="49"/>
        <v>11.066536320000003</v>
      </c>
      <c r="AK149" s="152">
        <f t="shared" si="70"/>
        <v>2623.1372235200743</v>
      </c>
      <c r="AL149" s="171">
        <v>-231.66666666666646</v>
      </c>
      <c r="AM149" s="169">
        <f t="shared" si="46"/>
        <v>2675.2550931734077</v>
      </c>
      <c r="AN149" s="61">
        <f t="shared" si="69"/>
        <v>-891.75169772446839</v>
      </c>
      <c r="AO149" s="61">
        <f t="shared" si="47"/>
        <v>60547.751697724467</v>
      </c>
      <c r="AP149" s="61">
        <f t="shared" si="48"/>
        <v>-891.75169772446839</v>
      </c>
      <c r="AQ149" s="5"/>
      <c r="AR149" s="160">
        <f>AN149</f>
        <v>-891.75169772446839</v>
      </c>
      <c r="AS149" s="269">
        <f t="shared" si="53"/>
        <v>891.75169772446839</v>
      </c>
    </row>
    <row r="150" spans="21:45" x14ac:dyDescent="0.25">
      <c r="U150" s="280"/>
      <c r="V150" s="72">
        <f>V149*2</f>
        <v>8</v>
      </c>
      <c r="W150" s="72">
        <f>$W$148+V150</f>
        <v>951</v>
      </c>
      <c r="X150" s="37">
        <v>128</v>
      </c>
      <c r="Y150" s="47">
        <v>2</v>
      </c>
      <c r="Z150" s="83">
        <v>-1.3733333333333333</v>
      </c>
      <c r="AA150" s="96">
        <f>AA148/3</f>
        <v>-0.33333333333333331</v>
      </c>
      <c r="AB150" s="89">
        <f t="shared" ref="AB150:AB151" si="86">$AB$148+AA150</f>
        <v>1.6666666666666667</v>
      </c>
      <c r="AC150" s="40">
        <f>AC149+$AE$149</f>
        <v>4.3333333333333339</v>
      </c>
      <c r="AD150" s="283"/>
      <c r="AE150" s="283"/>
      <c r="AF150" s="58">
        <f t="shared" si="45"/>
        <v>-0.33333333333333304</v>
      </c>
      <c r="AG150" s="116">
        <f t="shared" si="0"/>
        <v>-3.2699999999999972E-2</v>
      </c>
      <c r="AH150" s="39">
        <v>0.04</v>
      </c>
      <c r="AI150" s="41">
        <f t="shared" ref="AI150:AI205" si="87">$C$6*9.81*AH150</f>
        <v>272.71800000000002</v>
      </c>
      <c r="AJ150" s="41">
        <f t="shared" si="49"/>
        <v>9.5420644800000023</v>
      </c>
      <c r="AK150" s="121">
        <f t="shared" si="70"/>
        <v>6685.4598364696467</v>
      </c>
      <c r="AL150" s="154">
        <v>-231.66666666666646</v>
      </c>
      <c r="AM150" s="41">
        <f t="shared" si="46"/>
        <v>6736.0532342829811</v>
      </c>
      <c r="AN150" s="42">
        <f t="shared" ref="AN150:AN181" si="88">AM150*AF150</f>
        <v>-2245.3510780943252</v>
      </c>
      <c r="AO150" s="42">
        <f t="shared" si="47"/>
        <v>61901.351078094325</v>
      </c>
      <c r="AP150" s="61">
        <f t="shared" si="48"/>
        <v>-2245.3510780943252</v>
      </c>
      <c r="AQ150" s="5"/>
      <c r="AR150" s="160">
        <f>AN150</f>
        <v>-2245.3510780943252</v>
      </c>
      <c r="AS150" s="269">
        <f t="shared" si="53"/>
        <v>2245.3510780943252</v>
      </c>
    </row>
    <row r="151" spans="21:45" ht="15.75" thickBot="1" x14ac:dyDescent="0.3">
      <c r="U151" s="281"/>
      <c r="V151" s="75">
        <v>12</v>
      </c>
      <c r="W151" s="48">
        <f>W148+V151</f>
        <v>955</v>
      </c>
      <c r="X151" s="49">
        <f>X148+Y151</f>
        <v>129</v>
      </c>
      <c r="Y151" s="50">
        <v>3</v>
      </c>
      <c r="Z151" s="81">
        <v>0</v>
      </c>
      <c r="AA151" s="94">
        <v>0</v>
      </c>
      <c r="AB151" s="93">
        <f t="shared" si="86"/>
        <v>2</v>
      </c>
      <c r="AC151" s="102">
        <f>V151/Y151</f>
        <v>4</v>
      </c>
      <c r="AD151" s="284"/>
      <c r="AE151" s="284"/>
      <c r="AF151" s="112">
        <f t="shared" si="45"/>
        <v>-0.33333333333333393</v>
      </c>
      <c r="AG151" s="115">
        <f t="shared" si="0"/>
        <v>-3.2700000000000062E-2</v>
      </c>
      <c r="AH151" s="118">
        <v>0.04</v>
      </c>
      <c r="AI151" s="121">
        <f t="shared" si="87"/>
        <v>272.71800000000002</v>
      </c>
      <c r="AJ151" s="119">
        <f t="shared" si="49"/>
        <v>8.1305164800000007</v>
      </c>
      <c r="AK151" s="121">
        <f t="shared" ref="AK151:AK182" si="89">$C$6*9.81*-SIN(Z151)</f>
        <v>0</v>
      </c>
      <c r="AL151" s="66">
        <v>-231.66666666666708</v>
      </c>
      <c r="AM151" s="66">
        <f t="shared" si="46"/>
        <v>49.181849813332917</v>
      </c>
      <c r="AN151" s="164">
        <f t="shared" si="88"/>
        <v>-16.39394993777767</v>
      </c>
      <c r="AO151" s="164">
        <f t="shared" si="47"/>
        <v>59672.393949937781</v>
      </c>
      <c r="AP151" s="164">
        <f t="shared" si="48"/>
        <v>-16.39394993777767</v>
      </c>
      <c r="AQ151" s="5"/>
      <c r="AR151" s="160">
        <f>AN151</f>
        <v>-16.39394993777767</v>
      </c>
      <c r="AS151" s="269">
        <f t="shared" si="53"/>
        <v>16.39394993777767</v>
      </c>
    </row>
    <row r="152" spans="21:45" x14ac:dyDescent="0.25">
      <c r="U152" s="279" t="s">
        <v>61</v>
      </c>
      <c r="V152" s="71">
        <f>V155/4</f>
        <v>5.75</v>
      </c>
      <c r="W152" s="71">
        <f>$W$151+V152</f>
        <v>960.75</v>
      </c>
      <c r="X152" s="45">
        <v>130</v>
      </c>
      <c r="Y152" s="46">
        <v>1</v>
      </c>
      <c r="Z152" s="84">
        <v>-1.3274999999999999</v>
      </c>
      <c r="AA152" s="95">
        <f>AA155/4</f>
        <v>-0.5</v>
      </c>
      <c r="AB152" s="91">
        <f>$AB$151+AA152</f>
        <v>1.5</v>
      </c>
      <c r="AC152" s="111">
        <f>AC151+$AE$152</f>
        <v>4.4375</v>
      </c>
      <c r="AD152" s="282">
        <f>AC155-AC151</f>
        <v>1.75</v>
      </c>
      <c r="AE152" s="282">
        <f>AD152/4</f>
        <v>0.4375</v>
      </c>
      <c r="AF152" s="62">
        <f t="shared" ref="AF152:AF205" si="90">AC152-AC151</f>
        <v>0.4375</v>
      </c>
      <c r="AG152" s="114">
        <f t="shared" si="0"/>
        <v>4.2918750000000006E-2</v>
      </c>
      <c r="AH152" s="117">
        <v>0.04</v>
      </c>
      <c r="AI152" s="151">
        <f t="shared" si="87"/>
        <v>272.71800000000002</v>
      </c>
      <c r="AJ152" s="121">
        <f t="shared" si="49"/>
        <v>10.006331439375002</v>
      </c>
      <c r="AK152" s="151">
        <f t="shared" si="89"/>
        <v>6617.155601592066</v>
      </c>
      <c r="AL152" s="174">
        <v>304.0625</v>
      </c>
      <c r="AM152" s="151">
        <f t="shared" ref="AM152:AM205" si="91">AI152+AJ152+AK152+AL152</f>
        <v>7203.9424330314414</v>
      </c>
      <c r="AN152" s="61">
        <f t="shared" si="88"/>
        <v>3151.7248144512555</v>
      </c>
      <c r="AO152" s="61">
        <f t="shared" ref="AO152:AO205" si="92">$C$5-AN152</f>
        <v>56504.275185548744</v>
      </c>
      <c r="AP152" s="61">
        <f t="shared" si="48"/>
        <v>3151.7248144512555</v>
      </c>
      <c r="AQ152" s="248">
        <f>AN152</f>
        <v>3151.7248144512555</v>
      </c>
      <c r="AR152" s="7"/>
      <c r="AS152" s="269"/>
    </row>
    <row r="153" spans="21:45" x14ac:dyDescent="0.25">
      <c r="U153" s="280"/>
      <c r="V153" s="72">
        <f>V152*2</f>
        <v>11.5</v>
      </c>
      <c r="W153" s="74">
        <f t="shared" ref="W153:W154" si="93">$W$151+V153</f>
        <v>966.5</v>
      </c>
      <c r="X153" s="37">
        <v>131</v>
      </c>
      <c r="Y153" s="47">
        <v>2</v>
      </c>
      <c r="Z153" s="83">
        <v>-2.6549999999999998</v>
      </c>
      <c r="AA153" s="96">
        <f>AA152*2</f>
        <v>-1</v>
      </c>
      <c r="AB153" s="89">
        <f t="shared" ref="AB153:AB155" si="94">$AB$151+AA153</f>
        <v>1</v>
      </c>
      <c r="AC153" s="40">
        <f t="shared" ref="AC153:AC154" si="95">AC152+$AE$152</f>
        <v>4.875</v>
      </c>
      <c r="AD153" s="283"/>
      <c r="AE153" s="283"/>
      <c r="AF153" s="58">
        <f t="shared" si="90"/>
        <v>0.4375</v>
      </c>
      <c r="AG153" s="116">
        <f t="shared" si="0"/>
        <v>4.2918750000000006E-2</v>
      </c>
      <c r="AH153" s="39">
        <v>0.04</v>
      </c>
      <c r="AI153" s="41">
        <f t="shared" si="87"/>
        <v>272.71800000000002</v>
      </c>
      <c r="AJ153" s="41">
        <f t="shared" si="49"/>
        <v>12.076675357500001</v>
      </c>
      <c r="AK153" s="121">
        <f t="shared" si="89"/>
        <v>3188.1876091216914</v>
      </c>
      <c r="AL153" s="154">
        <v>304.0625</v>
      </c>
      <c r="AM153" s="41">
        <f t="shared" si="91"/>
        <v>3777.0447844791915</v>
      </c>
      <c r="AN153" s="42">
        <f t="shared" si="88"/>
        <v>1652.4570932096462</v>
      </c>
      <c r="AO153" s="42">
        <f t="shared" si="92"/>
        <v>58003.542906790353</v>
      </c>
      <c r="AP153" s="61">
        <f t="shared" ref="AP153:AP205" si="96">AN153/$Y$23</f>
        <v>1652.4570932096462</v>
      </c>
      <c r="AQ153" s="248">
        <f>AN153</f>
        <v>1652.4570932096462</v>
      </c>
      <c r="AR153" s="7"/>
      <c r="AS153" s="269"/>
    </row>
    <row r="154" spans="21:45" x14ac:dyDescent="0.25">
      <c r="U154" s="280"/>
      <c r="V154" s="72">
        <f>V152*3</f>
        <v>17.25</v>
      </c>
      <c r="W154" s="74">
        <f t="shared" si="93"/>
        <v>972.25</v>
      </c>
      <c r="X154" s="37">
        <v>132</v>
      </c>
      <c r="Y154" s="47">
        <v>3</v>
      </c>
      <c r="Z154" s="83">
        <v>-3.9824999999999999</v>
      </c>
      <c r="AA154" s="96">
        <f>AA152*3</f>
        <v>-1.5</v>
      </c>
      <c r="AB154" s="89">
        <f t="shared" si="94"/>
        <v>0.5</v>
      </c>
      <c r="AC154" s="105">
        <f t="shared" si="95"/>
        <v>5.3125</v>
      </c>
      <c r="AD154" s="283"/>
      <c r="AE154" s="283"/>
      <c r="AF154" s="58">
        <f t="shared" si="90"/>
        <v>0.4375</v>
      </c>
      <c r="AG154" s="116">
        <f t="shared" si="0"/>
        <v>4.2918750000000006E-2</v>
      </c>
      <c r="AH154" s="39">
        <v>0.04</v>
      </c>
      <c r="AI154" s="41">
        <f t="shared" si="87"/>
        <v>272.71800000000002</v>
      </c>
      <c r="AJ154" s="41">
        <f t="shared" si="49"/>
        <v>14.341548234375001</v>
      </c>
      <c r="AK154" s="121">
        <f t="shared" si="89"/>
        <v>-5081.0665562458271</v>
      </c>
      <c r="AL154" s="154">
        <v>304.0625</v>
      </c>
      <c r="AM154" s="152">
        <f t="shared" si="91"/>
        <v>-4489.9445080114519</v>
      </c>
      <c r="AN154" s="42">
        <f t="shared" si="88"/>
        <v>-1964.3507222550102</v>
      </c>
      <c r="AO154" s="42">
        <f t="shared" si="92"/>
        <v>61620.350722255011</v>
      </c>
      <c r="AP154" s="61">
        <f t="shared" si="96"/>
        <v>-1964.3507222550102</v>
      </c>
      <c r="AQ154" s="5"/>
      <c r="AR154" s="160">
        <f>AN154</f>
        <v>-1964.3507222550102</v>
      </c>
      <c r="AS154" s="269">
        <f t="shared" si="53"/>
        <v>1964.3507222550102</v>
      </c>
    </row>
    <row r="155" spans="21:45" ht="15.75" thickBot="1" x14ac:dyDescent="0.3">
      <c r="U155" s="281"/>
      <c r="V155" s="75">
        <v>23</v>
      </c>
      <c r="W155" s="48">
        <f>W151+V155</f>
        <v>978</v>
      </c>
      <c r="X155" s="49">
        <f>X151+Y155</f>
        <v>133</v>
      </c>
      <c r="Y155" s="50">
        <v>4</v>
      </c>
      <c r="Z155" s="81">
        <v>-5.31</v>
      </c>
      <c r="AA155" s="94">
        <v>-2</v>
      </c>
      <c r="AB155" s="93">
        <f t="shared" si="94"/>
        <v>0</v>
      </c>
      <c r="AC155" s="102">
        <f>V155/Y155</f>
        <v>5.75</v>
      </c>
      <c r="AD155" s="284"/>
      <c r="AE155" s="284"/>
      <c r="AF155" s="64">
        <f t="shared" si="90"/>
        <v>0.4375</v>
      </c>
      <c r="AG155" s="115">
        <f t="shared" si="0"/>
        <v>4.2918750000000006E-2</v>
      </c>
      <c r="AH155" s="118">
        <v>0.04</v>
      </c>
      <c r="AI155" s="121">
        <f t="shared" si="87"/>
        <v>272.71800000000002</v>
      </c>
      <c r="AJ155" s="119">
        <f t="shared" si="49"/>
        <v>16.800950070000003</v>
      </c>
      <c r="AK155" s="121">
        <f t="shared" si="89"/>
        <v>-5636.2777570771123</v>
      </c>
      <c r="AL155" s="66">
        <v>304.0625</v>
      </c>
      <c r="AM155" s="66">
        <f t="shared" si="91"/>
        <v>-5042.6963070071124</v>
      </c>
      <c r="AN155" s="164">
        <f t="shared" si="88"/>
        <v>-2206.1796343156116</v>
      </c>
      <c r="AO155" s="164">
        <f t="shared" si="92"/>
        <v>61862.179634315609</v>
      </c>
      <c r="AP155" s="164">
        <f t="shared" si="96"/>
        <v>-2206.1796343156116</v>
      </c>
      <c r="AQ155" s="5"/>
      <c r="AR155" s="160">
        <f>AN155</f>
        <v>-2206.1796343156116</v>
      </c>
      <c r="AS155" s="269">
        <f t="shared" si="53"/>
        <v>2206.1796343156116</v>
      </c>
    </row>
    <row r="156" spans="21:45" x14ac:dyDescent="0.25">
      <c r="U156" s="279" t="s">
        <v>62</v>
      </c>
      <c r="V156" s="71">
        <f>V161/6</f>
        <v>22</v>
      </c>
      <c r="W156" s="78">
        <f>$W$155+V156</f>
        <v>1000</v>
      </c>
      <c r="X156" s="45">
        <v>134</v>
      </c>
      <c r="Y156" s="46">
        <v>1</v>
      </c>
      <c r="Z156" s="84">
        <v>-4.4249999999999998</v>
      </c>
      <c r="AA156" s="95">
        <f>AA160*5</f>
        <v>-1.6666666666666665</v>
      </c>
      <c r="AB156" s="91">
        <f>$AB$155+AA156</f>
        <v>-1.6666666666666665</v>
      </c>
      <c r="AC156" s="111">
        <f>AC155+$AE$156</f>
        <v>8.4583333333333339</v>
      </c>
      <c r="AD156" s="282">
        <f>AC161-AC155</f>
        <v>16.25</v>
      </c>
      <c r="AE156" s="282">
        <f>AD156/6</f>
        <v>2.7083333333333335</v>
      </c>
      <c r="AF156" s="58">
        <f t="shared" si="90"/>
        <v>2.7083333333333339</v>
      </c>
      <c r="AG156" s="114">
        <f t="shared" si="0"/>
        <v>0.26568750000000008</v>
      </c>
      <c r="AH156" s="117">
        <v>0.04</v>
      </c>
      <c r="AI156" s="151">
        <f t="shared" si="87"/>
        <v>272.71800000000002</v>
      </c>
      <c r="AJ156" s="121">
        <f t="shared" ref="AJ156:AJ190" si="97">0.5*$C$18*$C$20*$C$22*(AC156*AC156)</f>
        <v>36.355300957500006</v>
      </c>
      <c r="AK156" s="151">
        <f t="shared" si="89"/>
        <v>-6538.3270199446215</v>
      </c>
      <c r="AL156" s="174">
        <v>1882.291666666667</v>
      </c>
      <c r="AM156" s="169">
        <f t="shared" si="91"/>
        <v>-4346.9620523204549</v>
      </c>
      <c r="AN156" s="61">
        <f t="shared" si="88"/>
        <v>-11773.022225034569</v>
      </c>
      <c r="AO156" s="61">
        <f t="shared" si="92"/>
        <v>71429.022225034569</v>
      </c>
      <c r="AP156" s="61">
        <f t="shared" si="96"/>
        <v>-11773.022225034569</v>
      </c>
      <c r="AQ156" s="5"/>
      <c r="AR156" s="160">
        <f>AN156</f>
        <v>-11773.022225034569</v>
      </c>
      <c r="AS156" s="269">
        <f t="shared" si="53"/>
        <v>11773.022225034569</v>
      </c>
    </row>
    <row r="157" spans="21:45" x14ac:dyDescent="0.25">
      <c r="U157" s="280"/>
      <c r="V157" s="72">
        <f>V156*2</f>
        <v>44</v>
      </c>
      <c r="W157" s="72">
        <f t="shared" ref="W157:W160" si="98">$W$155+V157</f>
        <v>1022</v>
      </c>
      <c r="X157" s="37">
        <v>135</v>
      </c>
      <c r="Y157" s="47">
        <v>2</v>
      </c>
      <c r="Z157" s="83">
        <v>-3.5399999999999996</v>
      </c>
      <c r="AA157" s="96">
        <f>AA160*4</f>
        <v>-1.3333333333333333</v>
      </c>
      <c r="AB157" s="89">
        <f t="shared" ref="AB157:AB161" si="99">$AB$155+AA157</f>
        <v>-1.3333333333333333</v>
      </c>
      <c r="AC157" s="40">
        <f t="shared" ref="AC157:AC160" si="100">AC156+$AE$156</f>
        <v>11.166666666666668</v>
      </c>
      <c r="AD157" s="283"/>
      <c r="AE157" s="283"/>
      <c r="AF157" s="58">
        <f t="shared" si="90"/>
        <v>2.7083333333333339</v>
      </c>
      <c r="AG157" s="116">
        <f t="shared" si="0"/>
        <v>0.26568750000000008</v>
      </c>
      <c r="AH157" s="39">
        <v>0.04</v>
      </c>
      <c r="AI157" s="41">
        <f t="shared" si="87"/>
        <v>272.71800000000002</v>
      </c>
      <c r="AJ157" s="41">
        <f t="shared" si="97"/>
        <v>63.36438972000002</v>
      </c>
      <c r="AK157" s="121">
        <f t="shared" si="89"/>
        <v>-2645.029960980818</v>
      </c>
      <c r="AL157" s="154">
        <v>1882.291666666667</v>
      </c>
      <c r="AM157" s="41">
        <f t="shared" si="91"/>
        <v>-426.65590459415125</v>
      </c>
      <c r="AN157" s="42">
        <f t="shared" si="88"/>
        <v>-1155.5264082758265</v>
      </c>
      <c r="AO157" s="42">
        <f t="shared" si="92"/>
        <v>60811.526408275829</v>
      </c>
      <c r="AP157" s="61">
        <f t="shared" si="96"/>
        <v>-1155.5264082758265</v>
      </c>
      <c r="AQ157" s="5"/>
      <c r="AR157" s="160">
        <f>AN157</f>
        <v>-1155.5264082758265</v>
      </c>
      <c r="AS157" s="269">
        <f t="shared" ref="AS157:AS203" si="101">0-AR157</f>
        <v>1155.5264082758265</v>
      </c>
    </row>
    <row r="158" spans="21:45" x14ac:dyDescent="0.25">
      <c r="U158" s="280"/>
      <c r="V158" s="72">
        <f>V156*3</f>
        <v>66</v>
      </c>
      <c r="W158" s="76">
        <f t="shared" si="98"/>
        <v>1044</v>
      </c>
      <c r="X158" s="37">
        <v>136</v>
      </c>
      <c r="Y158" s="47">
        <v>3</v>
      </c>
      <c r="Z158" s="83">
        <v>-2.6549999999999998</v>
      </c>
      <c r="AA158" s="96">
        <f>AA160*3</f>
        <v>-1</v>
      </c>
      <c r="AB158" s="89">
        <f t="shared" si="99"/>
        <v>-1</v>
      </c>
      <c r="AC158" s="40">
        <f t="shared" si="100"/>
        <v>13.875000000000002</v>
      </c>
      <c r="AD158" s="283"/>
      <c r="AE158" s="283"/>
      <c r="AF158" s="58">
        <f t="shared" si="90"/>
        <v>2.7083333333333339</v>
      </c>
      <c r="AG158" s="116">
        <f t="shared" si="0"/>
        <v>0.26568750000000008</v>
      </c>
      <c r="AH158" s="39">
        <v>0.04</v>
      </c>
      <c r="AI158" s="41">
        <f t="shared" si="87"/>
        <v>272.71800000000002</v>
      </c>
      <c r="AJ158" s="41">
        <f t="shared" si="97"/>
        <v>97.82821635750004</v>
      </c>
      <c r="AK158" s="121">
        <f t="shared" si="89"/>
        <v>3188.1876091216914</v>
      </c>
      <c r="AL158" s="154">
        <v>1882.291666666667</v>
      </c>
      <c r="AM158" s="41">
        <f t="shared" si="91"/>
        <v>5441.0254921458582</v>
      </c>
      <c r="AN158" s="42">
        <f t="shared" si="88"/>
        <v>14736.110707895035</v>
      </c>
      <c r="AO158" s="42">
        <f t="shared" si="92"/>
        <v>44919.889292104963</v>
      </c>
      <c r="AP158" s="61">
        <f t="shared" si="96"/>
        <v>14736.110707895035</v>
      </c>
      <c r="AQ158" s="248">
        <f>AN158</f>
        <v>14736.110707895035</v>
      </c>
      <c r="AR158" s="7"/>
      <c r="AS158" s="269"/>
    </row>
    <row r="159" spans="21:45" x14ac:dyDescent="0.25">
      <c r="U159" s="280"/>
      <c r="V159" s="72">
        <f>V156*4</f>
        <v>88</v>
      </c>
      <c r="W159" s="72">
        <f t="shared" si="98"/>
        <v>1066</v>
      </c>
      <c r="X159" s="37">
        <v>137</v>
      </c>
      <c r="Y159" s="47">
        <v>4</v>
      </c>
      <c r="Z159" s="83">
        <v>-1.7699999999999998</v>
      </c>
      <c r="AA159" s="96">
        <f>AA160*2</f>
        <v>-0.66666666666666663</v>
      </c>
      <c r="AB159" s="89">
        <f t="shared" si="99"/>
        <v>-0.66666666666666663</v>
      </c>
      <c r="AC159" s="40">
        <f t="shared" si="100"/>
        <v>16.583333333333336</v>
      </c>
      <c r="AD159" s="283"/>
      <c r="AE159" s="283"/>
      <c r="AF159" s="58">
        <f t="shared" si="90"/>
        <v>2.7083333333333339</v>
      </c>
      <c r="AG159" s="116">
        <f t="shared" si="0"/>
        <v>0.26568750000000008</v>
      </c>
      <c r="AH159" s="39">
        <v>0.04</v>
      </c>
      <c r="AI159" s="41">
        <f t="shared" si="87"/>
        <v>272.71800000000002</v>
      </c>
      <c r="AJ159" s="41">
        <f t="shared" si="97"/>
        <v>139.74678087000004</v>
      </c>
      <c r="AK159" s="121">
        <f t="shared" si="89"/>
        <v>6683.1214442452556</v>
      </c>
      <c r="AL159" s="154">
        <v>1882.291666666667</v>
      </c>
      <c r="AM159" s="152">
        <f t="shared" si="91"/>
        <v>8977.8778917819218</v>
      </c>
      <c r="AN159" s="42">
        <f t="shared" si="88"/>
        <v>24315.085956909377</v>
      </c>
      <c r="AO159" s="42">
        <f t="shared" si="92"/>
        <v>35340.914043090626</v>
      </c>
      <c r="AP159" s="61">
        <f t="shared" si="96"/>
        <v>24315.085956909377</v>
      </c>
      <c r="AQ159" s="248">
        <f>AN159</f>
        <v>24315.085956909377</v>
      </c>
      <c r="AR159" s="7"/>
      <c r="AS159" s="269"/>
    </row>
    <row r="160" spans="21:45" x14ac:dyDescent="0.25">
      <c r="U160" s="280"/>
      <c r="V160" s="72">
        <f>V156*5</f>
        <v>110</v>
      </c>
      <c r="W160" s="74">
        <f t="shared" si="98"/>
        <v>1088</v>
      </c>
      <c r="X160" s="37">
        <v>138</v>
      </c>
      <c r="Y160" s="47">
        <v>5</v>
      </c>
      <c r="Z160" s="83">
        <v>-0.8849999999999999</v>
      </c>
      <c r="AA160" s="96">
        <f>AA155/6</f>
        <v>-0.33333333333333331</v>
      </c>
      <c r="AB160" s="89">
        <f t="shared" si="99"/>
        <v>-0.33333333333333331</v>
      </c>
      <c r="AC160" s="40">
        <f t="shared" si="100"/>
        <v>19.291666666666668</v>
      </c>
      <c r="AD160" s="283"/>
      <c r="AE160" s="283"/>
      <c r="AF160" s="58">
        <f t="shared" si="90"/>
        <v>2.7083333333333321</v>
      </c>
      <c r="AG160" s="116">
        <f t="shared" si="0"/>
        <v>0.26568749999999991</v>
      </c>
      <c r="AH160" s="39">
        <v>0.04</v>
      </c>
      <c r="AI160" s="41">
        <f t="shared" si="87"/>
        <v>272.71800000000002</v>
      </c>
      <c r="AJ160" s="41">
        <f t="shared" si="97"/>
        <v>189.12008325750006</v>
      </c>
      <c r="AK160" s="121">
        <f t="shared" si="89"/>
        <v>5276.5136865035411</v>
      </c>
      <c r="AL160" s="154">
        <v>1882.2916666666658</v>
      </c>
      <c r="AM160" s="41">
        <f t="shared" si="91"/>
        <v>7620.6434364277075</v>
      </c>
      <c r="AN160" s="42">
        <f t="shared" si="88"/>
        <v>20639.242640325032</v>
      </c>
      <c r="AO160" s="42">
        <f t="shared" si="92"/>
        <v>39016.757359674972</v>
      </c>
      <c r="AP160" s="61">
        <f t="shared" si="96"/>
        <v>20639.242640325032</v>
      </c>
      <c r="AQ160" s="248">
        <f>AN160</f>
        <v>20639.242640325032</v>
      </c>
      <c r="AR160" s="7"/>
      <c r="AS160" s="269"/>
    </row>
    <row r="161" spans="21:45" ht="15.75" thickBot="1" x14ac:dyDescent="0.3">
      <c r="U161" s="281"/>
      <c r="V161" s="75">
        <v>132</v>
      </c>
      <c r="W161" s="48">
        <f>W155+V161</f>
        <v>1110</v>
      </c>
      <c r="X161" s="49">
        <f>X155+Y161</f>
        <v>139</v>
      </c>
      <c r="Y161" s="50">
        <v>6</v>
      </c>
      <c r="Z161" s="81">
        <v>0</v>
      </c>
      <c r="AA161" s="94">
        <v>0</v>
      </c>
      <c r="AB161" s="93">
        <f t="shared" si="99"/>
        <v>0</v>
      </c>
      <c r="AC161" s="102">
        <f>V161/Y161</f>
        <v>22</v>
      </c>
      <c r="AD161" s="284"/>
      <c r="AE161" s="284"/>
      <c r="AF161" s="64">
        <f t="shared" si="90"/>
        <v>2.7083333333333321</v>
      </c>
      <c r="AG161" s="115">
        <f t="shared" si="0"/>
        <v>0.26568749999999991</v>
      </c>
      <c r="AH161" s="118">
        <v>0.04</v>
      </c>
      <c r="AI161" s="121">
        <f t="shared" si="87"/>
        <v>272.71800000000002</v>
      </c>
      <c r="AJ161" s="119">
        <f t="shared" si="97"/>
        <v>245.94812352000002</v>
      </c>
      <c r="AK161" s="66">
        <f t="shared" si="89"/>
        <v>0</v>
      </c>
      <c r="AL161" s="66">
        <v>1882.2916666666658</v>
      </c>
      <c r="AM161" s="66">
        <f t="shared" si="91"/>
        <v>2400.957790186666</v>
      </c>
      <c r="AN161" s="164">
        <f t="shared" si="88"/>
        <v>6502.5940150888846</v>
      </c>
      <c r="AO161" s="164">
        <f t="shared" si="92"/>
        <v>53153.405984911115</v>
      </c>
      <c r="AP161" s="164">
        <f t="shared" si="96"/>
        <v>6502.5940150888846</v>
      </c>
      <c r="AQ161" s="248">
        <f>AN161</f>
        <v>6502.5940150888846</v>
      </c>
      <c r="AR161" s="7"/>
      <c r="AS161" s="269"/>
    </row>
    <row r="162" spans="21:45" x14ac:dyDescent="0.25">
      <c r="U162" s="279" t="s">
        <v>63</v>
      </c>
      <c r="V162" s="71">
        <f>V164/3</f>
        <v>4.666666666666667</v>
      </c>
      <c r="W162" s="71">
        <f>$W$161+V162</f>
        <v>1114.6666666666667</v>
      </c>
      <c r="X162" s="45">
        <v>140</v>
      </c>
      <c r="Y162" s="46">
        <v>1</v>
      </c>
      <c r="Z162" s="84">
        <v>-2.4866666666666668</v>
      </c>
      <c r="AA162" s="95">
        <f>AA164/3</f>
        <v>-0.33333333333333331</v>
      </c>
      <c r="AB162" s="91">
        <f>$AB$161+AA162</f>
        <v>-0.33333333333333331</v>
      </c>
      <c r="AC162" s="111">
        <f>AC161+$AE$162</f>
        <v>16.222222222222221</v>
      </c>
      <c r="AD162" s="282">
        <f>AC164-AC161</f>
        <v>-17.333333333333332</v>
      </c>
      <c r="AE162" s="282">
        <f>AD162/3</f>
        <v>-5.7777777777777777</v>
      </c>
      <c r="AF162" s="58">
        <f t="shared" si="90"/>
        <v>-5.7777777777777786</v>
      </c>
      <c r="AG162" s="114">
        <f t="shared" si="0"/>
        <v>-0.56680000000000008</v>
      </c>
      <c r="AH162" s="117">
        <v>0.04</v>
      </c>
      <c r="AI162" s="151">
        <f t="shared" si="87"/>
        <v>272.71800000000002</v>
      </c>
      <c r="AJ162" s="121">
        <f t="shared" si="97"/>
        <v>133.72692074666665</v>
      </c>
      <c r="AK162" s="60">
        <f t="shared" si="89"/>
        <v>4152.8170658534909</v>
      </c>
      <c r="AL162" s="171">
        <v>-4015.5555555555561</v>
      </c>
      <c r="AM162" s="151">
        <f t="shared" si="91"/>
        <v>543.70643104460169</v>
      </c>
      <c r="AN162" s="61">
        <f t="shared" si="88"/>
        <v>-3141.4149349243658</v>
      </c>
      <c r="AO162" s="61">
        <f t="shared" si="92"/>
        <v>62797.414934924367</v>
      </c>
      <c r="AP162" s="61">
        <f t="shared" si="96"/>
        <v>-3141.4149349243658</v>
      </c>
      <c r="AQ162" s="5"/>
      <c r="AR162" s="160">
        <f>AN162</f>
        <v>-3141.4149349243658</v>
      </c>
      <c r="AS162" s="269">
        <f t="shared" si="101"/>
        <v>3141.4149349243658</v>
      </c>
    </row>
    <row r="163" spans="21:45" x14ac:dyDescent="0.25">
      <c r="U163" s="280"/>
      <c r="V163" s="72">
        <f>V162*2</f>
        <v>9.3333333333333339</v>
      </c>
      <c r="W163" s="74">
        <f>$W$161+V163</f>
        <v>1119.3333333333333</v>
      </c>
      <c r="X163" s="37">
        <v>141</v>
      </c>
      <c r="Y163" s="47">
        <v>2</v>
      </c>
      <c r="Z163" s="83">
        <v>-3.7300000000000004</v>
      </c>
      <c r="AA163" s="96">
        <f>AA162*2</f>
        <v>-0.66666666666666663</v>
      </c>
      <c r="AB163" s="89">
        <f t="shared" ref="AB163:AB164" si="102">$AB$161+AA163</f>
        <v>-0.66666666666666663</v>
      </c>
      <c r="AC163" s="40">
        <f>AC162+$AE$162</f>
        <v>10.444444444444443</v>
      </c>
      <c r="AD163" s="283"/>
      <c r="AE163" s="283"/>
      <c r="AF163" s="58">
        <f t="shared" si="90"/>
        <v>-5.7777777777777786</v>
      </c>
      <c r="AG163" s="116">
        <f t="shared" si="0"/>
        <v>-0.56680000000000008</v>
      </c>
      <c r="AH163" s="39">
        <v>0.04</v>
      </c>
      <c r="AI163" s="41">
        <f t="shared" si="87"/>
        <v>272.71800000000002</v>
      </c>
      <c r="AJ163" s="41">
        <f t="shared" si="97"/>
        <v>55.433058346666655</v>
      </c>
      <c r="AK163" s="121">
        <f t="shared" si="89"/>
        <v>-3784.2139496198142</v>
      </c>
      <c r="AL163" s="41">
        <v>-4015.5555555555561</v>
      </c>
      <c r="AM163" s="60">
        <f t="shared" si="91"/>
        <v>-7471.6184468287038</v>
      </c>
      <c r="AN163" s="42">
        <f t="shared" si="88"/>
        <v>43169.351026121403</v>
      </c>
      <c r="AO163" s="42">
        <f t="shared" si="92"/>
        <v>16486.648973878597</v>
      </c>
      <c r="AP163" s="61">
        <f t="shared" si="96"/>
        <v>43169.351026121403</v>
      </c>
      <c r="AQ163" s="248">
        <f>AN163</f>
        <v>43169.351026121403</v>
      </c>
      <c r="AR163" s="7"/>
      <c r="AS163" s="269"/>
    </row>
    <row r="164" spans="21:45" ht="15.75" thickBot="1" x14ac:dyDescent="0.3">
      <c r="U164" s="281"/>
      <c r="V164" s="75">
        <v>14</v>
      </c>
      <c r="W164" s="48">
        <f>W161+V164</f>
        <v>1124</v>
      </c>
      <c r="X164" s="49">
        <f>X161+Y164</f>
        <v>142</v>
      </c>
      <c r="Y164" s="50">
        <v>3</v>
      </c>
      <c r="Z164" s="81">
        <v>-3.73</v>
      </c>
      <c r="AA164" s="94">
        <v>-1</v>
      </c>
      <c r="AB164" s="90">
        <f t="shared" si="102"/>
        <v>-1</v>
      </c>
      <c r="AC164" s="102">
        <f>V164/Y164</f>
        <v>4.666666666666667</v>
      </c>
      <c r="AD164" s="284"/>
      <c r="AE164" s="284"/>
      <c r="AF164" s="112">
        <f t="shared" si="90"/>
        <v>-5.7777777777777759</v>
      </c>
      <c r="AG164" s="115">
        <f t="shared" si="0"/>
        <v>-0.56679999999999986</v>
      </c>
      <c r="AH164" s="118">
        <v>0.04</v>
      </c>
      <c r="AI164" s="121">
        <f t="shared" si="87"/>
        <v>272.71800000000002</v>
      </c>
      <c r="AJ164" s="119">
        <f t="shared" si="97"/>
        <v>11.066536320000003</v>
      </c>
      <c r="AK164" s="121">
        <f t="shared" si="89"/>
        <v>-3784.213949619812</v>
      </c>
      <c r="AL164" s="171">
        <v>-4015.5555555555543</v>
      </c>
      <c r="AM164" s="152">
        <f t="shared" si="91"/>
        <v>-7515.9849688553659</v>
      </c>
      <c r="AN164" s="164">
        <f t="shared" si="88"/>
        <v>43425.690931164325</v>
      </c>
      <c r="AO164" s="164">
        <f t="shared" si="92"/>
        <v>16230.309068835675</v>
      </c>
      <c r="AP164" s="164">
        <f t="shared" si="96"/>
        <v>43425.690931164325</v>
      </c>
      <c r="AQ164" s="248">
        <f>AN164</f>
        <v>43425.690931164325</v>
      </c>
      <c r="AR164" s="7"/>
      <c r="AS164" s="269"/>
    </row>
    <row r="165" spans="21:45" ht="15.75" thickBot="1" x14ac:dyDescent="0.3">
      <c r="U165" s="130" t="s">
        <v>64</v>
      </c>
      <c r="V165" s="73">
        <v>5</v>
      </c>
      <c r="W165" s="53">
        <f t="shared" ref="W165" si="103">W164+V165</f>
        <v>1129</v>
      </c>
      <c r="X165" s="54">
        <f t="shared" ref="X165" si="104">X164+Y165</f>
        <v>143</v>
      </c>
      <c r="Y165" s="55">
        <v>1</v>
      </c>
      <c r="Z165" s="79">
        <v>0</v>
      </c>
      <c r="AA165" s="101">
        <v>0</v>
      </c>
      <c r="AB165" s="107">
        <f>$AB$164+AA165</f>
        <v>-1</v>
      </c>
      <c r="AC165" s="106">
        <f>V165/Y165</f>
        <v>5</v>
      </c>
      <c r="AD165" s="106">
        <f>AC165-AC161</f>
        <v>-17</v>
      </c>
      <c r="AE165" s="106"/>
      <c r="AF165" s="68">
        <f t="shared" si="90"/>
        <v>0.33333333333333304</v>
      </c>
      <c r="AG165" s="65">
        <f t="shared" si="0"/>
        <v>3.2699999999999972E-2</v>
      </c>
      <c r="AH165" s="69">
        <v>0.04</v>
      </c>
      <c r="AI165" s="153">
        <f t="shared" si="87"/>
        <v>272.71800000000002</v>
      </c>
      <c r="AJ165" s="66">
        <f t="shared" si="97"/>
        <v>12.703932000000002</v>
      </c>
      <c r="AK165" s="153">
        <f t="shared" si="89"/>
        <v>0</v>
      </c>
      <c r="AL165" s="175">
        <v>231.66666666666646</v>
      </c>
      <c r="AM165" s="169">
        <f t="shared" si="91"/>
        <v>517.08859866666648</v>
      </c>
      <c r="AN165" s="120">
        <f t="shared" si="88"/>
        <v>172.36286622222201</v>
      </c>
      <c r="AO165" s="120">
        <f t="shared" si="92"/>
        <v>59483.637133777775</v>
      </c>
      <c r="AP165" s="120">
        <f t="shared" si="96"/>
        <v>172.36286622222201</v>
      </c>
      <c r="AQ165" s="248">
        <f>AN165</f>
        <v>172.36286622222201</v>
      </c>
      <c r="AR165" s="7"/>
      <c r="AS165" s="269"/>
    </row>
    <row r="166" spans="21:45" x14ac:dyDescent="0.25">
      <c r="U166" s="279" t="s">
        <v>65</v>
      </c>
      <c r="V166" s="71">
        <f>V169/4</f>
        <v>4.25</v>
      </c>
      <c r="W166" s="78">
        <f>$W$165+V166</f>
        <v>1133.25</v>
      </c>
      <c r="X166" s="45">
        <v>144</v>
      </c>
      <c r="Y166" s="46">
        <v>1</v>
      </c>
      <c r="Z166" s="84">
        <v>2.2574999999999998</v>
      </c>
      <c r="AA166" s="95">
        <f>AA169/4</f>
        <v>0.75</v>
      </c>
      <c r="AB166" s="91">
        <f>$AB$165+AA166</f>
        <v>-0.25</v>
      </c>
      <c r="AC166" s="111">
        <f>AC165+$AE$166</f>
        <v>4.8125</v>
      </c>
      <c r="AD166" s="282">
        <f>AC169-AC165</f>
        <v>-0.75</v>
      </c>
      <c r="AE166" s="282">
        <f>AD166/4</f>
        <v>-0.1875</v>
      </c>
      <c r="AF166" s="62">
        <f t="shared" si="90"/>
        <v>-0.1875</v>
      </c>
      <c r="AG166" s="114">
        <f t="shared" si="0"/>
        <v>-1.839375E-2</v>
      </c>
      <c r="AH166" s="117">
        <v>0.04</v>
      </c>
      <c r="AI166" s="151">
        <f t="shared" si="87"/>
        <v>272.71800000000002</v>
      </c>
      <c r="AJ166" s="121">
        <f t="shared" si="97"/>
        <v>11.769002004375</v>
      </c>
      <c r="AK166" s="152">
        <f t="shared" si="89"/>
        <v>-5272.5938326217502</v>
      </c>
      <c r="AL166" s="171">
        <v>-130.3125</v>
      </c>
      <c r="AM166" s="169">
        <f t="shared" si="91"/>
        <v>-5118.4193306173747</v>
      </c>
      <c r="AN166" s="61">
        <f t="shared" si="88"/>
        <v>959.70362449075776</v>
      </c>
      <c r="AO166" s="61">
        <f t="shared" si="92"/>
        <v>58696.296375509242</v>
      </c>
      <c r="AP166" s="61">
        <f t="shared" si="96"/>
        <v>959.70362449075776</v>
      </c>
      <c r="AQ166" s="248">
        <f>AN166</f>
        <v>959.70362449075776</v>
      </c>
      <c r="AR166" s="7"/>
      <c r="AS166" s="269"/>
    </row>
    <row r="167" spans="21:45" x14ac:dyDescent="0.25">
      <c r="U167" s="280"/>
      <c r="V167" s="72">
        <f>V166*2</f>
        <v>8.5</v>
      </c>
      <c r="W167" s="76">
        <f t="shared" ref="W167:W168" si="105">$W$165+V167</f>
        <v>1137.5</v>
      </c>
      <c r="X167" s="37">
        <v>145</v>
      </c>
      <c r="Y167" s="47">
        <v>2</v>
      </c>
      <c r="Z167" s="83">
        <v>4.5149999999999997</v>
      </c>
      <c r="AA167" s="96">
        <f>AA166*2</f>
        <v>1.5</v>
      </c>
      <c r="AB167" s="89">
        <f t="shared" ref="AB167:AB169" si="106">$AB$165+AA167</f>
        <v>0.5</v>
      </c>
      <c r="AC167" s="40">
        <f t="shared" ref="AC167:AC168" si="107">AC166+$AE$166</f>
        <v>4.625</v>
      </c>
      <c r="AD167" s="283"/>
      <c r="AE167" s="283"/>
      <c r="AF167" s="58">
        <f t="shared" si="90"/>
        <v>-0.1875</v>
      </c>
      <c r="AG167" s="116">
        <f t="shared" si="0"/>
        <v>-1.839375E-2</v>
      </c>
      <c r="AH167" s="39">
        <v>0.04</v>
      </c>
      <c r="AI167" s="41">
        <f t="shared" si="87"/>
        <v>272.71800000000002</v>
      </c>
      <c r="AJ167" s="41">
        <f t="shared" si="97"/>
        <v>10.869801817500001</v>
      </c>
      <c r="AK167" s="121">
        <f t="shared" si="89"/>
        <v>6685.5588151509282</v>
      </c>
      <c r="AL167" s="154">
        <v>-130.3125</v>
      </c>
      <c r="AM167" s="41">
        <f t="shared" si="91"/>
        <v>6838.8341169684281</v>
      </c>
      <c r="AN167" s="42">
        <f t="shared" si="88"/>
        <v>-1282.2813969315803</v>
      </c>
      <c r="AO167" s="42">
        <f t="shared" si="92"/>
        <v>60938.281396931583</v>
      </c>
      <c r="AP167" s="61">
        <f t="shared" si="96"/>
        <v>-1282.2813969315803</v>
      </c>
      <c r="AQ167" s="248"/>
      <c r="AR167" s="160">
        <f>AN167</f>
        <v>-1282.2813969315803</v>
      </c>
      <c r="AS167" s="269">
        <f t="shared" si="101"/>
        <v>1282.2813969315803</v>
      </c>
    </row>
    <row r="168" spans="21:45" x14ac:dyDescent="0.25">
      <c r="U168" s="280"/>
      <c r="V168" s="72">
        <f>V166*3</f>
        <v>12.75</v>
      </c>
      <c r="W168" s="72">
        <f t="shared" si="105"/>
        <v>1141.75</v>
      </c>
      <c r="X168" s="37">
        <v>146</v>
      </c>
      <c r="Y168" s="47">
        <v>3</v>
      </c>
      <c r="Z168" s="83">
        <v>6.7724999999999991</v>
      </c>
      <c r="AA168" s="96">
        <f>AA166*3</f>
        <v>2.25</v>
      </c>
      <c r="AB168" s="89">
        <f t="shared" si="106"/>
        <v>1.25</v>
      </c>
      <c r="AC168" s="105">
        <f t="shared" si="107"/>
        <v>4.4375</v>
      </c>
      <c r="AD168" s="283"/>
      <c r="AE168" s="283"/>
      <c r="AF168" s="58">
        <f t="shared" si="90"/>
        <v>-0.1875</v>
      </c>
      <c r="AG168" s="116">
        <f t="shared" si="0"/>
        <v>-1.839375E-2</v>
      </c>
      <c r="AH168" s="39">
        <v>0.04</v>
      </c>
      <c r="AI168" s="41">
        <f t="shared" si="87"/>
        <v>272.71800000000002</v>
      </c>
      <c r="AJ168" s="41">
        <f t="shared" si="97"/>
        <v>10.006331439375002</v>
      </c>
      <c r="AK168" s="121">
        <f t="shared" si="89"/>
        <v>-3204.5804178016365</v>
      </c>
      <c r="AL168" s="154">
        <v>-130.3125</v>
      </c>
      <c r="AM168" s="121">
        <f t="shared" si="91"/>
        <v>-3052.1685863622615</v>
      </c>
      <c r="AN168" s="42">
        <f t="shared" si="88"/>
        <v>572.28160994292398</v>
      </c>
      <c r="AO168" s="42">
        <f t="shared" si="92"/>
        <v>59083.718390057074</v>
      </c>
      <c r="AP168" s="61">
        <f t="shared" si="96"/>
        <v>572.28160994292398</v>
      </c>
      <c r="AQ168" s="248">
        <f>AN168</f>
        <v>572.28160994292398</v>
      </c>
      <c r="AR168" s="7"/>
      <c r="AS168" s="269"/>
    </row>
    <row r="169" spans="21:45" ht="15.75" thickBot="1" x14ac:dyDescent="0.3">
      <c r="U169" s="281"/>
      <c r="V169" s="75">
        <v>17</v>
      </c>
      <c r="W169" s="48">
        <f>W165+V169</f>
        <v>1146</v>
      </c>
      <c r="X169" s="49">
        <f>X165+Y169</f>
        <v>147</v>
      </c>
      <c r="Y169" s="50">
        <v>4</v>
      </c>
      <c r="Z169" s="81">
        <v>9.0299999999999994</v>
      </c>
      <c r="AA169" s="94">
        <v>3</v>
      </c>
      <c r="AB169" s="93">
        <f t="shared" si="106"/>
        <v>2</v>
      </c>
      <c r="AC169" s="102">
        <f>V169/Y169</f>
        <v>4.25</v>
      </c>
      <c r="AD169" s="284"/>
      <c r="AE169" s="284"/>
      <c r="AF169" s="112">
        <f t="shared" si="90"/>
        <v>-0.1875</v>
      </c>
      <c r="AG169" s="115">
        <f t="shared" si="0"/>
        <v>-1.839375E-2</v>
      </c>
      <c r="AH169" s="118">
        <v>0.04</v>
      </c>
      <c r="AI169" s="121">
        <f t="shared" si="87"/>
        <v>272.71800000000002</v>
      </c>
      <c r="AJ169" s="119">
        <f t="shared" si="97"/>
        <v>9.1785908700000007</v>
      </c>
      <c r="AK169" s="121">
        <f t="shared" si="89"/>
        <v>-2622.2056456842988</v>
      </c>
      <c r="AL169" s="66">
        <v>-130.3125</v>
      </c>
      <c r="AM169" s="66">
        <f t="shared" si="91"/>
        <v>-2470.6215548142986</v>
      </c>
      <c r="AN169" s="164">
        <f t="shared" si="88"/>
        <v>463.24154152768097</v>
      </c>
      <c r="AO169" s="164">
        <f t="shared" si="92"/>
        <v>59192.758458472323</v>
      </c>
      <c r="AP169" s="164">
        <f t="shared" si="96"/>
        <v>463.24154152768097</v>
      </c>
      <c r="AQ169" s="248">
        <f>AN169</f>
        <v>463.24154152768097</v>
      </c>
      <c r="AR169" s="7"/>
      <c r="AS169" s="269"/>
    </row>
    <row r="170" spans="21:45" x14ac:dyDescent="0.25">
      <c r="U170" s="279" t="s">
        <v>66</v>
      </c>
      <c r="V170" s="71">
        <f>V172/3</f>
        <v>6.666666666666667</v>
      </c>
      <c r="W170" s="78">
        <f>$W$169+V170</f>
        <v>1152.6666666666667</v>
      </c>
      <c r="X170" s="45">
        <v>148</v>
      </c>
      <c r="Y170" s="46">
        <v>1</v>
      </c>
      <c r="Z170" s="84">
        <v>6.02</v>
      </c>
      <c r="AA170" s="95">
        <f>AA171*2</f>
        <v>2</v>
      </c>
      <c r="AB170" s="91">
        <f>$AB$169+AA170</f>
        <v>4</v>
      </c>
      <c r="AC170" s="111">
        <f>AC169+$AE$170</f>
        <v>5.0555555555555554</v>
      </c>
      <c r="AD170" s="282">
        <f>AC172-AC169</f>
        <v>2.416666666666667</v>
      </c>
      <c r="AE170" s="282">
        <f>AD170/3</f>
        <v>0.80555555555555569</v>
      </c>
      <c r="AF170" s="62">
        <f t="shared" si="90"/>
        <v>0.80555555555555536</v>
      </c>
      <c r="AG170" s="114">
        <f t="shared" si="0"/>
        <v>7.9024999999999984E-2</v>
      </c>
      <c r="AH170" s="117">
        <v>0.04</v>
      </c>
      <c r="AI170" s="151">
        <f t="shared" si="87"/>
        <v>272.71800000000002</v>
      </c>
      <c r="AJ170" s="121">
        <f t="shared" si="97"/>
        <v>12.987809986666667</v>
      </c>
      <c r="AK170" s="151">
        <f t="shared" si="89"/>
        <v>1773.7407686983656</v>
      </c>
      <c r="AL170" s="174">
        <v>559.86111111111097</v>
      </c>
      <c r="AM170" s="151">
        <f t="shared" si="91"/>
        <v>2619.3076897961432</v>
      </c>
      <c r="AN170" s="61">
        <f t="shared" si="88"/>
        <v>2109.9978612246705</v>
      </c>
      <c r="AO170" s="61">
        <f t="shared" si="92"/>
        <v>57546.00213877533</v>
      </c>
      <c r="AP170" s="61">
        <f t="shared" si="96"/>
        <v>2109.9978612246705</v>
      </c>
      <c r="AQ170" s="248">
        <f>AN170</f>
        <v>2109.9978612246705</v>
      </c>
      <c r="AR170" s="7"/>
      <c r="AS170" s="269"/>
    </row>
    <row r="171" spans="21:45" x14ac:dyDescent="0.25">
      <c r="U171" s="280"/>
      <c r="V171" s="72">
        <f>V170*2</f>
        <v>13.333333333333334</v>
      </c>
      <c r="W171" s="72">
        <f>$W$169+V171</f>
        <v>1159.3333333333333</v>
      </c>
      <c r="X171" s="37">
        <v>149</v>
      </c>
      <c r="Y171" s="47">
        <v>2</v>
      </c>
      <c r="Z171" s="83">
        <v>3.01</v>
      </c>
      <c r="AA171" s="96">
        <f>AA169/3</f>
        <v>1</v>
      </c>
      <c r="AB171" s="89">
        <f t="shared" ref="AB171:AB172" si="108">$AB$169+AA171</f>
        <v>3</v>
      </c>
      <c r="AC171" s="40">
        <f>AC170+$AE$170</f>
        <v>5.8611111111111107</v>
      </c>
      <c r="AD171" s="283"/>
      <c r="AE171" s="283"/>
      <c r="AF171" s="58">
        <f t="shared" si="90"/>
        <v>0.80555555555555536</v>
      </c>
      <c r="AG171" s="116">
        <f t="shared" si="0"/>
        <v>7.9024999999999984E-2</v>
      </c>
      <c r="AH171" s="39">
        <v>0.04</v>
      </c>
      <c r="AI171" s="41">
        <f t="shared" si="87"/>
        <v>272.71800000000002</v>
      </c>
      <c r="AJ171" s="41">
        <f t="shared" si="97"/>
        <v>17.456535696666666</v>
      </c>
      <c r="AK171" s="121">
        <f t="shared" si="89"/>
        <v>-894.60498342034873</v>
      </c>
      <c r="AL171" s="154">
        <v>559.86111111111097</v>
      </c>
      <c r="AM171" s="60">
        <f t="shared" si="91"/>
        <v>-44.569336612571078</v>
      </c>
      <c r="AN171" s="42">
        <f t="shared" si="88"/>
        <v>-35.903076715682246</v>
      </c>
      <c r="AO171" s="42">
        <f t="shared" si="92"/>
        <v>59691.90307671568</v>
      </c>
      <c r="AP171" s="61">
        <f t="shared" si="96"/>
        <v>-35.903076715682246</v>
      </c>
      <c r="AQ171" s="5"/>
      <c r="AR171" s="160">
        <f>AN171</f>
        <v>-35.903076715682246</v>
      </c>
      <c r="AS171" s="269">
        <f t="shared" si="101"/>
        <v>35.903076715682246</v>
      </c>
    </row>
    <row r="172" spans="21:45" ht="15.75" thickBot="1" x14ac:dyDescent="0.3">
      <c r="U172" s="281"/>
      <c r="V172" s="75">
        <v>20</v>
      </c>
      <c r="W172" s="48">
        <f>W169+V172</f>
        <v>1166</v>
      </c>
      <c r="X172" s="49">
        <f>X169+Y172</f>
        <v>150</v>
      </c>
      <c r="Y172" s="50">
        <v>3</v>
      </c>
      <c r="Z172" s="81">
        <v>0</v>
      </c>
      <c r="AA172" s="94">
        <v>0</v>
      </c>
      <c r="AB172" s="93">
        <f t="shared" si="108"/>
        <v>2</v>
      </c>
      <c r="AC172" s="102">
        <f>V172/Y172</f>
        <v>6.666666666666667</v>
      </c>
      <c r="AD172" s="284"/>
      <c r="AE172" s="284"/>
      <c r="AF172" s="112">
        <f t="shared" si="90"/>
        <v>0.80555555555555625</v>
      </c>
      <c r="AG172" s="115">
        <f t="shared" si="0"/>
        <v>7.9025000000000067E-2</v>
      </c>
      <c r="AH172" s="118">
        <v>0.04</v>
      </c>
      <c r="AI172" s="66">
        <f t="shared" si="87"/>
        <v>272.71800000000002</v>
      </c>
      <c r="AJ172" s="119">
        <f t="shared" si="97"/>
        <v>22.584768000000004</v>
      </c>
      <c r="AK172" s="121">
        <f t="shared" si="89"/>
        <v>0</v>
      </c>
      <c r="AL172" s="66">
        <v>559.86111111111154</v>
      </c>
      <c r="AM172" s="152">
        <f t="shared" si="91"/>
        <v>855.16387911111156</v>
      </c>
      <c r="AN172" s="164">
        <f t="shared" si="88"/>
        <v>688.88201372839603</v>
      </c>
      <c r="AO172" s="164">
        <f t="shared" si="92"/>
        <v>58967.117986271602</v>
      </c>
      <c r="AP172" s="164">
        <f t="shared" si="96"/>
        <v>688.88201372839603</v>
      </c>
      <c r="AQ172" s="248">
        <f>AN172</f>
        <v>688.88201372839603</v>
      </c>
      <c r="AR172" s="7"/>
      <c r="AS172" s="269"/>
    </row>
    <row r="173" spans="21:45" x14ac:dyDescent="0.25">
      <c r="U173" s="279" t="s">
        <v>67</v>
      </c>
      <c r="V173" s="71">
        <f>V176/4</f>
        <v>2.25</v>
      </c>
      <c r="W173" s="71">
        <f>$W$172+V173</f>
        <v>1168.25</v>
      </c>
      <c r="X173" s="45">
        <v>151</v>
      </c>
      <c r="Y173" s="46">
        <v>1</v>
      </c>
      <c r="Z173" s="84">
        <v>1.6475</v>
      </c>
      <c r="AA173" s="95">
        <f>AA176/4</f>
        <v>0.25</v>
      </c>
      <c r="AB173" s="91">
        <f>$AB$172+AA173</f>
        <v>2.25</v>
      </c>
      <c r="AC173" s="111">
        <f>AC172+$AE$173</f>
        <v>5.5625</v>
      </c>
      <c r="AD173" s="282">
        <f>AC176-AC172</f>
        <v>-4.416666666666667</v>
      </c>
      <c r="AE173" s="282">
        <f>AD173/4</f>
        <v>-1.1041666666666667</v>
      </c>
      <c r="AF173" s="62">
        <f t="shared" si="90"/>
        <v>-1.104166666666667</v>
      </c>
      <c r="AG173" s="114">
        <f t="shared" si="0"/>
        <v>-0.10831875000000003</v>
      </c>
      <c r="AH173" s="117">
        <v>0.04</v>
      </c>
      <c r="AI173" s="60">
        <f t="shared" si="87"/>
        <v>272.71800000000002</v>
      </c>
      <c r="AJ173" s="121">
        <f t="shared" si="97"/>
        <v>15.723100839375002</v>
      </c>
      <c r="AK173" s="151">
        <f t="shared" si="89"/>
        <v>-6797.9032857135098</v>
      </c>
      <c r="AL173" s="174">
        <v>-767.39583333333348</v>
      </c>
      <c r="AM173" s="169">
        <f t="shared" si="91"/>
        <v>-7276.8580182074675</v>
      </c>
      <c r="AN173" s="61">
        <f t="shared" si="88"/>
        <v>8034.8640617707479</v>
      </c>
      <c r="AO173" s="61">
        <f t="shared" si="92"/>
        <v>51621.13593822925</v>
      </c>
      <c r="AP173" s="61">
        <f t="shared" si="96"/>
        <v>8034.8640617707479</v>
      </c>
      <c r="AQ173" s="248">
        <f>AN173</f>
        <v>8034.8640617707479</v>
      </c>
      <c r="AR173" s="7"/>
      <c r="AS173" s="269"/>
    </row>
    <row r="174" spans="21:45" x14ac:dyDescent="0.25">
      <c r="U174" s="280"/>
      <c r="V174" s="72">
        <f>V173*2</f>
        <v>4.5</v>
      </c>
      <c r="W174" s="72">
        <f t="shared" ref="W174:W175" si="109">$W$172+V174</f>
        <v>1170.5</v>
      </c>
      <c r="X174" s="37">
        <v>152</v>
      </c>
      <c r="Y174" s="47">
        <v>2</v>
      </c>
      <c r="Z174" s="83">
        <v>3.2949999999999999</v>
      </c>
      <c r="AA174" s="96">
        <f>AA173*2</f>
        <v>0.5</v>
      </c>
      <c r="AB174" s="89">
        <f t="shared" ref="AB174:AB176" si="110">$AB$172+AA174</f>
        <v>2.5</v>
      </c>
      <c r="AC174" s="40">
        <f t="shared" ref="AC174:AC175" si="111">AC173+$AE$173</f>
        <v>4.458333333333333</v>
      </c>
      <c r="AD174" s="283"/>
      <c r="AE174" s="283"/>
      <c r="AF174" s="58">
        <f t="shared" si="90"/>
        <v>-1.104166666666667</v>
      </c>
      <c r="AG174" s="116">
        <f t="shared" si="0"/>
        <v>-0.10831875000000003</v>
      </c>
      <c r="AH174" s="39">
        <v>0.04</v>
      </c>
      <c r="AI174" s="41">
        <f t="shared" si="87"/>
        <v>272.71800000000002</v>
      </c>
      <c r="AJ174" s="41">
        <f t="shared" si="97"/>
        <v>10.100508157499998</v>
      </c>
      <c r="AK174" s="121">
        <f t="shared" si="89"/>
        <v>1041.8260134095931</v>
      </c>
      <c r="AL174" s="154">
        <v>-767.39583333333348</v>
      </c>
      <c r="AM174" s="121">
        <f t="shared" si="91"/>
        <v>557.24868823375959</v>
      </c>
      <c r="AN174" s="42">
        <f t="shared" si="88"/>
        <v>-615.29542659144306</v>
      </c>
      <c r="AO174" s="42">
        <f t="shared" si="92"/>
        <v>60271.295426591445</v>
      </c>
      <c r="AP174" s="61">
        <f t="shared" si="96"/>
        <v>-615.29542659144306</v>
      </c>
      <c r="AQ174" s="5"/>
      <c r="AR174" s="160">
        <f>AN174</f>
        <v>-615.29542659144306</v>
      </c>
      <c r="AS174" s="269">
        <f t="shared" si="101"/>
        <v>615.29542659144306</v>
      </c>
    </row>
    <row r="175" spans="21:45" x14ac:dyDescent="0.25">
      <c r="U175" s="280"/>
      <c r="V175" s="72">
        <f>V173*3</f>
        <v>6.75</v>
      </c>
      <c r="W175" s="74">
        <f t="shared" si="109"/>
        <v>1172.75</v>
      </c>
      <c r="X175" s="37">
        <v>153</v>
      </c>
      <c r="Y175" s="47">
        <v>3</v>
      </c>
      <c r="Z175" s="83">
        <v>4.9424999999999999</v>
      </c>
      <c r="AA175" s="96">
        <f>AA173*3</f>
        <v>0.75</v>
      </c>
      <c r="AB175" s="89">
        <f t="shared" si="110"/>
        <v>2.75</v>
      </c>
      <c r="AC175" s="105">
        <f t="shared" si="111"/>
        <v>3.3541666666666661</v>
      </c>
      <c r="AD175" s="283"/>
      <c r="AE175" s="283"/>
      <c r="AF175" s="58">
        <f t="shared" si="90"/>
        <v>-1.104166666666667</v>
      </c>
      <c r="AG175" s="116">
        <f t="shared" si="0"/>
        <v>-0.10831875000000003</v>
      </c>
      <c r="AH175" s="39">
        <v>0.04</v>
      </c>
      <c r="AI175" s="41">
        <f t="shared" si="87"/>
        <v>272.71800000000002</v>
      </c>
      <c r="AJ175" s="41">
        <f t="shared" si="97"/>
        <v>5.7169899543749985</v>
      </c>
      <c r="AK175" s="121">
        <f t="shared" si="89"/>
        <v>6638.2361947594482</v>
      </c>
      <c r="AL175" s="41">
        <v>-767.39583333333348</v>
      </c>
      <c r="AM175" s="41">
        <f t="shared" si="91"/>
        <v>6149.2753513804892</v>
      </c>
      <c r="AN175" s="42">
        <f t="shared" si="88"/>
        <v>-6789.824867149292</v>
      </c>
      <c r="AO175" s="42">
        <f t="shared" si="92"/>
        <v>66445.824867149291</v>
      </c>
      <c r="AP175" s="61">
        <f t="shared" si="96"/>
        <v>-6789.824867149292</v>
      </c>
      <c r="AQ175" s="5"/>
      <c r="AR175" s="160">
        <f>AN175</f>
        <v>-6789.824867149292</v>
      </c>
      <c r="AS175" s="269">
        <f t="shared" si="101"/>
        <v>6789.824867149292</v>
      </c>
    </row>
    <row r="176" spans="21:45" ht="15.75" thickBot="1" x14ac:dyDescent="0.3">
      <c r="U176" s="281"/>
      <c r="V176" s="75">
        <v>9</v>
      </c>
      <c r="W176" s="48">
        <f>W172+V176</f>
        <v>1175</v>
      </c>
      <c r="X176" s="49">
        <f>X172+Y176</f>
        <v>154</v>
      </c>
      <c r="Y176" s="50">
        <v>4</v>
      </c>
      <c r="Z176" s="81">
        <v>6.59</v>
      </c>
      <c r="AA176" s="94">
        <v>1</v>
      </c>
      <c r="AB176" s="93">
        <f t="shared" si="110"/>
        <v>3</v>
      </c>
      <c r="AC176" s="102">
        <f>V176/Y176</f>
        <v>2.25</v>
      </c>
      <c r="AD176" s="284"/>
      <c r="AE176" s="284"/>
      <c r="AF176" s="64">
        <f t="shared" si="90"/>
        <v>-1.1041666666666661</v>
      </c>
      <c r="AG176" s="115">
        <f t="shared" si="0"/>
        <v>-0.10831874999999995</v>
      </c>
      <c r="AH176" s="118">
        <v>0.04</v>
      </c>
      <c r="AI176" s="66">
        <f t="shared" si="87"/>
        <v>272.71800000000002</v>
      </c>
      <c r="AJ176" s="119">
        <f t="shared" si="97"/>
        <v>2.5725462300000004</v>
      </c>
      <c r="AK176" s="66">
        <f t="shared" si="89"/>
        <v>-2059.18193334331</v>
      </c>
      <c r="AL176" s="173">
        <v>-767.39583333333292</v>
      </c>
      <c r="AM176" s="66">
        <f t="shared" si="91"/>
        <v>-2551.287220446643</v>
      </c>
      <c r="AN176" s="164">
        <f t="shared" si="88"/>
        <v>2817.0463059098333</v>
      </c>
      <c r="AO176" s="164">
        <f t="shared" si="92"/>
        <v>56838.953694090167</v>
      </c>
      <c r="AP176" s="164">
        <f t="shared" si="96"/>
        <v>2817.0463059098333</v>
      </c>
      <c r="AQ176" s="248">
        <f>AN176</f>
        <v>2817.0463059098333</v>
      </c>
      <c r="AR176" s="7"/>
      <c r="AS176" s="269"/>
    </row>
    <row r="177" spans="21:45" x14ac:dyDescent="0.25">
      <c r="U177" s="279" t="s">
        <v>68</v>
      </c>
      <c r="V177" s="71">
        <f>V180/4</f>
        <v>7</v>
      </c>
      <c r="W177" s="78">
        <f>$W$176+V177</f>
        <v>1182</v>
      </c>
      <c r="X177" s="45">
        <v>155</v>
      </c>
      <c r="Y177" s="46">
        <v>1</v>
      </c>
      <c r="Z177" s="84">
        <v>4.9424999999999999</v>
      </c>
      <c r="AA177" s="95">
        <f>AA179*3</f>
        <v>0.75</v>
      </c>
      <c r="AB177" s="91">
        <f>$AB$176+AA177</f>
        <v>3.75</v>
      </c>
      <c r="AC177" s="111">
        <f>AC176+$AE$177</f>
        <v>3.4375</v>
      </c>
      <c r="AD177" s="282">
        <f>AC180-AC176</f>
        <v>4.75</v>
      </c>
      <c r="AE177" s="282">
        <f>AD177/4</f>
        <v>1.1875</v>
      </c>
      <c r="AF177" s="58">
        <f t="shared" si="90"/>
        <v>1.1875</v>
      </c>
      <c r="AG177" s="114">
        <f t="shared" si="0"/>
        <v>0.11649375000000001</v>
      </c>
      <c r="AH177" s="117">
        <v>0.04</v>
      </c>
      <c r="AI177" s="60">
        <f t="shared" si="87"/>
        <v>272.71800000000002</v>
      </c>
      <c r="AJ177" s="121">
        <f t="shared" si="97"/>
        <v>6.0045928593750002</v>
      </c>
      <c r="AK177" s="152">
        <f t="shared" si="89"/>
        <v>6638.2361947594482</v>
      </c>
      <c r="AL177" s="171">
        <v>825.3125</v>
      </c>
      <c r="AM177" s="169">
        <f t="shared" si="91"/>
        <v>7742.2712876188234</v>
      </c>
      <c r="AN177" s="61">
        <f t="shared" si="88"/>
        <v>9193.9471540473533</v>
      </c>
      <c r="AO177" s="61">
        <f t="shared" si="92"/>
        <v>50462.052845952647</v>
      </c>
      <c r="AP177" s="61">
        <f t="shared" si="96"/>
        <v>9193.9471540473533</v>
      </c>
      <c r="AQ177" s="248">
        <f>AN177</f>
        <v>9193.9471540473533</v>
      </c>
      <c r="AR177" s="7"/>
      <c r="AS177" s="269"/>
    </row>
    <row r="178" spans="21:45" x14ac:dyDescent="0.25">
      <c r="U178" s="280"/>
      <c r="V178" s="72">
        <f>V177*2</f>
        <v>14</v>
      </c>
      <c r="W178" s="72">
        <f t="shared" ref="W178:W179" si="112">$W$176+V178</f>
        <v>1189</v>
      </c>
      <c r="X178" s="37">
        <v>156</v>
      </c>
      <c r="Y178" s="47">
        <v>2</v>
      </c>
      <c r="Z178" s="83">
        <v>3.2949999999999999</v>
      </c>
      <c r="AA178" s="96">
        <f>AA179*2</f>
        <v>0.5</v>
      </c>
      <c r="AB178" s="89">
        <f t="shared" ref="AB178:AB180" si="113">$AB$176+AA178</f>
        <v>3.5</v>
      </c>
      <c r="AC178" s="40">
        <f t="shared" ref="AC178:AC179" si="114">AC177+$AE$177</f>
        <v>4.625</v>
      </c>
      <c r="AD178" s="283"/>
      <c r="AE178" s="283"/>
      <c r="AF178" s="58">
        <f t="shared" si="90"/>
        <v>1.1875</v>
      </c>
      <c r="AG178" s="116">
        <f t="shared" si="0"/>
        <v>0.11649375000000001</v>
      </c>
      <c r="AH178" s="39">
        <v>0.04</v>
      </c>
      <c r="AI178" s="41">
        <f t="shared" si="87"/>
        <v>272.71800000000002</v>
      </c>
      <c r="AJ178" s="41">
        <f t="shared" si="97"/>
        <v>10.869801817500001</v>
      </c>
      <c r="AK178" s="121">
        <f t="shared" si="89"/>
        <v>1041.8260134095931</v>
      </c>
      <c r="AL178" s="154">
        <v>825.3125</v>
      </c>
      <c r="AM178" s="41">
        <f t="shared" si="91"/>
        <v>2150.726315227093</v>
      </c>
      <c r="AN178" s="42">
        <f t="shared" si="88"/>
        <v>2553.9874993321728</v>
      </c>
      <c r="AO178" s="42">
        <f t="shared" si="92"/>
        <v>57102.012500667828</v>
      </c>
      <c r="AP178" s="61">
        <f t="shared" si="96"/>
        <v>2553.9874993321728</v>
      </c>
      <c r="AQ178" s="248">
        <f>AN178</f>
        <v>2553.9874993321728</v>
      </c>
      <c r="AR178" s="7"/>
      <c r="AS178" s="269"/>
    </row>
    <row r="179" spans="21:45" x14ac:dyDescent="0.25">
      <c r="U179" s="280"/>
      <c r="V179" s="72">
        <f>V177*3</f>
        <v>21</v>
      </c>
      <c r="W179" s="74">
        <f t="shared" si="112"/>
        <v>1196</v>
      </c>
      <c r="X179" s="37">
        <v>157</v>
      </c>
      <c r="Y179" s="47">
        <v>3</v>
      </c>
      <c r="Z179" s="83">
        <v>1.6475</v>
      </c>
      <c r="AA179" s="96">
        <f>AA176/4</f>
        <v>0.25</v>
      </c>
      <c r="AB179" s="89">
        <f t="shared" si="113"/>
        <v>3.25</v>
      </c>
      <c r="AC179" s="105">
        <f t="shared" si="114"/>
        <v>5.8125</v>
      </c>
      <c r="AD179" s="283"/>
      <c r="AE179" s="283"/>
      <c r="AF179" s="58">
        <f t="shared" si="90"/>
        <v>1.1875</v>
      </c>
      <c r="AG179" s="116">
        <f t="shared" si="0"/>
        <v>0.11649375000000001</v>
      </c>
      <c r="AH179" s="39">
        <v>0.04</v>
      </c>
      <c r="AI179" s="41">
        <f t="shared" si="87"/>
        <v>272.71800000000002</v>
      </c>
      <c r="AJ179" s="41">
        <f t="shared" si="97"/>
        <v>17.168173104375001</v>
      </c>
      <c r="AK179" s="121">
        <f t="shared" si="89"/>
        <v>-6797.9032857135098</v>
      </c>
      <c r="AL179" s="154">
        <v>825.3125</v>
      </c>
      <c r="AM179" s="60">
        <f t="shared" si="91"/>
        <v>-5682.7046126091345</v>
      </c>
      <c r="AN179" s="42">
        <f t="shared" si="88"/>
        <v>-6748.2117274733473</v>
      </c>
      <c r="AO179" s="42">
        <f t="shared" si="92"/>
        <v>66404.211727473346</v>
      </c>
      <c r="AP179" s="61">
        <f t="shared" si="96"/>
        <v>-6748.2117274733473</v>
      </c>
      <c r="AQ179" s="5"/>
      <c r="AR179" s="160">
        <f>AN179</f>
        <v>-6748.2117274733473</v>
      </c>
      <c r="AS179" s="269">
        <f t="shared" si="101"/>
        <v>6748.2117274733473</v>
      </c>
    </row>
    <row r="180" spans="21:45" ht="15.75" thickBot="1" x14ac:dyDescent="0.3">
      <c r="U180" s="281"/>
      <c r="V180" s="75">
        <v>28</v>
      </c>
      <c r="W180" s="48">
        <f>W176+V180</f>
        <v>1203</v>
      </c>
      <c r="X180" s="49">
        <f>X176+Y180</f>
        <v>158</v>
      </c>
      <c r="Y180" s="50">
        <v>4</v>
      </c>
      <c r="Z180" s="81">
        <v>0</v>
      </c>
      <c r="AA180" s="94">
        <v>0</v>
      </c>
      <c r="AB180" s="90">
        <f t="shared" si="113"/>
        <v>3</v>
      </c>
      <c r="AC180" s="102">
        <f>V180/Y180</f>
        <v>7</v>
      </c>
      <c r="AD180" s="284"/>
      <c r="AE180" s="284"/>
      <c r="AF180" s="64">
        <f t="shared" si="90"/>
        <v>1.1875</v>
      </c>
      <c r="AG180" s="115">
        <f t="shared" si="0"/>
        <v>0.11649375000000001</v>
      </c>
      <c r="AH180" s="118">
        <v>0.04</v>
      </c>
      <c r="AI180" s="121">
        <f t="shared" si="87"/>
        <v>272.71800000000002</v>
      </c>
      <c r="AJ180" s="119">
        <f t="shared" si="97"/>
        <v>24.899706720000001</v>
      </c>
      <c r="AK180" s="121">
        <f t="shared" si="89"/>
        <v>0</v>
      </c>
      <c r="AL180" s="66">
        <v>825.3125</v>
      </c>
      <c r="AM180" s="152">
        <f t="shared" si="91"/>
        <v>1122.9302067200001</v>
      </c>
      <c r="AN180" s="164">
        <f t="shared" si="88"/>
        <v>1333.4796204800002</v>
      </c>
      <c r="AO180" s="164">
        <f t="shared" si="92"/>
        <v>58322.52037952</v>
      </c>
      <c r="AP180" s="164">
        <f t="shared" si="96"/>
        <v>1333.4796204800002</v>
      </c>
      <c r="AQ180" s="248">
        <f>AN180</f>
        <v>1333.4796204800002</v>
      </c>
      <c r="AR180" s="7"/>
      <c r="AS180" s="269"/>
    </row>
    <row r="181" spans="21:45" x14ac:dyDescent="0.25">
      <c r="U181" s="279" t="s">
        <v>69</v>
      </c>
      <c r="V181" s="71">
        <f>V185/5</f>
        <v>2.8</v>
      </c>
      <c r="W181" s="78">
        <f>$W$180+V181</f>
        <v>1205.8</v>
      </c>
      <c r="X181" s="45">
        <v>159</v>
      </c>
      <c r="Y181" s="46">
        <v>1</v>
      </c>
      <c r="Z181" s="84">
        <v>0.74399999999999999</v>
      </c>
      <c r="AA181" s="95">
        <f>AA185/5</f>
        <v>0.2</v>
      </c>
      <c r="AB181" s="88">
        <f>$AB$180+AA181</f>
        <v>3.2</v>
      </c>
      <c r="AC181" s="111">
        <f>AC180+$AE$181</f>
        <v>6.16</v>
      </c>
      <c r="AD181" s="282">
        <f>AC185-AC180</f>
        <v>-4.2</v>
      </c>
      <c r="AE181" s="282">
        <f>AD181/5</f>
        <v>-0.84000000000000008</v>
      </c>
      <c r="AF181" s="58">
        <f t="shared" si="90"/>
        <v>-0.83999999999999986</v>
      </c>
      <c r="AG181" s="114">
        <f t="shared" si="0"/>
        <v>-8.2403999999999991E-2</v>
      </c>
      <c r="AH181" s="117">
        <v>0.04</v>
      </c>
      <c r="AI181" s="151">
        <f t="shared" si="87"/>
        <v>272.71800000000002</v>
      </c>
      <c r="AJ181" s="121">
        <f t="shared" si="97"/>
        <v>19.282332883967999</v>
      </c>
      <c r="AK181" s="151">
        <f t="shared" si="89"/>
        <v>-4617.3638021790384</v>
      </c>
      <c r="AL181" s="174">
        <v>-583.79999999999995</v>
      </c>
      <c r="AM181" s="169">
        <f t="shared" si="91"/>
        <v>-4909.1634692950702</v>
      </c>
      <c r="AN181" s="61">
        <f t="shared" si="88"/>
        <v>4123.6973142078587</v>
      </c>
      <c r="AO181" s="61">
        <f t="shared" si="92"/>
        <v>55532.302685792143</v>
      </c>
      <c r="AP181" s="61">
        <f t="shared" si="96"/>
        <v>4123.6973142078587</v>
      </c>
      <c r="AQ181" s="248">
        <f>AN181</f>
        <v>4123.6973142078587</v>
      </c>
      <c r="AR181" s="7"/>
      <c r="AS181" s="269"/>
    </row>
    <row r="182" spans="21:45" x14ac:dyDescent="0.25">
      <c r="U182" s="280"/>
      <c r="V182" s="72">
        <f>V181*2</f>
        <v>5.6</v>
      </c>
      <c r="W182" s="76">
        <f t="shared" ref="W182:W184" si="115">$W$180+V182</f>
        <v>1208.5999999999999</v>
      </c>
      <c r="X182" s="37">
        <v>160</v>
      </c>
      <c r="Y182" s="47">
        <v>2</v>
      </c>
      <c r="Z182" s="83">
        <v>1.488</v>
      </c>
      <c r="AA182" s="96">
        <f>AA181*2</f>
        <v>0.4</v>
      </c>
      <c r="AB182" s="89">
        <f t="shared" ref="AB182:AB185" si="116">$AB$180+AA182</f>
        <v>3.4</v>
      </c>
      <c r="AC182" s="40">
        <f t="shared" ref="AC182:AC184" si="117">AC181+$AE$181</f>
        <v>5.32</v>
      </c>
      <c r="AD182" s="283"/>
      <c r="AE182" s="283"/>
      <c r="AF182" s="58">
        <f t="shared" si="90"/>
        <v>-0.83999999999999986</v>
      </c>
      <c r="AG182" s="116">
        <f t="shared" si="0"/>
        <v>-8.2403999999999991E-2</v>
      </c>
      <c r="AH182" s="39">
        <v>0.04</v>
      </c>
      <c r="AI182" s="41">
        <f t="shared" si="87"/>
        <v>272.71800000000002</v>
      </c>
      <c r="AJ182" s="41">
        <f t="shared" si="97"/>
        <v>14.382070601472002</v>
      </c>
      <c r="AK182" s="121">
        <f t="shared" si="89"/>
        <v>-6794.5940335321702</v>
      </c>
      <c r="AL182" s="154">
        <v>-583.79999999999995</v>
      </c>
      <c r="AM182" s="121">
        <f t="shared" si="91"/>
        <v>-7091.2939629306984</v>
      </c>
      <c r="AN182" s="42">
        <f t="shared" ref="AN182:AN205" si="118">AM182*AF182</f>
        <v>5956.6869288617854</v>
      </c>
      <c r="AO182" s="42">
        <f t="shared" si="92"/>
        <v>53699.313071138211</v>
      </c>
      <c r="AP182" s="61">
        <f t="shared" si="96"/>
        <v>5956.6869288617854</v>
      </c>
      <c r="AQ182" s="248">
        <f>AN182</f>
        <v>5956.6869288617854</v>
      </c>
      <c r="AR182" s="7"/>
      <c r="AS182" s="269"/>
    </row>
    <row r="183" spans="21:45" x14ac:dyDescent="0.25">
      <c r="U183" s="280"/>
      <c r="V183" s="72">
        <f>V181*3</f>
        <v>8.3999999999999986</v>
      </c>
      <c r="W183" s="76">
        <f t="shared" si="115"/>
        <v>1211.4000000000001</v>
      </c>
      <c r="X183" s="37">
        <v>161</v>
      </c>
      <c r="Y183" s="47">
        <v>3</v>
      </c>
      <c r="Z183" s="83">
        <v>2.2320000000000002</v>
      </c>
      <c r="AA183" s="96">
        <f>AA181*3</f>
        <v>0.60000000000000009</v>
      </c>
      <c r="AB183" s="89">
        <f t="shared" si="116"/>
        <v>3.6</v>
      </c>
      <c r="AC183" s="40">
        <f t="shared" si="117"/>
        <v>4.4800000000000004</v>
      </c>
      <c r="AD183" s="283"/>
      <c r="AE183" s="283"/>
      <c r="AF183" s="58">
        <f t="shared" si="90"/>
        <v>-0.83999999999999986</v>
      </c>
      <c r="AG183" s="116">
        <f t="shared" si="0"/>
        <v>-8.2403999999999991E-2</v>
      </c>
      <c r="AH183" s="39">
        <v>0.04</v>
      </c>
      <c r="AI183" s="41">
        <f t="shared" si="87"/>
        <v>272.71800000000002</v>
      </c>
      <c r="AJ183" s="41">
        <f t="shared" si="97"/>
        <v>10.198919872512002</v>
      </c>
      <c r="AK183" s="121">
        <f t="shared" ref="AK183:AK205" si="119">$C$6*9.81*-SIN(Z183)</f>
        <v>-5381.0920393823171</v>
      </c>
      <c r="AL183" s="154">
        <v>-583.79999999999995</v>
      </c>
      <c r="AM183" s="41">
        <f t="shared" si="91"/>
        <v>-5681.9751195098052</v>
      </c>
      <c r="AN183" s="42">
        <f t="shared" si="118"/>
        <v>4772.8591003882357</v>
      </c>
      <c r="AO183" s="42">
        <f t="shared" si="92"/>
        <v>54883.140899611768</v>
      </c>
      <c r="AP183" s="61">
        <f t="shared" si="96"/>
        <v>4772.8591003882357</v>
      </c>
      <c r="AQ183" s="248">
        <f>AN183</f>
        <v>4772.8591003882357</v>
      </c>
      <c r="AR183" s="7"/>
      <c r="AS183" s="269"/>
    </row>
    <row r="184" spans="21:45" x14ac:dyDescent="0.25">
      <c r="U184" s="280"/>
      <c r="V184" s="72">
        <f>V181*4</f>
        <v>11.2</v>
      </c>
      <c r="W184" s="72">
        <f t="shared" si="115"/>
        <v>1214.2</v>
      </c>
      <c r="X184" s="37">
        <v>162</v>
      </c>
      <c r="Y184" s="47">
        <v>4</v>
      </c>
      <c r="Z184" s="83">
        <v>2.976</v>
      </c>
      <c r="AA184" s="96">
        <f>AA181*4</f>
        <v>0.8</v>
      </c>
      <c r="AB184" s="89">
        <f t="shared" si="116"/>
        <v>3.8</v>
      </c>
      <c r="AC184" s="40">
        <f t="shared" si="117"/>
        <v>3.6400000000000006</v>
      </c>
      <c r="AD184" s="283"/>
      <c r="AE184" s="283"/>
      <c r="AF184" s="58">
        <f t="shared" si="90"/>
        <v>-0.83999999999999986</v>
      </c>
      <c r="AG184" s="116">
        <f t="shared" si="0"/>
        <v>-8.2403999999999991E-2</v>
      </c>
      <c r="AH184" s="39">
        <v>0.04</v>
      </c>
      <c r="AI184" s="41">
        <f t="shared" si="87"/>
        <v>272.71800000000002</v>
      </c>
      <c r="AJ184" s="41">
        <f t="shared" si="97"/>
        <v>6.7328806970880031</v>
      </c>
      <c r="AK184" s="121">
        <f t="shared" si="119"/>
        <v>-1123.8497866017251</v>
      </c>
      <c r="AL184" s="154">
        <v>-583.79999999999995</v>
      </c>
      <c r="AM184" s="41">
        <f t="shared" si="91"/>
        <v>-1428.1989059046371</v>
      </c>
      <c r="AN184" s="42">
        <f t="shared" si="118"/>
        <v>1199.687080959895</v>
      </c>
      <c r="AO184" s="42">
        <f t="shared" si="92"/>
        <v>58456.312919040109</v>
      </c>
      <c r="AP184" s="61">
        <f t="shared" si="96"/>
        <v>1199.687080959895</v>
      </c>
      <c r="AQ184" s="248">
        <f>AN184</f>
        <v>1199.687080959895</v>
      </c>
      <c r="AR184" s="7"/>
      <c r="AS184" s="269"/>
    </row>
    <row r="185" spans="21:45" ht="15.75" thickBot="1" x14ac:dyDescent="0.3">
      <c r="U185" s="281"/>
      <c r="V185" s="75">
        <v>14</v>
      </c>
      <c r="W185" s="48">
        <f>W180+V185</f>
        <v>1217</v>
      </c>
      <c r="X185" s="49">
        <f>X180+Y185</f>
        <v>163</v>
      </c>
      <c r="Y185" s="50">
        <v>5</v>
      </c>
      <c r="Z185" s="81">
        <v>3.72</v>
      </c>
      <c r="AA185" s="94">
        <v>1</v>
      </c>
      <c r="AB185" s="93">
        <f t="shared" si="116"/>
        <v>4</v>
      </c>
      <c r="AC185" s="102">
        <f>V185/Y185</f>
        <v>2.8</v>
      </c>
      <c r="AD185" s="284"/>
      <c r="AE185" s="284"/>
      <c r="AF185" s="64">
        <f t="shared" si="90"/>
        <v>-0.84000000000000075</v>
      </c>
      <c r="AG185" s="115">
        <f t="shared" si="0"/>
        <v>-8.2404000000000074E-2</v>
      </c>
      <c r="AH185" s="118">
        <v>0.04</v>
      </c>
      <c r="AI185" s="121">
        <f t="shared" si="87"/>
        <v>272.71800000000002</v>
      </c>
      <c r="AJ185" s="119">
        <f t="shared" si="97"/>
        <v>3.9839530751999996</v>
      </c>
      <c r="AK185" s="121">
        <f t="shared" si="119"/>
        <v>3727.3122243660468</v>
      </c>
      <c r="AL185" s="66">
        <v>-583.80000000000052</v>
      </c>
      <c r="AM185" s="152">
        <f t="shared" si="91"/>
        <v>3420.2141774412462</v>
      </c>
      <c r="AN185" s="164">
        <f t="shared" si="118"/>
        <v>-2872.9799090506494</v>
      </c>
      <c r="AO185" s="164">
        <f t="shared" si="92"/>
        <v>62528.979909050649</v>
      </c>
      <c r="AP185" s="164">
        <f t="shared" si="96"/>
        <v>-2872.9799090506494</v>
      </c>
      <c r="AQ185" s="5"/>
      <c r="AR185" s="160">
        <f>AN185</f>
        <v>-2872.9799090506494</v>
      </c>
      <c r="AS185" s="269">
        <f t="shared" si="101"/>
        <v>2872.9799090506494</v>
      </c>
    </row>
    <row r="186" spans="21:45" x14ac:dyDescent="0.25">
      <c r="U186" s="279" t="s">
        <v>70</v>
      </c>
      <c r="V186" s="71">
        <f>V188/3</f>
        <v>19.666666666666668</v>
      </c>
      <c r="W186" s="78">
        <f>$W$185+V186</f>
        <v>1236.6666666666667</v>
      </c>
      <c r="X186" s="45">
        <v>164</v>
      </c>
      <c r="Y186" s="46">
        <v>1</v>
      </c>
      <c r="Z186" s="84">
        <v>2.48</v>
      </c>
      <c r="AA186" s="95">
        <f>AA187*2</f>
        <v>0.66666666666666663</v>
      </c>
      <c r="AB186" s="91">
        <f>$AB$185+AA186</f>
        <v>4.666666666666667</v>
      </c>
      <c r="AC186" s="111">
        <f>AC185+$AE$186</f>
        <v>8.4222222222222225</v>
      </c>
      <c r="AD186" s="282">
        <f>AC188-AC185</f>
        <v>16.866666666666667</v>
      </c>
      <c r="AE186" s="282">
        <f>AD186/3</f>
        <v>5.6222222222222227</v>
      </c>
      <c r="AF186" s="58">
        <f t="shared" si="90"/>
        <v>5.6222222222222227</v>
      </c>
      <c r="AG186" s="114">
        <f t="shared" si="0"/>
        <v>0.55154000000000003</v>
      </c>
      <c r="AH186" s="117">
        <v>0.04</v>
      </c>
      <c r="AI186" s="151">
        <f t="shared" si="87"/>
        <v>272.71800000000002</v>
      </c>
      <c r="AJ186" s="121">
        <f t="shared" si="97"/>
        <v>36.045540669866675</v>
      </c>
      <c r="AK186" s="151">
        <f t="shared" si="119"/>
        <v>-4188.7729710064532</v>
      </c>
      <c r="AL186" s="174">
        <v>3907.4444444444448</v>
      </c>
      <c r="AM186" s="169">
        <f t="shared" si="91"/>
        <v>27.435014107858478</v>
      </c>
      <c r="AN186" s="61">
        <f t="shared" si="118"/>
        <v>154.24574598418212</v>
      </c>
      <c r="AO186" s="61">
        <f t="shared" si="92"/>
        <v>59501.754254015817</v>
      </c>
      <c r="AP186" s="61">
        <f t="shared" si="96"/>
        <v>154.24574598418212</v>
      </c>
      <c r="AQ186" s="248">
        <f>AN186</f>
        <v>154.24574598418212</v>
      </c>
      <c r="AR186" s="7"/>
      <c r="AS186" s="269"/>
    </row>
    <row r="187" spans="21:45" x14ac:dyDescent="0.25">
      <c r="U187" s="280"/>
      <c r="V187" s="72">
        <f>V186*2</f>
        <v>39.333333333333336</v>
      </c>
      <c r="W187" s="72">
        <f>$W$185+V187</f>
        <v>1256.3333333333333</v>
      </c>
      <c r="X187" s="37">
        <v>165</v>
      </c>
      <c r="Y187" s="47">
        <v>2</v>
      </c>
      <c r="Z187" s="83">
        <v>1.24</v>
      </c>
      <c r="AA187" s="96">
        <f>AA185/3</f>
        <v>0.33333333333333331</v>
      </c>
      <c r="AB187" s="89">
        <f t="shared" ref="AB187:AB188" si="120">$AB$185+AA187</f>
        <v>4.333333333333333</v>
      </c>
      <c r="AC187" s="40">
        <f>AC186+$AE$186</f>
        <v>14.044444444444444</v>
      </c>
      <c r="AD187" s="283"/>
      <c r="AE187" s="283"/>
      <c r="AF187" s="58">
        <f t="shared" si="90"/>
        <v>5.6222222222222218</v>
      </c>
      <c r="AG187" s="116">
        <f t="shared" si="0"/>
        <v>0.55154000000000003</v>
      </c>
      <c r="AH187" s="39">
        <v>0.04</v>
      </c>
      <c r="AI187" s="41">
        <f t="shared" si="87"/>
        <v>272.71800000000002</v>
      </c>
      <c r="AJ187" s="41">
        <f t="shared" si="97"/>
        <v>100.23220415146668</v>
      </c>
      <c r="AK187" s="121">
        <f t="shared" si="119"/>
        <v>-6448.3080190469846</v>
      </c>
      <c r="AL187" s="154">
        <v>3907.4444444444443</v>
      </c>
      <c r="AM187" s="41">
        <f t="shared" si="91"/>
        <v>-2167.9133704510732</v>
      </c>
      <c r="AN187" s="42">
        <f t="shared" si="118"/>
        <v>-12188.490727202699</v>
      </c>
      <c r="AO187" s="42">
        <f t="shared" si="92"/>
        <v>71844.490727202705</v>
      </c>
      <c r="AP187" s="61">
        <f t="shared" si="96"/>
        <v>-12188.490727202699</v>
      </c>
      <c r="AQ187" s="5"/>
      <c r="AR187" s="160">
        <f>AN187</f>
        <v>-12188.490727202699</v>
      </c>
      <c r="AS187" s="269">
        <f t="shared" si="101"/>
        <v>12188.490727202699</v>
      </c>
    </row>
    <row r="188" spans="21:45" ht="15.75" thickBot="1" x14ac:dyDescent="0.3">
      <c r="U188" s="281"/>
      <c r="V188" s="75">
        <v>59</v>
      </c>
      <c r="W188" s="48">
        <f>W185+V188</f>
        <v>1276</v>
      </c>
      <c r="X188" s="49">
        <f>X185+Y188</f>
        <v>166</v>
      </c>
      <c r="Y188" s="50">
        <v>3</v>
      </c>
      <c r="Z188" s="81">
        <v>0</v>
      </c>
      <c r="AA188" s="94">
        <v>0</v>
      </c>
      <c r="AB188" s="93">
        <f t="shared" si="120"/>
        <v>4</v>
      </c>
      <c r="AC188" s="102">
        <f>V188/Y188</f>
        <v>19.666666666666668</v>
      </c>
      <c r="AD188" s="284"/>
      <c r="AE188" s="284"/>
      <c r="AF188" s="64">
        <f t="shared" si="90"/>
        <v>5.6222222222222236</v>
      </c>
      <c r="AG188" s="115">
        <f t="shared" si="0"/>
        <v>0.55154000000000014</v>
      </c>
      <c r="AH188" s="118">
        <v>0.04</v>
      </c>
      <c r="AI188" s="121">
        <f t="shared" si="87"/>
        <v>272.71800000000002</v>
      </c>
      <c r="AJ188" s="119">
        <f t="shared" si="97"/>
        <v>196.54394352000006</v>
      </c>
      <c r="AK188" s="121">
        <f t="shared" si="119"/>
        <v>0</v>
      </c>
      <c r="AL188" s="66">
        <v>3907.4444444444453</v>
      </c>
      <c r="AM188" s="152">
        <f t="shared" si="91"/>
        <v>4376.7063879644456</v>
      </c>
      <c r="AN188" s="164">
        <f t="shared" si="118"/>
        <v>24606.815914555667</v>
      </c>
      <c r="AO188" s="164">
        <f t="shared" si="92"/>
        <v>35049.184085444329</v>
      </c>
      <c r="AP188" s="164">
        <f t="shared" si="96"/>
        <v>24606.815914555667</v>
      </c>
      <c r="AQ188" s="248">
        <f t="shared" ref="AQ188:AQ193" si="121">AN188</f>
        <v>24606.815914555667</v>
      </c>
      <c r="AR188" s="7"/>
      <c r="AS188" s="269"/>
    </row>
    <row r="189" spans="21:45" x14ac:dyDescent="0.25">
      <c r="U189" s="279" t="s">
        <v>71</v>
      </c>
      <c r="V189" s="71">
        <f>V192/4</f>
        <v>2.25</v>
      </c>
      <c r="W189" s="78">
        <f>$W$188+V189</f>
        <v>1278.25</v>
      </c>
      <c r="X189" s="45">
        <v>167</v>
      </c>
      <c r="Y189" s="46">
        <v>1</v>
      </c>
      <c r="Z189" s="84">
        <v>-3.2250000000000001</v>
      </c>
      <c r="AA189" s="95">
        <f>AA192/4</f>
        <v>-0.5</v>
      </c>
      <c r="AB189" s="91">
        <f>$AB$188+AA189</f>
        <v>3.5</v>
      </c>
      <c r="AC189" s="111">
        <f>AC188+$AE$189</f>
        <v>15.3125</v>
      </c>
      <c r="AD189" s="282">
        <f>AC192-AC188</f>
        <v>-17.416666666666668</v>
      </c>
      <c r="AE189" s="282">
        <f>AD189/4</f>
        <v>-4.354166666666667</v>
      </c>
      <c r="AF189" s="58">
        <f t="shared" si="90"/>
        <v>-4.3541666666666679</v>
      </c>
      <c r="AG189" s="114">
        <f t="shared" si="0"/>
        <v>-0.42714375000000016</v>
      </c>
      <c r="AH189" s="117">
        <v>0.04</v>
      </c>
      <c r="AI189" s="151">
        <f t="shared" si="87"/>
        <v>272.71800000000002</v>
      </c>
      <c r="AJ189" s="121">
        <f t="shared" si="97"/>
        <v>119.14898723437501</v>
      </c>
      <c r="AK189" s="151">
        <f t="shared" si="119"/>
        <v>-568.00799758032576</v>
      </c>
      <c r="AL189" s="174">
        <v>-3026.1458333333339</v>
      </c>
      <c r="AM189" s="169">
        <f t="shared" si="91"/>
        <v>-3202.2868436792846</v>
      </c>
      <c r="AN189" s="61">
        <f t="shared" si="118"/>
        <v>13943.290631853555</v>
      </c>
      <c r="AO189" s="61">
        <f t="shared" si="92"/>
        <v>45712.709368146447</v>
      </c>
      <c r="AP189" s="61">
        <f t="shared" si="96"/>
        <v>13943.290631853555</v>
      </c>
      <c r="AQ189" s="248">
        <f t="shared" si="121"/>
        <v>13943.290631853555</v>
      </c>
      <c r="AR189" s="7"/>
      <c r="AS189" s="269"/>
    </row>
    <row r="190" spans="21:45" x14ac:dyDescent="0.25">
      <c r="U190" s="280"/>
      <c r="V190" s="72">
        <f>V189*2</f>
        <v>4.5</v>
      </c>
      <c r="W190" s="76">
        <f t="shared" ref="W190:W191" si="122">$W$188+V190</f>
        <v>1280.5</v>
      </c>
      <c r="X190" s="37">
        <v>168</v>
      </c>
      <c r="Y190" s="47">
        <v>2</v>
      </c>
      <c r="Z190" s="83">
        <v>-6.45</v>
      </c>
      <c r="AA190" s="96">
        <f>AA189*2</f>
        <v>-1</v>
      </c>
      <c r="AB190" s="89">
        <f t="shared" ref="AB190:AB192" si="123">$AB$188+AA190</f>
        <v>3</v>
      </c>
      <c r="AC190" s="40">
        <f t="shared" ref="AC190:AC191" si="124">AC189+$AE$189</f>
        <v>10.958333333333332</v>
      </c>
      <c r="AD190" s="283"/>
      <c r="AE190" s="283"/>
      <c r="AF190" s="58">
        <f t="shared" si="90"/>
        <v>-4.3541666666666679</v>
      </c>
      <c r="AG190" s="116">
        <f t="shared" si="0"/>
        <v>-0.42714375000000016</v>
      </c>
      <c r="AH190" s="39">
        <v>0.04</v>
      </c>
      <c r="AI190" s="41">
        <f t="shared" si="87"/>
        <v>272.71800000000002</v>
      </c>
      <c r="AJ190" s="41">
        <f t="shared" si="97"/>
        <v>61.022102257499988</v>
      </c>
      <c r="AK190" s="121">
        <f t="shared" si="119"/>
        <v>1132.0667756819851</v>
      </c>
      <c r="AL190" s="154">
        <v>-3026.1458333333339</v>
      </c>
      <c r="AM190" s="41">
        <f t="shared" si="91"/>
        <v>-1560.3389553938489</v>
      </c>
      <c r="AN190" s="42">
        <f t="shared" si="118"/>
        <v>6793.9758682773854</v>
      </c>
      <c r="AO190" s="42">
        <f t="shared" si="92"/>
        <v>52862.024131722617</v>
      </c>
      <c r="AP190" s="61">
        <f t="shared" si="96"/>
        <v>6793.9758682773854</v>
      </c>
      <c r="AQ190" s="248">
        <f t="shared" si="121"/>
        <v>6793.9758682773854</v>
      </c>
      <c r="AR190" s="7"/>
      <c r="AS190" s="269"/>
    </row>
    <row r="191" spans="21:45" x14ac:dyDescent="0.25">
      <c r="U191" s="280"/>
      <c r="V191" s="72">
        <f>V189*3</f>
        <v>6.75</v>
      </c>
      <c r="W191" s="72">
        <f t="shared" si="122"/>
        <v>1282.75</v>
      </c>
      <c r="X191" s="37">
        <v>169</v>
      </c>
      <c r="Y191" s="47">
        <v>3</v>
      </c>
      <c r="Z191" s="83">
        <v>-9.6750000000000007</v>
      </c>
      <c r="AA191" s="96">
        <f>AA189*3</f>
        <v>-1.5</v>
      </c>
      <c r="AB191" s="89">
        <f t="shared" si="123"/>
        <v>2.5</v>
      </c>
      <c r="AC191" s="105">
        <f t="shared" si="124"/>
        <v>6.6041666666666652</v>
      </c>
      <c r="AD191" s="283"/>
      <c r="AE191" s="283"/>
      <c r="AF191" s="58">
        <f t="shared" si="90"/>
        <v>-4.354166666666667</v>
      </c>
      <c r="AG191" s="116">
        <f t="shared" si="0"/>
        <v>-0.42714375000000004</v>
      </c>
      <c r="AH191" s="39">
        <v>0.04</v>
      </c>
      <c r="AI191" s="41">
        <f t="shared" si="87"/>
        <v>272.71800000000002</v>
      </c>
      <c r="AJ191" s="41">
        <f>0.5*$C$18*$C$20*$C$22*(AC191*AC191)</f>
        <v>22.163288589374993</v>
      </c>
      <c r="AK191" s="121">
        <f t="shared" si="119"/>
        <v>-1688.2545727750714</v>
      </c>
      <c r="AL191" s="154">
        <v>-3026.1458333333335</v>
      </c>
      <c r="AM191" s="41">
        <f t="shared" si="91"/>
        <v>-4419.5191175190303</v>
      </c>
      <c r="AN191" s="42">
        <f t="shared" si="118"/>
        <v>19243.322824197447</v>
      </c>
      <c r="AO191" s="42">
        <f t="shared" si="92"/>
        <v>40412.677175802557</v>
      </c>
      <c r="AP191" s="61">
        <f t="shared" si="96"/>
        <v>19243.322824197447</v>
      </c>
      <c r="AQ191" s="248">
        <f t="shared" si="121"/>
        <v>19243.322824197447</v>
      </c>
      <c r="AR191" s="7"/>
      <c r="AS191" s="269"/>
    </row>
    <row r="192" spans="21:45" ht="15.75" thickBot="1" x14ac:dyDescent="0.3">
      <c r="U192" s="281"/>
      <c r="V192" s="75">
        <v>9</v>
      </c>
      <c r="W192" s="48">
        <f>W188+V192</f>
        <v>1285</v>
      </c>
      <c r="X192" s="49">
        <f>X188+Y192</f>
        <v>170</v>
      </c>
      <c r="Y192" s="50">
        <v>4</v>
      </c>
      <c r="Z192" s="81">
        <v>-12.9</v>
      </c>
      <c r="AA192" s="94">
        <v>-2</v>
      </c>
      <c r="AB192" s="93">
        <f t="shared" si="123"/>
        <v>2</v>
      </c>
      <c r="AC192" s="102">
        <f>V192/Y192</f>
        <v>2.25</v>
      </c>
      <c r="AD192" s="284"/>
      <c r="AE192" s="284"/>
      <c r="AF192" s="112">
        <f t="shared" si="90"/>
        <v>-4.3541666666666652</v>
      </c>
      <c r="AG192" s="115">
        <f t="shared" si="0"/>
        <v>-0.42714374999999988</v>
      </c>
      <c r="AH192" s="118">
        <v>0.04</v>
      </c>
      <c r="AI192" s="66">
        <f t="shared" si="87"/>
        <v>272.71800000000002</v>
      </c>
      <c r="AJ192" s="119">
        <f t="shared" ref="AJ192:AJ205" si="125">0.5*$C$18*$C$20*$C$22*(AC192*AC192)</f>
        <v>2.5725462300000004</v>
      </c>
      <c r="AK192" s="66">
        <f t="shared" si="119"/>
        <v>2232.7043523188345</v>
      </c>
      <c r="AL192" s="66">
        <v>-3026.1458333333321</v>
      </c>
      <c r="AM192" s="66">
        <f t="shared" si="91"/>
        <v>-518.15093478449762</v>
      </c>
      <c r="AN192" s="164">
        <f t="shared" si="118"/>
        <v>2256.1155285408327</v>
      </c>
      <c r="AO192" s="164">
        <f t="shared" si="92"/>
        <v>57399.884471459169</v>
      </c>
      <c r="AP192" s="164">
        <f t="shared" si="96"/>
        <v>2256.1155285408327</v>
      </c>
      <c r="AQ192" s="248">
        <f t="shared" si="121"/>
        <v>2256.1155285408327</v>
      </c>
      <c r="AR192" s="7"/>
      <c r="AS192" s="269"/>
    </row>
    <row r="193" spans="21:45" x14ac:dyDescent="0.25">
      <c r="U193" s="279" t="s">
        <v>72</v>
      </c>
      <c r="V193" s="71">
        <f>V197/5</f>
        <v>0.8</v>
      </c>
      <c r="W193" s="78">
        <f>$W$192+V193</f>
        <v>1285.8</v>
      </c>
      <c r="X193" s="45">
        <v>171</v>
      </c>
      <c r="Y193" s="46">
        <v>1</v>
      </c>
      <c r="Z193" s="84">
        <v>-10.32</v>
      </c>
      <c r="AA193" s="95">
        <f>AA196*4</f>
        <v>-1.6</v>
      </c>
      <c r="AB193" s="91">
        <f>$AB$192+AA193</f>
        <v>0.39999999999999991</v>
      </c>
      <c r="AC193" s="111">
        <f>AC192+$AE$193</f>
        <v>1.96</v>
      </c>
      <c r="AD193" s="282">
        <f>AC197-AC192</f>
        <v>-1.45</v>
      </c>
      <c r="AE193" s="282">
        <f>AD193/5</f>
        <v>-0.28999999999999998</v>
      </c>
      <c r="AF193" s="62">
        <f t="shared" si="90"/>
        <v>-0.29000000000000004</v>
      </c>
      <c r="AG193" s="114">
        <f t="shared" si="0"/>
        <v>-2.8449000000000006E-2</v>
      </c>
      <c r="AH193" s="117">
        <v>0.04</v>
      </c>
      <c r="AI193" s="60">
        <f t="shared" si="87"/>
        <v>272.71800000000002</v>
      </c>
      <c r="AJ193" s="121">
        <f t="shared" si="125"/>
        <v>1.952137006848</v>
      </c>
      <c r="AK193" s="60">
        <f t="shared" si="119"/>
        <v>-5320.3733169741508</v>
      </c>
      <c r="AL193" s="171">
        <v>-201.55</v>
      </c>
      <c r="AM193" s="151">
        <f t="shared" si="91"/>
        <v>-5247.2531799673034</v>
      </c>
      <c r="AN193" s="61">
        <f t="shared" si="118"/>
        <v>1521.7034221905183</v>
      </c>
      <c r="AO193" s="61">
        <f t="shared" si="92"/>
        <v>58134.29657780948</v>
      </c>
      <c r="AP193" s="61">
        <f t="shared" si="96"/>
        <v>1521.7034221905183</v>
      </c>
      <c r="AQ193" s="248">
        <f t="shared" si="121"/>
        <v>1521.7034221905183</v>
      </c>
      <c r="AR193" s="7"/>
      <c r="AS193" s="269"/>
    </row>
    <row r="194" spans="21:45" x14ac:dyDescent="0.25">
      <c r="U194" s="280"/>
      <c r="V194" s="72">
        <f>V193*2</f>
        <v>1.6</v>
      </c>
      <c r="W194" s="72">
        <f t="shared" ref="W194:W196" si="126">$W$192+V194</f>
        <v>1286.5999999999999</v>
      </c>
      <c r="X194" s="37">
        <v>172</v>
      </c>
      <c r="Y194" s="47">
        <v>2</v>
      </c>
      <c r="Z194" s="83">
        <v>-7.74</v>
      </c>
      <c r="AA194" s="96">
        <f>AA196*3</f>
        <v>-1.2000000000000002</v>
      </c>
      <c r="AB194" s="89">
        <f t="shared" ref="AB194:AB197" si="127">$AB$192+AA194</f>
        <v>0.79999999999999982</v>
      </c>
      <c r="AC194" s="40">
        <f t="shared" ref="AC194:AC196" si="128">AC193+$AE$193</f>
        <v>1.67</v>
      </c>
      <c r="AD194" s="283"/>
      <c r="AE194" s="283"/>
      <c r="AF194" s="58">
        <f t="shared" si="90"/>
        <v>-0.29000000000000004</v>
      </c>
      <c r="AG194" s="116">
        <f t="shared" si="0"/>
        <v>-2.8449000000000006E-2</v>
      </c>
      <c r="AH194" s="39">
        <v>0.04</v>
      </c>
      <c r="AI194" s="41">
        <f t="shared" si="87"/>
        <v>272.71800000000002</v>
      </c>
      <c r="AJ194" s="41">
        <f t="shared" si="125"/>
        <v>1.4171998381920001</v>
      </c>
      <c r="AK194" s="121">
        <f t="shared" si="119"/>
        <v>6773.7091631947042</v>
      </c>
      <c r="AL194" s="154">
        <v>-201.55</v>
      </c>
      <c r="AM194" s="152">
        <f t="shared" si="91"/>
        <v>6846.2943630328964</v>
      </c>
      <c r="AN194" s="42">
        <f t="shared" si="118"/>
        <v>-1985.4253652795403</v>
      </c>
      <c r="AO194" s="42">
        <f t="shared" si="92"/>
        <v>61641.425365279538</v>
      </c>
      <c r="AP194" s="61">
        <f t="shared" si="96"/>
        <v>-1985.4253652795403</v>
      </c>
      <c r="AQ194" s="5"/>
      <c r="AR194" s="160">
        <f>AN194</f>
        <v>-1985.4253652795403</v>
      </c>
      <c r="AS194" s="269">
        <f t="shared" si="101"/>
        <v>1985.4253652795403</v>
      </c>
    </row>
    <row r="195" spans="21:45" x14ac:dyDescent="0.25">
      <c r="U195" s="280"/>
      <c r="V195" s="72">
        <f>V193*3</f>
        <v>2.4000000000000004</v>
      </c>
      <c r="W195" s="77">
        <f t="shared" si="126"/>
        <v>1287.4000000000001</v>
      </c>
      <c r="X195" s="37">
        <v>173</v>
      </c>
      <c r="Y195" s="47">
        <v>3</v>
      </c>
      <c r="Z195" s="83">
        <v>-5.16</v>
      </c>
      <c r="AA195" s="96">
        <f>AA196*2</f>
        <v>-0.8</v>
      </c>
      <c r="AB195" s="89">
        <f t="shared" si="127"/>
        <v>1.2</v>
      </c>
      <c r="AC195" s="40">
        <f t="shared" si="128"/>
        <v>1.38</v>
      </c>
      <c r="AD195" s="283"/>
      <c r="AE195" s="283"/>
      <c r="AF195" s="58">
        <f t="shared" si="90"/>
        <v>-0.29000000000000004</v>
      </c>
      <c r="AG195" s="116">
        <f t="shared" si="0"/>
        <v>-2.8449000000000006E-2</v>
      </c>
      <c r="AH195" s="39">
        <v>0.04</v>
      </c>
      <c r="AI195" s="41">
        <f t="shared" si="87"/>
        <v>272.71800000000002</v>
      </c>
      <c r="AJ195" s="41">
        <f t="shared" si="125"/>
        <v>0.96773472403199989</v>
      </c>
      <c r="AK195" s="121">
        <f t="shared" si="119"/>
        <v>-6146.2704921958093</v>
      </c>
      <c r="AL195" s="154">
        <v>-201.55</v>
      </c>
      <c r="AM195" s="41">
        <f t="shared" si="91"/>
        <v>-6074.1347574717774</v>
      </c>
      <c r="AN195" s="42">
        <f t="shared" si="118"/>
        <v>1761.4990796668158</v>
      </c>
      <c r="AO195" s="42">
        <f t="shared" si="92"/>
        <v>57894.500920333187</v>
      </c>
      <c r="AP195" s="61">
        <f t="shared" si="96"/>
        <v>1761.4990796668158</v>
      </c>
      <c r="AQ195" s="248">
        <f>AN195</f>
        <v>1761.4990796668158</v>
      </c>
      <c r="AR195" s="7"/>
      <c r="AS195" s="269"/>
    </row>
    <row r="196" spans="21:45" x14ac:dyDescent="0.25">
      <c r="U196" s="280"/>
      <c r="V196" s="72">
        <f>V193*4</f>
        <v>3.2</v>
      </c>
      <c r="W196" s="72">
        <f t="shared" si="126"/>
        <v>1288.2</v>
      </c>
      <c r="X196" s="37">
        <v>174</v>
      </c>
      <c r="Y196" s="47">
        <v>4</v>
      </c>
      <c r="Z196" s="83">
        <v>-2.58</v>
      </c>
      <c r="AA196" s="96">
        <f>AA192/5</f>
        <v>-0.4</v>
      </c>
      <c r="AB196" s="89">
        <f t="shared" si="127"/>
        <v>1.6</v>
      </c>
      <c r="AC196" s="105">
        <f t="shared" si="128"/>
        <v>1.0899999999999999</v>
      </c>
      <c r="AD196" s="283"/>
      <c r="AE196" s="283"/>
      <c r="AF196" s="58">
        <f t="shared" si="90"/>
        <v>-0.29000000000000004</v>
      </c>
      <c r="AG196" s="116">
        <f t="shared" si="0"/>
        <v>-2.8449000000000006E-2</v>
      </c>
      <c r="AH196" s="39">
        <v>0.04</v>
      </c>
      <c r="AI196" s="41">
        <f t="shared" si="87"/>
        <v>272.71800000000002</v>
      </c>
      <c r="AJ196" s="41">
        <f t="shared" si="125"/>
        <v>0.60374166436799992</v>
      </c>
      <c r="AK196" s="121">
        <f t="shared" si="119"/>
        <v>3630.7963729688477</v>
      </c>
      <c r="AL196" s="154">
        <v>-201.55</v>
      </c>
      <c r="AM196" s="60">
        <f t="shared" si="91"/>
        <v>3702.5681146332154</v>
      </c>
      <c r="AN196" s="42">
        <f t="shared" si="118"/>
        <v>-1073.7447532436327</v>
      </c>
      <c r="AO196" s="42">
        <f t="shared" si="92"/>
        <v>60729.744753243634</v>
      </c>
      <c r="AP196" s="61">
        <f t="shared" si="96"/>
        <v>-1073.7447532436327</v>
      </c>
      <c r="AQ196" s="5"/>
      <c r="AR196" s="160">
        <f>AN196</f>
        <v>-1073.7447532436327</v>
      </c>
      <c r="AS196" s="269">
        <f t="shared" si="101"/>
        <v>1073.7447532436327</v>
      </c>
    </row>
    <row r="197" spans="21:45" ht="15.75" thickBot="1" x14ac:dyDescent="0.3">
      <c r="U197" s="281"/>
      <c r="V197" s="75">
        <v>4</v>
      </c>
      <c r="W197" s="48">
        <f>W192+V197</f>
        <v>1289</v>
      </c>
      <c r="X197" s="49">
        <f>X192+Y197</f>
        <v>175</v>
      </c>
      <c r="Y197" s="50">
        <v>5</v>
      </c>
      <c r="Z197" s="81">
        <v>0</v>
      </c>
      <c r="AA197" s="94">
        <v>0</v>
      </c>
      <c r="AB197" s="90">
        <f t="shared" si="127"/>
        <v>2</v>
      </c>
      <c r="AC197" s="102">
        <f>V197/Y197</f>
        <v>0.8</v>
      </c>
      <c r="AD197" s="284"/>
      <c r="AE197" s="284"/>
      <c r="AF197" s="112">
        <f t="shared" si="90"/>
        <v>-0.28999999999999981</v>
      </c>
      <c r="AG197" s="115">
        <f t="shared" si="0"/>
        <v>-2.8448999999999985E-2</v>
      </c>
      <c r="AH197" s="118">
        <v>0.04</v>
      </c>
      <c r="AI197" s="66">
        <f t="shared" si="87"/>
        <v>272.71800000000002</v>
      </c>
      <c r="AJ197" s="119">
        <f t="shared" si="125"/>
        <v>0.3252206592000001</v>
      </c>
      <c r="AK197" s="121">
        <f t="shared" si="119"/>
        <v>0</v>
      </c>
      <c r="AL197" s="66">
        <v>-201.54999999999987</v>
      </c>
      <c r="AM197" s="152">
        <f t="shared" si="91"/>
        <v>71.493220659200148</v>
      </c>
      <c r="AN197" s="164">
        <f t="shared" si="118"/>
        <v>-20.733033991168028</v>
      </c>
      <c r="AO197" s="164">
        <f t="shared" si="92"/>
        <v>59676.733033991171</v>
      </c>
      <c r="AP197" s="164">
        <f t="shared" si="96"/>
        <v>-20.733033991168028</v>
      </c>
      <c r="AQ197" s="5"/>
      <c r="AR197" s="160">
        <f>AN197</f>
        <v>-20.733033991168028</v>
      </c>
      <c r="AS197" s="269">
        <f t="shared" si="101"/>
        <v>20.733033991168028</v>
      </c>
    </row>
    <row r="198" spans="21:45" x14ac:dyDescent="0.25">
      <c r="U198" s="279" t="s">
        <v>73</v>
      </c>
      <c r="V198" s="71">
        <f>V202/5</f>
        <v>2.2000000000000002</v>
      </c>
      <c r="W198" s="71">
        <f>$W$197+V198</f>
        <v>1291.2</v>
      </c>
      <c r="X198" s="45">
        <v>176</v>
      </c>
      <c r="Y198" s="46">
        <v>1</v>
      </c>
      <c r="Z198" s="84">
        <v>-1.698</v>
      </c>
      <c r="AA198" s="95">
        <f>AA202/5</f>
        <v>-0.4</v>
      </c>
      <c r="AB198" s="88">
        <f>$AB$197+AA198</f>
        <v>1.6</v>
      </c>
      <c r="AC198" s="111">
        <f>AC197+$AE$198</f>
        <v>1.08</v>
      </c>
      <c r="AD198" s="282">
        <f>AC202-AC197</f>
        <v>1.4000000000000001</v>
      </c>
      <c r="AE198" s="282">
        <f>AD198/5</f>
        <v>0.28000000000000003</v>
      </c>
      <c r="AF198" s="62">
        <f t="shared" si="90"/>
        <v>0.28000000000000003</v>
      </c>
      <c r="AG198" s="114">
        <f t="shared" si="0"/>
        <v>2.7468000000000003E-2</v>
      </c>
      <c r="AH198" s="117">
        <v>0.04</v>
      </c>
      <c r="AI198" s="60">
        <f t="shared" si="87"/>
        <v>272.71800000000002</v>
      </c>
      <c r="AJ198" s="121">
        <f t="shared" si="125"/>
        <v>0.59271465139200008</v>
      </c>
      <c r="AK198" s="151">
        <f t="shared" si="119"/>
        <v>6762.8644816552187</v>
      </c>
      <c r="AL198" s="174">
        <v>194.60000000000002</v>
      </c>
      <c r="AM198" s="169">
        <f t="shared" si="91"/>
        <v>7230.7751963066112</v>
      </c>
      <c r="AN198" s="61">
        <f t="shared" si="118"/>
        <v>2024.6170549658514</v>
      </c>
      <c r="AO198" s="61">
        <f t="shared" si="92"/>
        <v>57631.382945034151</v>
      </c>
      <c r="AP198" s="61">
        <f t="shared" si="96"/>
        <v>2024.6170549658514</v>
      </c>
      <c r="AQ198" s="248">
        <f>AN198</f>
        <v>2024.6170549658514</v>
      </c>
      <c r="AR198" s="7"/>
      <c r="AS198" s="269"/>
    </row>
    <row r="199" spans="21:45" x14ac:dyDescent="0.25">
      <c r="U199" s="280"/>
      <c r="V199" s="72">
        <f>V198*2</f>
        <v>4.4000000000000004</v>
      </c>
      <c r="W199" s="72">
        <f t="shared" ref="W199:W201" si="129">$W$197+V199</f>
        <v>1293.4000000000001</v>
      </c>
      <c r="X199" s="37">
        <v>177</v>
      </c>
      <c r="Y199" s="47">
        <v>2</v>
      </c>
      <c r="Z199" s="83">
        <v>-3.3959999999999999</v>
      </c>
      <c r="AA199" s="96">
        <f>AA198*2</f>
        <v>-0.8</v>
      </c>
      <c r="AB199" s="89">
        <f t="shared" ref="AB199:AB202" si="130">$AB$197+AA199</f>
        <v>1.2</v>
      </c>
      <c r="AC199" s="40">
        <f t="shared" ref="AC199:AC201" si="131">AC198+$AE$198</f>
        <v>1.36</v>
      </c>
      <c r="AD199" s="283"/>
      <c r="AE199" s="283"/>
      <c r="AF199" s="58">
        <f t="shared" si="90"/>
        <v>0.28000000000000003</v>
      </c>
      <c r="AG199" s="116">
        <f t="shared" si="0"/>
        <v>2.7468000000000003E-2</v>
      </c>
      <c r="AH199" s="39">
        <v>0.04</v>
      </c>
      <c r="AI199" s="41">
        <f t="shared" si="87"/>
        <v>272.71800000000002</v>
      </c>
      <c r="AJ199" s="41">
        <f t="shared" si="125"/>
        <v>0.93988770508800024</v>
      </c>
      <c r="AK199" s="121">
        <f t="shared" si="119"/>
        <v>-1715.8862618125261</v>
      </c>
      <c r="AL199" s="154">
        <v>194.60000000000002</v>
      </c>
      <c r="AM199" s="41">
        <f t="shared" si="91"/>
        <v>-1247.628374107438</v>
      </c>
      <c r="AN199" s="42">
        <f t="shared" si="118"/>
        <v>-349.33594475008266</v>
      </c>
      <c r="AO199" s="42">
        <f t="shared" si="92"/>
        <v>60005.335944750084</v>
      </c>
      <c r="AP199" s="61">
        <f t="shared" si="96"/>
        <v>-349.33594475008266</v>
      </c>
      <c r="AQ199" s="5"/>
      <c r="AR199" s="160">
        <f>AN199</f>
        <v>-349.33594475008266</v>
      </c>
      <c r="AS199" s="269">
        <f t="shared" si="101"/>
        <v>349.33594475008266</v>
      </c>
    </row>
    <row r="200" spans="21:45" x14ac:dyDescent="0.25">
      <c r="U200" s="280"/>
      <c r="V200" s="72">
        <f>V198*3</f>
        <v>6.6000000000000005</v>
      </c>
      <c r="W200" s="72">
        <f t="shared" si="129"/>
        <v>1295.5999999999999</v>
      </c>
      <c r="X200" s="37">
        <v>178</v>
      </c>
      <c r="Y200" s="47">
        <v>3</v>
      </c>
      <c r="Z200" s="83">
        <v>-5.0939999999999994</v>
      </c>
      <c r="AA200" s="96">
        <f>AA198*3</f>
        <v>-1.2000000000000002</v>
      </c>
      <c r="AB200" s="89">
        <f t="shared" si="130"/>
        <v>0.79999999999999982</v>
      </c>
      <c r="AC200" s="40">
        <f t="shared" si="131"/>
        <v>1.6400000000000001</v>
      </c>
      <c r="AD200" s="283"/>
      <c r="AE200" s="283"/>
      <c r="AF200" s="58">
        <f t="shared" si="90"/>
        <v>0.28000000000000003</v>
      </c>
      <c r="AG200" s="116">
        <f t="shared" si="0"/>
        <v>2.7468000000000003E-2</v>
      </c>
      <c r="AH200" s="39">
        <v>0.04</v>
      </c>
      <c r="AI200" s="41">
        <f t="shared" si="87"/>
        <v>272.71800000000002</v>
      </c>
      <c r="AJ200" s="41">
        <f t="shared" si="125"/>
        <v>1.3667398202880003</v>
      </c>
      <c r="AK200" s="41">
        <f t="shared" si="119"/>
        <v>-6327.5067022019257</v>
      </c>
      <c r="AL200" s="155">
        <v>194.60000000000002</v>
      </c>
      <c r="AM200" s="41">
        <f t="shared" si="91"/>
        <v>-5858.8219623816376</v>
      </c>
      <c r="AN200" s="42">
        <f t="shared" si="118"/>
        <v>-1640.4701494668586</v>
      </c>
      <c r="AO200" s="42">
        <f t="shared" si="92"/>
        <v>61296.470149466855</v>
      </c>
      <c r="AP200" s="61">
        <f t="shared" si="96"/>
        <v>-1640.4701494668586</v>
      </c>
      <c r="AQ200" s="5"/>
      <c r="AR200" s="160">
        <f>AN200</f>
        <v>-1640.4701494668586</v>
      </c>
      <c r="AS200" s="269">
        <f t="shared" si="101"/>
        <v>1640.4701494668586</v>
      </c>
    </row>
    <row r="201" spans="21:45" x14ac:dyDescent="0.25">
      <c r="U201" s="280"/>
      <c r="V201" s="72">
        <f>V198*4</f>
        <v>8.8000000000000007</v>
      </c>
      <c r="W201" s="74">
        <f t="shared" si="129"/>
        <v>1297.8</v>
      </c>
      <c r="X201" s="37">
        <v>179</v>
      </c>
      <c r="Y201" s="47">
        <v>4</v>
      </c>
      <c r="Z201" s="83">
        <v>-6.7919999999999998</v>
      </c>
      <c r="AA201" s="96">
        <f>AA198*4</f>
        <v>-1.6</v>
      </c>
      <c r="AB201" s="89">
        <f t="shared" si="130"/>
        <v>0.39999999999999991</v>
      </c>
      <c r="AC201" s="40">
        <f t="shared" si="131"/>
        <v>1.9200000000000002</v>
      </c>
      <c r="AD201" s="283"/>
      <c r="AE201" s="283"/>
      <c r="AF201" s="58">
        <f t="shared" si="90"/>
        <v>0.28000000000000003</v>
      </c>
      <c r="AG201" s="116">
        <f t="shared" si="0"/>
        <v>2.7468000000000003E-2</v>
      </c>
      <c r="AH201" s="39">
        <v>0.04</v>
      </c>
      <c r="AI201" s="41">
        <f t="shared" si="87"/>
        <v>272.71800000000002</v>
      </c>
      <c r="AJ201" s="41">
        <f t="shared" si="125"/>
        <v>1.8732709969920005</v>
      </c>
      <c r="AK201" s="168">
        <f t="shared" si="119"/>
        <v>3321.31275694431</v>
      </c>
      <c r="AL201" s="168">
        <v>194.60000000000002</v>
      </c>
      <c r="AM201" s="152">
        <f t="shared" si="91"/>
        <v>3790.504027941302</v>
      </c>
      <c r="AN201" s="42">
        <f t="shared" si="118"/>
        <v>1061.3411278235646</v>
      </c>
      <c r="AO201" s="42">
        <f t="shared" si="92"/>
        <v>58594.658872176435</v>
      </c>
      <c r="AP201" s="61">
        <f t="shared" si="96"/>
        <v>1061.3411278235646</v>
      </c>
      <c r="AQ201" s="248">
        <f>AN201</f>
        <v>1061.3411278235646</v>
      </c>
      <c r="AR201" s="7"/>
      <c r="AS201" s="269"/>
    </row>
    <row r="202" spans="21:45" ht="15.75" thickBot="1" x14ac:dyDescent="0.3">
      <c r="U202" s="281"/>
      <c r="V202" s="75">
        <v>11</v>
      </c>
      <c r="W202" s="48">
        <f>W197+V202</f>
        <v>1300</v>
      </c>
      <c r="X202" s="49">
        <f>X197+Y202</f>
        <v>180</v>
      </c>
      <c r="Y202" s="50">
        <v>5</v>
      </c>
      <c r="Z202" s="81">
        <v>-8.49</v>
      </c>
      <c r="AA202" s="94">
        <v>-2</v>
      </c>
      <c r="AB202" s="93">
        <f t="shared" si="130"/>
        <v>0</v>
      </c>
      <c r="AC202" s="102">
        <f>V202/Y202</f>
        <v>2.2000000000000002</v>
      </c>
      <c r="AD202" s="284"/>
      <c r="AE202" s="284"/>
      <c r="AF202" s="112">
        <f t="shared" si="90"/>
        <v>0.28000000000000003</v>
      </c>
      <c r="AG202" s="115">
        <f t="shared" si="0"/>
        <v>2.7468000000000003E-2</v>
      </c>
      <c r="AH202" s="118">
        <v>0.04</v>
      </c>
      <c r="AI202" s="121">
        <f t="shared" si="87"/>
        <v>272.71800000000002</v>
      </c>
      <c r="AJ202" s="119">
        <f t="shared" si="125"/>
        <v>2.4594812352000006</v>
      </c>
      <c r="AK202" s="121">
        <f t="shared" si="119"/>
        <v>5484.8171959605397</v>
      </c>
      <c r="AL202" s="66">
        <v>194.60000000000002</v>
      </c>
      <c r="AM202" s="66">
        <f t="shared" si="91"/>
        <v>5954.5946771957397</v>
      </c>
      <c r="AN202" s="164">
        <f t="shared" si="118"/>
        <v>1667.2865096148073</v>
      </c>
      <c r="AO202" s="164">
        <f t="shared" si="92"/>
        <v>57988.713490385191</v>
      </c>
      <c r="AP202" s="164">
        <f t="shared" si="96"/>
        <v>1667.2865096148073</v>
      </c>
      <c r="AQ202" s="248">
        <f>AN202</f>
        <v>1667.2865096148073</v>
      </c>
      <c r="AR202" s="7"/>
      <c r="AS202" s="269"/>
    </row>
    <row r="203" spans="21:45" x14ac:dyDescent="0.25">
      <c r="U203" s="279" t="s">
        <v>74</v>
      </c>
      <c r="V203" s="74">
        <f>V205/3</f>
        <v>16.666666666666668</v>
      </c>
      <c r="W203" s="74">
        <f>$W$202+V203</f>
        <v>1316.6666666666667</v>
      </c>
      <c r="X203" s="44">
        <v>181</v>
      </c>
      <c r="Y203" s="51">
        <v>1</v>
      </c>
      <c r="Z203" s="84">
        <v>-5.66</v>
      </c>
      <c r="AA203" s="95">
        <f>AA204*2</f>
        <v>-1.3333333333333333</v>
      </c>
      <c r="AB203" s="91">
        <f>$AB$202+AA203</f>
        <v>-1.3333333333333333</v>
      </c>
      <c r="AC203" s="111">
        <f>AC202+$AE$203</f>
        <v>7.022222222222223</v>
      </c>
      <c r="AD203" s="282">
        <f>AC205-AC202</f>
        <v>14.466666666666669</v>
      </c>
      <c r="AE203" s="282">
        <f>AD203/3</f>
        <v>4.8222222222222229</v>
      </c>
      <c r="AF203" s="62">
        <f t="shared" si="90"/>
        <v>4.8222222222222229</v>
      </c>
      <c r="AG203" s="114">
        <f t="shared" si="0"/>
        <v>0.47306000000000009</v>
      </c>
      <c r="AH203" s="117">
        <v>0.04</v>
      </c>
      <c r="AI203" s="151">
        <f t="shared" si="87"/>
        <v>272.71800000000002</v>
      </c>
      <c r="AJ203" s="121">
        <f t="shared" si="125"/>
        <v>25.058051037866672</v>
      </c>
      <c r="AK203" s="151">
        <f t="shared" si="119"/>
        <v>-3979.1237602126339</v>
      </c>
      <c r="AL203" s="174">
        <v>3351.4444444444448</v>
      </c>
      <c r="AM203" s="169">
        <f t="shared" si="91"/>
        <v>-329.90326473032246</v>
      </c>
      <c r="AN203" s="61">
        <f t="shared" si="118"/>
        <v>-1590.8668543662218</v>
      </c>
      <c r="AO203" s="61">
        <f t="shared" si="92"/>
        <v>61246.866854366221</v>
      </c>
      <c r="AP203" s="61">
        <f t="shared" si="96"/>
        <v>-1590.8668543662218</v>
      </c>
      <c r="AQ203" s="5"/>
      <c r="AR203" s="160">
        <f>AN203</f>
        <v>-1590.8668543662218</v>
      </c>
      <c r="AS203" s="269">
        <f t="shared" si="101"/>
        <v>1590.8668543662218</v>
      </c>
    </row>
    <row r="204" spans="21:45" x14ac:dyDescent="0.25">
      <c r="U204" s="280"/>
      <c r="V204" s="72">
        <f>V203*2</f>
        <v>33.333333333333336</v>
      </c>
      <c r="W204" s="74">
        <f>$W$202+V204</f>
        <v>1333.3333333333333</v>
      </c>
      <c r="X204" s="37">
        <v>182</v>
      </c>
      <c r="Y204" s="47">
        <v>2</v>
      </c>
      <c r="Z204" s="83">
        <v>-2.83</v>
      </c>
      <c r="AA204" s="96">
        <f>AA202/3</f>
        <v>-0.66666666666666663</v>
      </c>
      <c r="AB204" s="89">
        <f>$AB$202+AA204</f>
        <v>-0.66666666666666663</v>
      </c>
      <c r="AC204" s="40">
        <f>AC203+$AE$203</f>
        <v>11.844444444444445</v>
      </c>
      <c r="AD204" s="283"/>
      <c r="AE204" s="283"/>
      <c r="AF204" s="58">
        <f t="shared" si="90"/>
        <v>4.822222222222222</v>
      </c>
      <c r="AG204" s="116">
        <f t="shared" si="0"/>
        <v>0.47305999999999998</v>
      </c>
      <c r="AH204" s="39">
        <v>0.04</v>
      </c>
      <c r="AI204" s="41">
        <f t="shared" si="87"/>
        <v>272.71800000000002</v>
      </c>
      <c r="AJ204" s="41">
        <f t="shared" si="125"/>
        <v>71.289823959466688</v>
      </c>
      <c r="AK204" s="41">
        <f t="shared" si="119"/>
        <v>2090.2129284135403</v>
      </c>
      <c r="AL204" s="155">
        <v>3351.4444444444443</v>
      </c>
      <c r="AM204" s="41">
        <f t="shared" si="91"/>
        <v>5785.6651968174519</v>
      </c>
      <c r="AN204" s="42">
        <f t="shared" si="118"/>
        <v>27899.763282430824</v>
      </c>
      <c r="AO204" s="42">
        <f t="shared" si="92"/>
        <v>31756.236717569176</v>
      </c>
      <c r="AP204" s="61">
        <f t="shared" si="96"/>
        <v>27899.763282430824</v>
      </c>
      <c r="AQ204" s="248">
        <f>AN204</f>
        <v>27899.763282430824</v>
      </c>
      <c r="AR204" s="7"/>
      <c r="AS204" s="269"/>
    </row>
    <row r="205" spans="21:45" ht="15.75" thickBot="1" x14ac:dyDescent="0.3">
      <c r="U205" s="281"/>
      <c r="V205" s="75">
        <v>50</v>
      </c>
      <c r="W205" s="48">
        <f>W202+V205</f>
        <v>1350</v>
      </c>
      <c r="X205" s="49">
        <f>X202+Y205</f>
        <v>183</v>
      </c>
      <c r="Y205" s="50">
        <v>3</v>
      </c>
      <c r="Z205" s="81">
        <v>0</v>
      </c>
      <c r="AA205" s="90">
        <v>0</v>
      </c>
      <c r="AB205" s="107">
        <f>$AB$202+AA205</f>
        <v>0</v>
      </c>
      <c r="AC205" s="64">
        <f>V205/Y205</f>
        <v>16.666666666666668</v>
      </c>
      <c r="AD205" s="284"/>
      <c r="AE205" s="284"/>
      <c r="AF205" s="112">
        <f t="shared" si="90"/>
        <v>4.8222222222222229</v>
      </c>
      <c r="AG205" s="115">
        <f t="shared" si="0"/>
        <v>0.47306000000000009</v>
      </c>
      <c r="AH205" s="118">
        <v>0.04</v>
      </c>
      <c r="AI205" s="121">
        <f t="shared" si="87"/>
        <v>272.71800000000002</v>
      </c>
      <c r="AJ205" s="119">
        <f t="shared" si="125"/>
        <v>141.15480000000005</v>
      </c>
      <c r="AK205" s="170">
        <f t="shared" si="119"/>
        <v>0</v>
      </c>
      <c r="AL205" s="170">
        <v>3351.4444444444448</v>
      </c>
      <c r="AM205" s="119">
        <f t="shared" si="91"/>
        <v>3765.3172444444449</v>
      </c>
      <c r="AN205" s="164">
        <f t="shared" si="118"/>
        <v>18157.196489876547</v>
      </c>
      <c r="AO205" s="163">
        <f t="shared" si="92"/>
        <v>41498.803510123456</v>
      </c>
      <c r="AP205" s="164">
        <f t="shared" si="96"/>
        <v>18157.196489876547</v>
      </c>
      <c r="AQ205" s="248">
        <f>AN205</f>
        <v>18157.196489876547</v>
      </c>
      <c r="AR205" s="7"/>
      <c r="AS205" s="269"/>
    </row>
    <row r="206" spans="21:45" x14ac:dyDescent="0.25">
      <c r="AB206" s="108"/>
      <c r="AF206" s="108"/>
      <c r="AI206" s="108"/>
    </row>
    <row r="207" spans="21:45" x14ac:dyDescent="0.25">
      <c r="AN207" s="113" t="s">
        <v>91</v>
      </c>
      <c r="AO207" s="42">
        <f>MAX(AO22:AO205)</f>
        <v>71844.490727202705</v>
      </c>
      <c r="AQ207" s="147" t="s">
        <v>212</v>
      </c>
      <c r="AR207" s="147" t="s">
        <v>213</v>
      </c>
    </row>
    <row r="208" spans="21:45" x14ac:dyDescent="0.25">
      <c r="AL208" s="110"/>
      <c r="AN208" s="113" t="s">
        <v>93</v>
      </c>
      <c r="AO208" s="42">
        <f>MIN(AO22:AO205)</f>
        <v>16230.309068835675</v>
      </c>
      <c r="AQ208" s="183">
        <f>AVERAGE(AQ23:AQ205)</f>
        <v>5524.3510923273225</v>
      </c>
      <c r="AR208" s="183">
        <f>AVERAGE(AR28:AR203)</f>
        <v>-3221.6928231898924</v>
      </c>
    </row>
    <row r="209" spans="40:44" x14ac:dyDescent="0.25">
      <c r="AN209" s="113" t="s">
        <v>94</v>
      </c>
      <c r="AO209" s="42">
        <f>C5-AO208</f>
        <v>43425.690931164325</v>
      </c>
    </row>
    <row r="210" spans="40:44" x14ac:dyDescent="0.25">
      <c r="AN210" s="113" t="s">
        <v>130</v>
      </c>
      <c r="AO210" s="42">
        <f>AO207-C5</f>
        <v>12188.490727202705</v>
      </c>
      <c r="AQ210" s="18"/>
      <c r="AR210" s="18"/>
    </row>
    <row r="211" spans="40:44" x14ac:dyDescent="0.25">
      <c r="AN211" s="5" t="s">
        <v>96</v>
      </c>
      <c r="AO211" s="89">
        <f>MAX(AP23:AP205)</f>
        <v>43425.690931164325</v>
      </c>
      <c r="AQ211" s="241"/>
      <c r="AR211" s="241"/>
    </row>
    <row r="212" spans="40:44" x14ac:dyDescent="0.25">
      <c r="AN212" s="5" t="s">
        <v>97</v>
      </c>
      <c r="AO212" s="89">
        <f>MIN(AP23:AP205)</f>
        <v>-12188.490727202699</v>
      </c>
      <c r="AQ212" s="241"/>
      <c r="AR212" s="241"/>
    </row>
    <row r="213" spans="40:44" x14ac:dyDescent="0.25">
      <c r="AQ213" s="18"/>
      <c r="AR213" s="18"/>
    </row>
    <row r="214" spans="40:44" x14ac:dyDescent="0.25">
      <c r="AN214" s="110"/>
      <c r="AQ214" s="251"/>
      <c r="AR214" s="241"/>
    </row>
    <row r="215" spans="40:44" x14ac:dyDescent="0.25">
      <c r="AQ215" s="251"/>
      <c r="AR215" s="241"/>
    </row>
  </sheetData>
  <mergeCells count="130">
    <mergeCell ref="E2:H2"/>
    <mergeCell ref="F16:G16"/>
    <mergeCell ref="U20:AP20"/>
    <mergeCell ref="F21:G21"/>
    <mergeCell ref="U23:U27"/>
    <mergeCell ref="AD23:AD27"/>
    <mergeCell ref="AE23:AE27"/>
    <mergeCell ref="B25:B26"/>
    <mergeCell ref="C25:C26"/>
    <mergeCell ref="F26:I26"/>
    <mergeCell ref="K26:N26"/>
    <mergeCell ref="U28:U31"/>
    <mergeCell ref="AD28:AD31"/>
    <mergeCell ref="AE28:AE31"/>
    <mergeCell ref="B29:B33"/>
    <mergeCell ref="U32:U40"/>
    <mergeCell ref="AD32:AD40"/>
    <mergeCell ref="AE32:AE40"/>
    <mergeCell ref="U54:U58"/>
    <mergeCell ref="AD54:AD58"/>
    <mergeCell ref="AE54:AE58"/>
    <mergeCell ref="L31:N31"/>
    <mergeCell ref="L32:N32"/>
    <mergeCell ref="G30:H30"/>
    <mergeCell ref="F37:G38"/>
    <mergeCell ref="F45:F47"/>
    <mergeCell ref="G45:G47"/>
    <mergeCell ref="I46:J47"/>
    <mergeCell ref="U59:U65"/>
    <mergeCell ref="AD59:AD65"/>
    <mergeCell ref="AE59:AE65"/>
    <mergeCell ref="U41:U46"/>
    <mergeCell ref="AD41:AD46"/>
    <mergeCell ref="AE41:AE46"/>
    <mergeCell ref="U47:U53"/>
    <mergeCell ref="AD47:AD53"/>
    <mergeCell ref="AE47:AE53"/>
    <mergeCell ref="U77:U81"/>
    <mergeCell ref="AD77:AD81"/>
    <mergeCell ref="AE77:AE81"/>
    <mergeCell ref="U82:U88"/>
    <mergeCell ref="AD82:AD88"/>
    <mergeCell ref="AE82:AE88"/>
    <mergeCell ref="U66:U71"/>
    <mergeCell ref="AD66:AD71"/>
    <mergeCell ref="AE66:AE71"/>
    <mergeCell ref="U72:U76"/>
    <mergeCell ref="AD72:AD76"/>
    <mergeCell ref="AE72:AE76"/>
    <mergeCell ref="U97:U100"/>
    <mergeCell ref="AD97:AD100"/>
    <mergeCell ref="AE97:AE100"/>
    <mergeCell ref="U101:U105"/>
    <mergeCell ref="AD101:AD105"/>
    <mergeCell ref="AE101:AE105"/>
    <mergeCell ref="U89:U91"/>
    <mergeCell ref="AD89:AD91"/>
    <mergeCell ref="AE89:AE91"/>
    <mergeCell ref="U92:U96"/>
    <mergeCell ref="AD92:AD96"/>
    <mergeCell ref="AE92:AE96"/>
    <mergeCell ref="U117:U120"/>
    <mergeCell ref="AD117:AD120"/>
    <mergeCell ref="AE117:AE120"/>
    <mergeCell ref="U121:U126"/>
    <mergeCell ref="AD121:AD126"/>
    <mergeCell ref="AE121:AE126"/>
    <mergeCell ref="U106:U109"/>
    <mergeCell ref="AD106:AD109"/>
    <mergeCell ref="AE106:AE109"/>
    <mergeCell ref="U110:U116"/>
    <mergeCell ref="AD110:AD116"/>
    <mergeCell ref="AE110:AE116"/>
    <mergeCell ref="U137:U140"/>
    <mergeCell ref="AD137:AD140"/>
    <mergeCell ref="AE137:AE140"/>
    <mergeCell ref="U141:U145"/>
    <mergeCell ref="AD141:AD145"/>
    <mergeCell ref="AE141:AE145"/>
    <mergeCell ref="U127:U130"/>
    <mergeCell ref="AD127:AD130"/>
    <mergeCell ref="AE127:AE130"/>
    <mergeCell ref="U131:U136"/>
    <mergeCell ref="AD131:AD136"/>
    <mergeCell ref="AE131:AE136"/>
    <mergeCell ref="U152:U155"/>
    <mergeCell ref="AD152:AD155"/>
    <mergeCell ref="AE152:AE155"/>
    <mergeCell ref="U156:U161"/>
    <mergeCell ref="AD156:AD161"/>
    <mergeCell ref="AE156:AE161"/>
    <mergeCell ref="U146:U148"/>
    <mergeCell ref="AD146:AD148"/>
    <mergeCell ref="AE146:AE148"/>
    <mergeCell ref="U149:U151"/>
    <mergeCell ref="AD149:AD151"/>
    <mergeCell ref="AE149:AE151"/>
    <mergeCell ref="U170:U172"/>
    <mergeCell ref="AD170:AD172"/>
    <mergeCell ref="AE170:AE172"/>
    <mergeCell ref="U173:U176"/>
    <mergeCell ref="AD173:AD176"/>
    <mergeCell ref="AE173:AE176"/>
    <mergeCell ref="U162:U164"/>
    <mergeCell ref="AD162:AD164"/>
    <mergeCell ref="AE162:AE164"/>
    <mergeCell ref="U166:U169"/>
    <mergeCell ref="AD166:AD169"/>
    <mergeCell ref="AE166:AE169"/>
    <mergeCell ref="U186:U188"/>
    <mergeCell ref="AD186:AD188"/>
    <mergeCell ref="AE186:AE188"/>
    <mergeCell ref="U189:U192"/>
    <mergeCell ref="AD189:AD192"/>
    <mergeCell ref="AE189:AE192"/>
    <mergeCell ref="U177:U180"/>
    <mergeCell ref="AD177:AD180"/>
    <mergeCell ref="AE177:AE180"/>
    <mergeCell ref="U181:U185"/>
    <mergeCell ref="AD181:AD185"/>
    <mergeCell ref="AE181:AE185"/>
    <mergeCell ref="U203:U205"/>
    <mergeCell ref="AD203:AD205"/>
    <mergeCell ref="AE203:AE205"/>
    <mergeCell ref="U193:U197"/>
    <mergeCell ref="AD193:AD197"/>
    <mergeCell ref="AE193:AE197"/>
    <mergeCell ref="U198:U202"/>
    <mergeCell ref="AD198:AD202"/>
    <mergeCell ref="AE198:AE202"/>
  </mergeCells>
  <conditionalFormatting sqref="Y22:Y20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1A27A-92DB-42A0-AEC6-5400D0F50FB4}">
  <dimension ref="B2:L36"/>
  <sheetViews>
    <sheetView zoomScale="70" zoomScaleNormal="70" workbookViewId="0">
      <selection activeCell="K19" sqref="K19"/>
    </sheetView>
  </sheetViews>
  <sheetFormatPr defaultRowHeight="15" x14ac:dyDescent="0.25"/>
  <cols>
    <col min="2" max="2" width="33.42578125" bestFit="1" customWidth="1"/>
    <col min="3" max="3" width="26.7109375" customWidth="1"/>
    <col min="4" max="4" width="12" bestFit="1" customWidth="1"/>
    <col min="5" max="5" width="33.85546875" bestFit="1" customWidth="1"/>
    <col min="6" max="6" width="18" bestFit="1" customWidth="1"/>
    <col min="9" max="9" width="28.42578125" customWidth="1"/>
    <col min="10" max="10" width="25.5703125" customWidth="1"/>
    <col min="11" max="11" width="14.140625" bestFit="1" customWidth="1"/>
    <col min="12" max="12" width="16.28515625" bestFit="1" customWidth="1"/>
  </cols>
  <sheetData>
    <row r="2" spans="2:12" ht="21" x14ac:dyDescent="0.35">
      <c r="B2" s="239" t="s">
        <v>156</v>
      </c>
    </row>
    <row r="3" spans="2:12" x14ac:dyDescent="0.25">
      <c r="F3" s="5" t="s">
        <v>163</v>
      </c>
      <c r="G3" s="183">
        <v>0.92</v>
      </c>
      <c r="H3" s="18"/>
      <c r="I3" s="5" t="s">
        <v>192</v>
      </c>
      <c r="J3" s="183">
        <v>0.16</v>
      </c>
    </row>
    <row r="4" spans="2:12" x14ac:dyDescent="0.25">
      <c r="B4" s="5" t="s">
        <v>149</v>
      </c>
      <c r="C4" s="183">
        <v>21712.845465582162</v>
      </c>
      <c r="F4" s="5" t="s">
        <v>204</v>
      </c>
      <c r="G4" s="2">
        <v>0.08</v>
      </c>
      <c r="H4" s="18"/>
      <c r="I4" s="5" t="s">
        <v>187</v>
      </c>
      <c r="J4" s="183">
        <v>70</v>
      </c>
    </row>
    <row r="5" spans="2:12" x14ac:dyDescent="0.25">
      <c r="B5" s="5" t="s">
        <v>150</v>
      </c>
      <c r="C5" s="183">
        <v>10856.422732791081</v>
      </c>
      <c r="F5" s="5" t="s">
        <v>164</v>
      </c>
      <c r="G5" s="183">
        <v>35</v>
      </c>
      <c r="H5" s="18"/>
      <c r="I5" s="5" t="s">
        <v>186</v>
      </c>
      <c r="J5" s="183">
        <v>31.76</v>
      </c>
    </row>
    <row r="6" spans="2:12" x14ac:dyDescent="0.25">
      <c r="F6" s="5" t="s">
        <v>165</v>
      </c>
      <c r="G6" s="183">
        <v>15.88</v>
      </c>
      <c r="H6" s="18"/>
      <c r="I6" s="18"/>
      <c r="J6" s="241"/>
    </row>
    <row r="7" spans="2:12" x14ac:dyDescent="0.25">
      <c r="B7" s="5" t="s">
        <v>152</v>
      </c>
      <c r="C7" s="2">
        <v>2</v>
      </c>
      <c r="D7" s="5" t="s">
        <v>157</v>
      </c>
      <c r="F7" s="18"/>
      <c r="G7" s="18"/>
      <c r="H7" s="18"/>
      <c r="J7" s="18"/>
    </row>
    <row r="8" spans="2:12" x14ac:dyDescent="0.25">
      <c r="B8" s="5" t="s">
        <v>153</v>
      </c>
      <c r="C8" s="183">
        <v>10856.422732791081</v>
      </c>
      <c r="D8" s="183">
        <v>10.856422732791081</v>
      </c>
      <c r="I8" s="242" t="s">
        <v>179</v>
      </c>
      <c r="J8" s="2" t="s">
        <v>182</v>
      </c>
      <c r="K8" s="2" t="s">
        <v>185</v>
      </c>
      <c r="L8" s="2" t="s">
        <v>181</v>
      </c>
    </row>
    <row r="9" spans="2:12" x14ac:dyDescent="0.25">
      <c r="I9" s="2" t="s">
        <v>180</v>
      </c>
      <c r="J9" s="2">
        <v>8.1</v>
      </c>
      <c r="K9" s="2">
        <v>2</v>
      </c>
      <c r="L9" s="2">
        <f>-J9*2</f>
        <v>-16.2</v>
      </c>
    </row>
    <row r="10" spans="2:12" ht="15" customHeight="1" x14ac:dyDescent="0.25">
      <c r="B10" s="285" t="s">
        <v>151</v>
      </c>
      <c r="C10" s="305" t="s">
        <v>162</v>
      </c>
      <c r="I10" s="2" t="s">
        <v>183</v>
      </c>
      <c r="J10" s="2">
        <v>13.59</v>
      </c>
      <c r="K10" s="2">
        <v>1</v>
      </c>
      <c r="L10" s="2">
        <v>-13.59</v>
      </c>
    </row>
    <row r="11" spans="2:12" x14ac:dyDescent="0.25">
      <c r="B11" s="285"/>
      <c r="C11" s="305"/>
      <c r="E11" s="307" t="s">
        <v>172</v>
      </c>
      <c r="F11" s="308"/>
      <c r="I11" s="243" t="s">
        <v>184</v>
      </c>
      <c r="J11" s="244">
        <f>G6</f>
        <v>15.88</v>
      </c>
      <c r="K11" s="2">
        <v>2</v>
      </c>
      <c r="L11" s="2">
        <f>J11*2</f>
        <v>31.76</v>
      </c>
    </row>
    <row r="12" spans="2:12" x14ac:dyDescent="0.25">
      <c r="B12" s="285"/>
      <c r="C12" s="305"/>
      <c r="E12" s="309"/>
      <c r="F12" s="310"/>
      <c r="I12" s="247" t="s">
        <v>188</v>
      </c>
      <c r="J12" s="2">
        <v>72</v>
      </c>
      <c r="K12" s="193">
        <v>3</v>
      </c>
      <c r="L12" s="2">
        <f>J12*K12</f>
        <v>216</v>
      </c>
    </row>
    <row r="13" spans="2:12" x14ac:dyDescent="0.25">
      <c r="B13" s="7" t="s">
        <v>155</v>
      </c>
      <c r="C13" s="183">
        <v>24</v>
      </c>
      <c r="E13" s="159" t="s">
        <v>173</v>
      </c>
      <c r="F13" s="183">
        <v>48</v>
      </c>
      <c r="I13" s="245" t="s">
        <v>177</v>
      </c>
      <c r="J13" s="246">
        <v>695</v>
      </c>
    </row>
    <row r="14" spans="2:12" ht="15" customHeight="1" x14ac:dyDescent="0.25">
      <c r="B14" s="7" t="s">
        <v>159</v>
      </c>
      <c r="C14" s="183">
        <v>72</v>
      </c>
      <c r="E14" s="159" t="s">
        <v>174</v>
      </c>
      <c r="F14" s="183">
        <v>144</v>
      </c>
      <c r="I14" s="311" t="s">
        <v>178</v>
      </c>
      <c r="J14" s="303">
        <f>J13+L9+L10+L11+L12</f>
        <v>912.96999999999991</v>
      </c>
    </row>
    <row r="15" spans="2:12" x14ac:dyDescent="0.25">
      <c r="B15" s="203"/>
      <c r="C15" s="240"/>
      <c r="E15" s="203"/>
      <c r="F15" s="240"/>
      <c r="I15" s="312"/>
      <c r="J15" s="304"/>
    </row>
    <row r="16" spans="2:12" x14ac:dyDescent="0.25">
      <c r="B16" s="7" t="s">
        <v>154</v>
      </c>
      <c r="C16" s="183">
        <v>12000</v>
      </c>
      <c r="E16" s="159" t="s">
        <v>154</v>
      </c>
      <c r="F16" s="183">
        <v>12000</v>
      </c>
    </row>
    <row r="17" spans="2:12" x14ac:dyDescent="0.25">
      <c r="B17" s="7" t="s">
        <v>160</v>
      </c>
      <c r="C17" s="183">
        <v>30000</v>
      </c>
      <c r="E17" s="159" t="s">
        <v>160</v>
      </c>
      <c r="F17" s="183">
        <v>30000</v>
      </c>
    </row>
    <row r="18" spans="2:12" ht="15" customHeight="1" x14ac:dyDescent="0.25">
      <c r="B18" s="7" t="s">
        <v>158</v>
      </c>
      <c r="C18" s="183">
        <v>12</v>
      </c>
      <c r="E18" s="159" t="s">
        <v>158</v>
      </c>
      <c r="F18" s="183">
        <v>12</v>
      </c>
      <c r="I18" s="275" t="s">
        <v>191</v>
      </c>
      <c r="J18" s="305" t="s">
        <v>199</v>
      </c>
      <c r="K18" s="86"/>
      <c r="L18" s="86"/>
    </row>
    <row r="19" spans="2:12" x14ac:dyDescent="0.25">
      <c r="B19" s="7" t="s">
        <v>161</v>
      </c>
      <c r="C19" s="183">
        <v>30</v>
      </c>
      <c r="E19" s="159" t="s">
        <v>161</v>
      </c>
      <c r="F19" s="183">
        <v>30</v>
      </c>
      <c r="I19" s="275"/>
      <c r="J19" s="305"/>
    </row>
    <row r="20" spans="2:12" x14ac:dyDescent="0.25">
      <c r="B20" s="203"/>
      <c r="C20" s="240"/>
      <c r="E20" s="203"/>
      <c r="F20" s="240"/>
      <c r="I20" s="275"/>
      <c r="J20" s="305"/>
      <c r="K20" s="147" t="s">
        <v>185</v>
      </c>
      <c r="L20" s="147" t="s">
        <v>181</v>
      </c>
    </row>
    <row r="21" spans="2:12" x14ac:dyDescent="0.25">
      <c r="B21" s="7" t="s">
        <v>166</v>
      </c>
      <c r="C21" s="183">
        <v>5000</v>
      </c>
      <c r="E21" s="159" t="s">
        <v>166</v>
      </c>
      <c r="F21" s="183">
        <v>5000</v>
      </c>
      <c r="I21" s="188" t="s">
        <v>193</v>
      </c>
      <c r="J21" s="147">
        <v>60</v>
      </c>
      <c r="K21" s="147" t="s">
        <v>194</v>
      </c>
      <c r="L21" s="147">
        <f>J21*3</f>
        <v>180</v>
      </c>
    </row>
    <row r="22" spans="2:12" x14ac:dyDescent="0.25">
      <c r="B22" s="203"/>
      <c r="C22" s="240"/>
      <c r="E22" s="203"/>
      <c r="F22" s="240"/>
      <c r="I22" s="188" t="s">
        <v>197</v>
      </c>
      <c r="J22" s="147">
        <v>67.2</v>
      </c>
      <c r="K22" s="147" t="s">
        <v>194</v>
      </c>
      <c r="L22" s="147">
        <f>J22*3</f>
        <v>201.60000000000002</v>
      </c>
    </row>
    <row r="23" spans="2:12" x14ac:dyDescent="0.25">
      <c r="B23" s="7" t="s">
        <v>169</v>
      </c>
      <c r="C23" s="183">
        <v>165</v>
      </c>
      <c r="E23" s="159" t="s">
        <v>169</v>
      </c>
      <c r="F23" s="183">
        <v>165</v>
      </c>
      <c r="I23" s="188" t="s">
        <v>182</v>
      </c>
      <c r="J23" s="147">
        <v>72</v>
      </c>
      <c r="K23" s="147" t="s">
        <v>194</v>
      </c>
      <c r="L23" s="147">
        <f>J23*3</f>
        <v>216</v>
      </c>
    </row>
    <row r="24" spans="2:12" x14ac:dyDescent="0.25">
      <c r="B24" s="7" t="s">
        <v>170</v>
      </c>
      <c r="C24" s="183">
        <v>450</v>
      </c>
      <c r="E24" s="159" t="s">
        <v>170</v>
      </c>
      <c r="F24" s="183">
        <v>450</v>
      </c>
      <c r="I24" s="188" t="s">
        <v>195</v>
      </c>
      <c r="J24" s="147">
        <v>150</v>
      </c>
      <c r="K24" s="147" t="s">
        <v>194</v>
      </c>
      <c r="L24" s="147">
        <f>J24*3</f>
        <v>450</v>
      </c>
    </row>
    <row r="25" spans="2:12" x14ac:dyDescent="0.25">
      <c r="B25" s="7" t="s">
        <v>171</v>
      </c>
      <c r="C25" s="183">
        <v>620</v>
      </c>
      <c r="E25" s="159" t="s">
        <v>171</v>
      </c>
      <c r="F25" s="183">
        <v>620</v>
      </c>
      <c r="I25" s="188" t="s">
        <v>196</v>
      </c>
      <c r="J25" s="147">
        <v>100</v>
      </c>
      <c r="K25" s="147" t="s">
        <v>194</v>
      </c>
      <c r="L25" s="147">
        <f>J25*3</f>
        <v>300</v>
      </c>
    </row>
    <row r="26" spans="2:12" x14ac:dyDescent="0.25">
      <c r="B26" s="203"/>
      <c r="C26" s="240"/>
      <c r="E26" s="203"/>
      <c r="F26" s="240"/>
      <c r="I26" s="188" t="s">
        <v>198</v>
      </c>
      <c r="J26" s="147">
        <v>2500</v>
      </c>
      <c r="K26" s="86"/>
      <c r="L26" s="86"/>
    </row>
    <row r="27" spans="2:12" x14ac:dyDescent="0.25">
      <c r="B27" s="7" t="s">
        <v>167</v>
      </c>
      <c r="C27" s="183">
        <v>0.12</v>
      </c>
      <c r="E27" s="159" t="s">
        <v>167</v>
      </c>
      <c r="F27" s="183">
        <v>0.12</v>
      </c>
    </row>
    <row r="28" spans="2:12" x14ac:dyDescent="0.25">
      <c r="B28" s="7" t="s">
        <v>168</v>
      </c>
      <c r="C28" s="183">
        <v>19.8</v>
      </c>
      <c r="E28" s="159" t="s">
        <v>168</v>
      </c>
      <c r="F28" s="183">
        <v>19.8</v>
      </c>
    </row>
    <row r="29" spans="2:12" x14ac:dyDescent="0.25">
      <c r="K29" s="5" t="s">
        <v>207</v>
      </c>
    </row>
    <row r="30" spans="2:12" x14ac:dyDescent="0.25">
      <c r="B30" s="7" t="s">
        <v>202</v>
      </c>
      <c r="C30" s="2">
        <f>C17*0.08</f>
        <v>2400</v>
      </c>
      <c r="E30" s="159" t="s">
        <v>141</v>
      </c>
      <c r="F30" s="2">
        <f>30000*0.08</f>
        <v>2400</v>
      </c>
      <c r="I30" s="187" t="s">
        <v>209</v>
      </c>
      <c r="J30" s="182">
        <f>C36-C4</f>
        <v>367.15453441783757</v>
      </c>
      <c r="K30" s="147" t="s">
        <v>205</v>
      </c>
    </row>
    <row r="31" spans="2:12" x14ac:dyDescent="0.25">
      <c r="I31" s="5" t="s">
        <v>208</v>
      </c>
      <c r="J31" s="182">
        <f>F36-C4</f>
        <v>33487.154534417838</v>
      </c>
      <c r="K31" s="147" t="s">
        <v>205</v>
      </c>
    </row>
    <row r="32" spans="2:12" ht="18.75" x14ac:dyDescent="0.25">
      <c r="B32" s="7" t="s">
        <v>203</v>
      </c>
      <c r="C32" s="2">
        <f>C16*0.08</f>
        <v>960</v>
      </c>
      <c r="E32" s="159" t="s">
        <v>203</v>
      </c>
      <c r="F32" s="2">
        <f>F16*0.08</f>
        <v>960</v>
      </c>
      <c r="I32" s="306" t="s">
        <v>206</v>
      </c>
      <c r="J32" s="306"/>
      <c r="K32" s="306"/>
    </row>
    <row r="35" spans="2:6" x14ac:dyDescent="0.25">
      <c r="B35" s="7" t="s">
        <v>210</v>
      </c>
      <c r="C35" s="183">
        <f>C16-C32</f>
        <v>11040</v>
      </c>
      <c r="E35" s="159" t="s">
        <v>211</v>
      </c>
      <c r="F35" s="2">
        <f>F36/2</f>
        <v>27600</v>
      </c>
    </row>
    <row r="36" spans="2:6" x14ac:dyDescent="0.25">
      <c r="B36" s="250" t="s">
        <v>201</v>
      </c>
      <c r="C36" s="249">
        <f>C16+F16-C32-F32</f>
        <v>22080</v>
      </c>
      <c r="E36" s="159" t="s">
        <v>200</v>
      </c>
      <c r="F36" s="183">
        <f>C17+F17-F30-C30</f>
        <v>55200</v>
      </c>
    </row>
  </sheetData>
  <mergeCells count="8">
    <mergeCell ref="J14:J15"/>
    <mergeCell ref="J18:J20"/>
    <mergeCell ref="I18:I20"/>
    <mergeCell ref="I32:K32"/>
    <mergeCell ref="B10:B12"/>
    <mergeCell ref="C10:C12"/>
    <mergeCell ref="E11:F12"/>
    <mergeCell ref="I14:I1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70" zoomScaleNormal="70" workbookViewId="0">
      <selection activeCell="M2" sqref="M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70" zoomScaleNormal="70" workbookViewId="0">
      <selection activeCell="L76" sqref="L76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D474D77448BA4AA75BA3F3B269BE11" ma:contentTypeVersion="8" ma:contentTypeDescription="Create a new document." ma:contentTypeScope="" ma:versionID="9d968950e6b92c789f7c21da02e97928">
  <xsd:schema xmlns:xsd="http://www.w3.org/2001/XMLSchema" xmlns:xs="http://www.w3.org/2001/XMLSchema" xmlns:p="http://schemas.microsoft.com/office/2006/metadata/properties" xmlns:ns3="1c03a1d9-70c4-477b-aef0-fd07cc731e16" targetNamespace="http://schemas.microsoft.com/office/2006/metadata/properties" ma:root="true" ma:fieldsID="3f7b0704cc1660c7b53e55e51176c293" ns3:_="">
    <xsd:import namespace="1c03a1d9-70c4-477b-aef0-fd07cc731e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3a1d9-70c4-477b-aef0-fd07cc731e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5A4C31-3BEF-49DA-90B9-4491CF5DD5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FE7A8D-ABDA-4B7F-B4F9-DA8F1BB864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3a1d9-70c4-477b-aef0-fd07cc731e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72D8ED-FF75-480C-B083-E3C9299B9FEC}">
  <ds:schemaRefs>
    <ds:schemaRef ds:uri="http://purl.org/dc/dcmitype/"/>
    <ds:schemaRef ds:uri="http://schemas.microsoft.com/office/2006/documentManagement/types"/>
    <ds:schemaRef ds:uri="http://www.w3.org/XML/1998/namespace"/>
    <ds:schemaRef ds:uri="1c03a1d9-70c4-477b-aef0-fd07cc731e16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Per Sector</vt:lpstr>
      <vt:lpstr>Per Second</vt:lpstr>
      <vt:lpstr>With Motor</vt:lpstr>
      <vt:lpstr>Motor Conversion</vt:lpstr>
      <vt:lpstr>Distance Graphs (m)</vt:lpstr>
      <vt:lpstr>Time Graphs (s)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davis watkins</dc:creator>
  <cp:lastModifiedBy>davis watkins</cp:lastModifiedBy>
  <dcterms:created xsi:type="dcterms:W3CDTF">2019-11-28T20:32:54Z</dcterms:created>
  <dcterms:modified xsi:type="dcterms:W3CDTF">2020-03-24T22:20:33Z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0x0101003DD474D77448BA4AA75BA3F3B269BE11</vt:lpwstr>
  </property>
</Properties>
</file>