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5.xml" ContentType="application/vnd.openxmlformats-officedocument.drawing+xml"/>
  <Override PartName="/xl/printerSettings/printerSettings1.bin" ContentType="application/vnd.openxmlformats-officedocument.spreadsheetml.printerSettings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rinterSettings/printerSettings2.bin" ContentType="application/vnd.openxmlformats-officedocument.spreadsheetml.printerSettings"/>
  <Override PartName="/xl/drawings/drawing7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garethcollett/Desktop/"/>
    </mc:Choice>
  </mc:AlternateContent>
  <xr:revisionPtr revIDLastSave="0" documentId="13_ncr:1_{261C6BE2-A960-F94F-96B7-DF9F7CFC22D4}" xr6:coauthVersionLast="47" xr6:coauthVersionMax="47" xr10:uidLastSave="{00000000-0000-0000-0000-000000000000}"/>
  <bookViews>
    <workbookView xWindow="1600" yWindow="2500" windowWidth="25280" windowHeight="12460" activeTab="5" xr2:uid="{00000000-000D-0000-FFFF-FFFF00000000}"/>
  </bookViews>
  <sheets>
    <sheet name="static warhead" sheetId="1" r:id="rId1"/>
    <sheet name="dynamic warhead" sheetId="4" r:id="rId2"/>
    <sheet name="Fragment Effectiveness" sheetId="5" r:id="rId3"/>
    <sheet name="Final" sheetId="6" r:id="rId4"/>
    <sheet name="blast" sheetId="7" r:id="rId5"/>
    <sheet name="data" sheetId="2" r:id="rId6"/>
    <sheet name="print" sheetId="3" r:id="rId7"/>
  </sheets>
  <definedNames>
    <definedName name="calc">Final!$C$2</definedName>
    <definedName name="caseThickness">'static warhead'!$E$7</definedName>
    <definedName name="Cd">'Fragment Effectiveness'!$K$4</definedName>
    <definedName name="characteristic">'Fragment Effectiveness'!$C$4</definedName>
    <definedName name="chargeDiameter">print!$C$5</definedName>
    <definedName name="criticalED">'Fragment Effectiveness'!$E$11</definedName>
    <definedName name="criticalV">'Fragment Effectiveness'!$F$19</definedName>
    <definedName name="diamInput">'static warhead'!$E$6</definedName>
    <definedName name="dragCoefficient">data!$K$3:$K$5</definedName>
    <definedName name="dynamBeamAngle">'dynamic warhead'!$G$21</definedName>
    <definedName name="dynamFragFrontAngle">'dynamic warhead'!$G$19</definedName>
    <definedName name="dynamFragFrontVel">'dynamic warhead'!$F$19</definedName>
    <definedName name="dynamFragRearAngle">'dynamic warhead'!$G$20</definedName>
    <definedName name="dynamFragRearVel">'dynamic warhead'!$F$20</definedName>
    <definedName name="FED">print!$M$29</definedName>
    <definedName name="finalED">Final!$F$17</definedName>
    <definedName name="finV">print!$H$29</definedName>
    <definedName name="fragChar">print!$A$24</definedName>
    <definedName name="fragmentArea">print!$C$25</definedName>
    <definedName name="FragmentCorrespondingCharacteristic">'Fragment Effectiveness'!$F$17</definedName>
    <definedName name="FragmentInputCharacteristic">'Fragment Effectiveness'!$E$9</definedName>
    <definedName name="fragmentMass">print!$C$27</definedName>
    <definedName name="fragmentMaterialDensity">'static warhead'!$E$14</definedName>
    <definedName name="fragmentSize">print!$C$24</definedName>
    <definedName name="fragmentVolume">print!$C$26</definedName>
    <definedName name="fragVelocity">'static warhead'!$I$15</definedName>
    <definedName name="geometryIndex">data!$K$1</definedName>
    <definedName name="GurneyConstant">'static warhead'!$E$19</definedName>
    <definedName name="HEdensity">'static warhead'!$E$17</definedName>
    <definedName name="IED">print!$M$28</definedName>
    <definedName name="initialED">Final!$F$15</definedName>
    <definedName name="initiationPosition">data!$Q$3</definedName>
    <definedName name="initPosition">data!$Q$4:$Q$6</definedName>
    <definedName name="input1">Final!$E$8</definedName>
    <definedName name="input2">Final!$E$9</definedName>
    <definedName name="inputCharacteristicValue">'static warhead'!#REF!</definedName>
    <definedName name="inputUnit">'static warhead'!#REF!</definedName>
    <definedName name="IV">print!$H$28</definedName>
    <definedName name="massCase">'static warhead'!$I$13</definedName>
    <definedName name="massHE">'static warhead'!$I$12</definedName>
    <definedName name="medDensity">Final!$K$3</definedName>
    <definedName name="medium">data!$N$3:$N$8</definedName>
    <definedName name="_xlnm.Print_Area" localSheetId="6">print!$1:$1048576</definedName>
    <definedName name="result">Final!$F$20</definedName>
    <definedName name="SR">print!$H$30</definedName>
    <definedName name="StaticBeamAngle">'static warhead'!$I$18</definedName>
    <definedName name="TaylorFront">'static warhead'!$I$16</definedName>
    <definedName name="TaylorRear">'static warhead'!$I$17</definedName>
    <definedName name="thisisarea">Final!$I$15</definedName>
    <definedName name="thisisCd">Final!$I$18</definedName>
    <definedName name="thisismass">Final!$I$16</definedName>
    <definedName name="thisismeddensity">Final!#REF!</definedName>
    <definedName name="VoD">'static warhead'!$E$20</definedName>
    <definedName name="warheadDiameter">print!$C$7</definedName>
    <definedName name="WHdims">data!$S$3</definedName>
    <definedName name="WHlength">'static warhead'!$E$5</definedName>
    <definedName name="WHvelocity">'dynamic warhead'!$D$5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2" l="1"/>
  <c r="H24" i="2"/>
  <c r="J2" i="7"/>
  <c r="H21" i="2"/>
  <c r="H6" i="2"/>
  <c r="H7" i="3"/>
  <c r="H5" i="3"/>
  <c r="D9" i="7"/>
  <c r="D19" i="4"/>
  <c r="E19" i="4"/>
  <c r="E20" i="4"/>
  <c r="E21" i="4"/>
  <c r="K15" i="6"/>
  <c r="K16" i="6"/>
  <c r="C2" i="7"/>
  <c r="C3" i="7"/>
  <c r="H7" i="7"/>
  <c r="B13" i="7"/>
  <c r="C14" i="7"/>
  <c r="B18" i="7"/>
  <c r="B21" i="7" s="1"/>
  <c r="D34" i="2"/>
  <c r="F48" i="2" s="1"/>
  <c r="D36" i="2"/>
  <c r="E36" i="2"/>
  <c r="D37" i="2"/>
  <c r="E37" i="2"/>
  <c r="D38" i="2"/>
  <c r="E38" i="2"/>
  <c r="D39" i="2"/>
  <c r="E39" i="2"/>
  <c r="D40" i="2"/>
  <c r="E40" i="2"/>
  <c r="D41" i="2"/>
  <c r="E41" i="2"/>
  <c r="F41" i="2"/>
  <c r="D42" i="2"/>
  <c r="E42" i="2"/>
  <c r="D43" i="2"/>
  <c r="E43" i="2"/>
  <c r="F43" i="2" s="1"/>
  <c r="D44" i="2"/>
  <c r="E44" i="2"/>
  <c r="D45" i="2"/>
  <c r="E45" i="2"/>
  <c r="F45" i="2" s="1"/>
  <c r="D46" i="2"/>
  <c r="E46" i="2"/>
  <c r="D47" i="2"/>
  <c r="E47" i="2"/>
  <c r="D48" i="2"/>
  <c r="E48" i="2"/>
  <c r="D49" i="2"/>
  <c r="E49" i="2"/>
  <c r="D50" i="2"/>
  <c r="E50" i="2"/>
  <c r="D51" i="2"/>
  <c r="E51" i="2"/>
  <c r="F51" i="2" s="1"/>
  <c r="D52" i="2"/>
  <c r="E52" i="2"/>
  <c r="D53" i="2"/>
  <c r="E53" i="2"/>
  <c r="F53" i="2" s="1"/>
  <c r="D54" i="2"/>
  <c r="E54" i="2"/>
  <c r="D55" i="2"/>
  <c r="E55" i="2"/>
  <c r="F55" i="2" s="1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F63" i="2" s="1"/>
  <c r="D64" i="2"/>
  <c r="E64" i="2"/>
  <c r="D65" i="2"/>
  <c r="E65" i="2"/>
  <c r="C6" i="3"/>
  <c r="C8" i="3"/>
  <c r="H10" i="3"/>
  <c r="H11" i="3"/>
  <c r="C13" i="3"/>
  <c r="C16" i="3"/>
  <c r="H16" i="3"/>
  <c r="C17" i="3"/>
  <c r="H17" i="3"/>
  <c r="M17" i="3"/>
  <c r="C18" i="3"/>
  <c r="H18" i="3"/>
  <c r="M18" i="3"/>
  <c r="C19" i="3"/>
  <c r="M19" i="3"/>
  <c r="H24" i="3"/>
  <c r="C28" i="3"/>
  <c r="M28" i="3"/>
  <c r="M29" i="3"/>
  <c r="G32" i="3"/>
  <c r="I33" i="3"/>
  <c r="F50" i="2"/>
  <c r="F39" i="2"/>
  <c r="F56" i="2"/>
  <c r="F61" i="2"/>
  <c r="F54" i="2"/>
  <c r="F57" i="2"/>
  <c r="F37" i="2"/>
  <c r="F60" i="2"/>
  <c r="F65" i="2"/>
  <c r="F47" i="2"/>
  <c r="F36" i="2"/>
  <c r="F52" i="2"/>
  <c r="F59" i="2"/>
  <c r="F44" i="2"/>
  <c r="F38" i="2"/>
  <c r="F40" i="2"/>
  <c r="F58" i="2"/>
  <c r="F62" i="2"/>
  <c r="F49" i="2"/>
  <c r="D10" i="7"/>
  <c r="E1" i="2"/>
  <c r="E17" i="1"/>
  <c r="E19" i="1"/>
  <c r="K4" i="5"/>
  <c r="K3" i="6"/>
  <c r="N1" i="2"/>
  <c r="E14" i="1"/>
  <c r="K1" i="2"/>
  <c r="E20" i="1"/>
  <c r="B1" i="2"/>
  <c r="H5" i="7" l="1"/>
  <c r="H6" i="7" s="1"/>
  <c r="M12" i="3"/>
  <c r="J8" i="7"/>
  <c r="D32" i="3" s="1"/>
  <c r="H12" i="3"/>
  <c r="F64" i="2"/>
  <c r="F46" i="2"/>
  <c r="F42" i="2"/>
  <c r="H25" i="3"/>
  <c r="H23" i="3"/>
  <c r="C23" i="3"/>
  <c r="H6" i="3"/>
  <c r="H8" i="3"/>
  <c r="M8" i="3"/>
  <c r="M7" i="3"/>
  <c r="D11" i="7" l="1"/>
  <c r="D33" i="3" s="1"/>
  <c r="G13" i="7" l="1"/>
  <c r="L33" i="3" s="1"/>
  <c r="G14" i="7"/>
  <c r="L32" i="3" s="1"/>
</calcChain>
</file>

<file path=xl/sharedStrings.xml><?xml version="1.0" encoding="utf-8"?>
<sst xmlns="http://schemas.openxmlformats.org/spreadsheetml/2006/main" count="271" uniqueCount="194">
  <si>
    <t>Static Warhead</t>
  </si>
  <si>
    <t xml:space="preserve">length = </t>
  </si>
  <si>
    <t xml:space="preserve"> metre</t>
  </si>
  <si>
    <t xml:space="preserve">diameter = </t>
  </si>
  <si>
    <t xml:space="preserve">case thickness = </t>
  </si>
  <si>
    <t>Point of Initiation</t>
  </si>
  <si>
    <t xml:space="preserve">mass of explosive = </t>
  </si>
  <si>
    <t xml:space="preserve"> kg</t>
  </si>
  <si>
    <t>Case</t>
  </si>
  <si>
    <t xml:space="preserve">mass of case = </t>
  </si>
  <si>
    <t xml:space="preserve">density = </t>
  </si>
  <si>
    <t xml:space="preserve"> kg/m^3</t>
  </si>
  <si>
    <t xml:space="preserve">fragment velocity = </t>
  </si>
  <si>
    <t xml:space="preserve"> m/s</t>
  </si>
  <si>
    <t>Explosive</t>
  </si>
  <si>
    <t xml:space="preserve">Taylor angle (front) = </t>
  </si>
  <si>
    <t xml:space="preserve"> °</t>
  </si>
  <si>
    <t xml:space="preserve">Taylor angle (rear) = </t>
  </si>
  <si>
    <t xml:space="preserve">beam angle = </t>
  </si>
  <si>
    <t xml:space="preserve">Gurney constant = </t>
  </si>
  <si>
    <t xml:space="preserve">Velocity of Detonation = </t>
  </si>
  <si>
    <t>Dynamic Warhead</t>
  </si>
  <si>
    <t xml:space="preserve">Forward velocity of warhead = </t>
  </si>
  <si>
    <t>Static</t>
  </si>
  <si>
    <t>Dynamic</t>
  </si>
  <si>
    <t>Velocity</t>
  </si>
  <si>
    <t>Angle</t>
  </si>
  <si>
    <t>m/s</t>
  </si>
  <si>
    <t>°</t>
  </si>
  <si>
    <t xml:space="preserve">front fragment  </t>
  </si>
  <si>
    <t xml:space="preserve">rear fragment  </t>
  </si>
  <si>
    <t xml:space="preserve">beam angle  </t>
  </si>
  <si>
    <t>Effectiveness of Fragments</t>
  </si>
  <si>
    <t>Fragment Characteristic</t>
  </si>
  <si>
    <t>Fragment geometry</t>
  </si>
  <si>
    <t xml:space="preserve">Cd = </t>
  </si>
  <si>
    <t>metre</t>
  </si>
  <si>
    <t xml:space="preserve">Critical energy density for target = </t>
  </si>
  <si>
    <t xml:space="preserve"> J/mm^2</t>
  </si>
  <si>
    <t xml:space="preserve">mass = </t>
  </si>
  <si>
    <t>kg</t>
  </si>
  <si>
    <t xml:space="preserve">critical velocity = </t>
  </si>
  <si>
    <t>Version 1.0</t>
  </si>
  <si>
    <t>Propagating Medium</t>
  </si>
  <si>
    <t>kg/m^3</t>
  </si>
  <si>
    <t xml:space="preserve">initial velocity = </t>
  </si>
  <si>
    <t xml:space="preserve">slant range = </t>
  </si>
  <si>
    <t xml:space="preserve">initial energy density = </t>
  </si>
  <si>
    <t>dynamic velocity =</t>
  </si>
  <si>
    <t>critical velocity =</t>
  </si>
  <si>
    <t xml:space="preserve">impact energy density = </t>
  </si>
  <si>
    <t xml:space="preserve">final velocity = </t>
  </si>
  <si>
    <t>mass of case =</t>
  </si>
  <si>
    <t>Required overpressure =</t>
  </si>
  <si>
    <t>kPa</t>
  </si>
  <si>
    <t>mass of explosive =</t>
  </si>
  <si>
    <t>At distance</t>
  </si>
  <si>
    <t>m</t>
  </si>
  <si>
    <t>In the Equation</t>
  </si>
  <si>
    <t>Mr =</t>
  </si>
  <si>
    <t>Mc =</t>
  </si>
  <si>
    <t>c =</t>
  </si>
  <si>
    <t>Equivalent bare charge =</t>
  </si>
  <si>
    <t>TNT Equivalence =</t>
  </si>
  <si>
    <t>Equivalent mass ot TNT =</t>
  </si>
  <si>
    <t>At</t>
  </si>
  <si>
    <t>m this produces an overpressure of</t>
  </si>
  <si>
    <t>An overpressure of</t>
  </si>
  <si>
    <t xml:space="preserve">results at </t>
  </si>
  <si>
    <t>For the required overpressure</t>
  </si>
  <si>
    <t>Z =</t>
  </si>
  <si>
    <t>mkg^-1/3</t>
  </si>
  <si>
    <t>For the required distance, the required amount of TNT</t>
  </si>
  <si>
    <t>m =</t>
  </si>
  <si>
    <t>kg TNT</t>
  </si>
  <si>
    <t>All units SI</t>
  </si>
  <si>
    <t>Medium</t>
  </si>
  <si>
    <t>air - sea level</t>
  </si>
  <si>
    <t>air - 1000 m</t>
  </si>
  <si>
    <t>air - 5000 m</t>
  </si>
  <si>
    <t>air - 10,000 m</t>
  </si>
  <si>
    <t>air - 20,000 m</t>
  </si>
  <si>
    <t>Cd</t>
  </si>
  <si>
    <t>air - 30,000 m</t>
  </si>
  <si>
    <t>sphere</t>
  </si>
  <si>
    <t>water</t>
  </si>
  <si>
    <t>cube face on</t>
  </si>
  <si>
    <t>cube edge on</t>
  </si>
  <si>
    <t>Warhead</t>
  </si>
  <si>
    <t>VoD</t>
  </si>
  <si>
    <t>TNT Equiv</t>
  </si>
  <si>
    <t>external dimensions</t>
  </si>
  <si>
    <t>TNT</t>
  </si>
  <si>
    <t>charge dimensions</t>
  </si>
  <si>
    <t>RDX/TNT 60/40</t>
  </si>
  <si>
    <t>HMX/TNT 75/25</t>
  </si>
  <si>
    <t>RDX/Wax 95/5</t>
  </si>
  <si>
    <t>centre face rear</t>
  </si>
  <si>
    <t>HMX/Wax 95/5</t>
  </si>
  <si>
    <t>centre warhead</t>
  </si>
  <si>
    <t>Rowanex 3001</t>
  </si>
  <si>
    <t>centre face front</t>
  </si>
  <si>
    <t>Comp A-3</t>
  </si>
  <si>
    <t>Comp B</t>
  </si>
  <si>
    <t>Tritonal</t>
  </si>
  <si>
    <t>PBXN-109</t>
  </si>
  <si>
    <t>Torpex 9</t>
  </si>
  <si>
    <t>TNT Blast</t>
  </si>
  <si>
    <t>50 lb TNT</t>
  </si>
  <si>
    <t>Scaled distance</t>
  </si>
  <si>
    <t>psi</t>
  </si>
  <si>
    <t>feet</t>
  </si>
  <si>
    <t>Calculation of Warhead Parameters</t>
  </si>
  <si>
    <t>Cylindrical Warhead</t>
  </si>
  <si>
    <t>Geometrical and Physical Parameters</t>
  </si>
  <si>
    <t>charge diameter</t>
  </si>
  <si>
    <t xml:space="preserve"> m</t>
  </si>
  <si>
    <t>Case material</t>
  </si>
  <si>
    <t>case thickness</t>
  </si>
  <si>
    <t>Case Density</t>
  </si>
  <si>
    <t>warhead diameter</t>
  </si>
  <si>
    <t>warhead length</t>
  </si>
  <si>
    <t>Explosive Density</t>
  </si>
  <si>
    <t>Gurney constant</t>
  </si>
  <si>
    <t>mass of explosive</t>
  </si>
  <si>
    <t>mass of case</t>
  </si>
  <si>
    <t>mass HE/mass case</t>
  </si>
  <si>
    <t>total mass</t>
  </si>
  <si>
    <t>point of initiation</t>
  </si>
  <si>
    <t>fragment velocity</t>
  </si>
  <si>
    <t>Warhead velocity</t>
  </si>
  <si>
    <t>Taylor angle (front)</t>
  </si>
  <si>
    <t>Frag velocity (front)</t>
  </si>
  <si>
    <t>Ejection angle (front)</t>
  </si>
  <si>
    <t>Taylor angle (rear)</t>
  </si>
  <si>
    <t>Frag velocity (rear)</t>
  </si>
  <si>
    <t>Ejection angle (rear)</t>
  </si>
  <si>
    <t>Static beam angle</t>
  </si>
  <si>
    <t>Dynamic beam angle</t>
  </si>
  <si>
    <t>Fragment Effectiveness</t>
  </si>
  <si>
    <t>Shape of fragment</t>
  </si>
  <si>
    <t>Drag coefficient</t>
  </si>
  <si>
    <t>Area of fragment</t>
  </si>
  <si>
    <t>m^2</t>
  </si>
  <si>
    <t>Medium Density</t>
  </si>
  <si>
    <t>kg m^-3</t>
  </si>
  <si>
    <t>Volume of fragment</t>
  </si>
  <si>
    <t>m^3</t>
  </si>
  <si>
    <t>Mass of fragment</t>
  </si>
  <si>
    <t>Critical energy density</t>
  </si>
  <si>
    <t>J/mm^2</t>
  </si>
  <si>
    <t>Initial velocity</t>
  </si>
  <si>
    <t>Initial energy density</t>
  </si>
  <si>
    <t>Final velocity</t>
  </si>
  <si>
    <t>Final energy density</t>
  </si>
  <si>
    <t>Slant range</t>
  </si>
  <si>
    <t>Equivalent Bare Charge</t>
  </si>
  <si>
    <t>kPa overpressure produced at</t>
  </si>
  <si>
    <t>Equivalent weight of TNT</t>
  </si>
  <si>
    <t>Overpressure at</t>
  </si>
  <si>
    <t>m is</t>
  </si>
  <si>
    <t>Fragment Material</t>
  </si>
  <si>
    <t>Fragment Shape</t>
  </si>
  <si>
    <t>density (kg/m^3)</t>
  </si>
  <si>
    <t>Density (Kg/m^3)</t>
  </si>
  <si>
    <t>VoD (m/s)</t>
  </si>
  <si>
    <t>Gurney (m/s)</t>
  </si>
  <si>
    <t>Aluminium</t>
  </si>
  <si>
    <t>Tungsten</t>
  </si>
  <si>
    <t>Point of initiation</t>
  </si>
  <si>
    <t>N Davies</t>
  </si>
  <si>
    <t>G Collett</t>
  </si>
  <si>
    <t>J Slattery</t>
  </si>
  <si>
    <t>© 2022</t>
  </si>
  <si>
    <t>Version 2.0</t>
  </si>
  <si>
    <t>AMATOL 50/50</t>
  </si>
  <si>
    <t>AMATOL 80/20</t>
  </si>
  <si>
    <t>ANFO</t>
  </si>
  <si>
    <t>HMX</t>
  </si>
  <si>
    <t>LX-14</t>
  </si>
  <si>
    <t>PBX9404</t>
  </si>
  <si>
    <t>PBX9502</t>
  </si>
  <si>
    <t>PBXW-11</t>
  </si>
  <si>
    <t>Pentolite</t>
  </si>
  <si>
    <t>Mild Steel (low carbon)</t>
  </si>
  <si>
    <t>Tungsten Alloy</t>
  </si>
  <si>
    <t>DU</t>
  </si>
  <si>
    <t>High Carbon Steel</t>
  </si>
  <si>
    <t>Spheroidal Cast Iron</t>
  </si>
  <si>
    <t>Duralumin</t>
  </si>
  <si>
    <t>PSI</t>
  </si>
  <si>
    <t>XF-12366 (HMX)</t>
  </si>
  <si>
    <t>XF-11585 (NTO/RDX)</t>
  </si>
  <si>
    <t>XF-13333 (NTO)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</si>
</sst>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12" x14ac:knownFonts="1">
    <font>
      <sz val="10"/>
      <name val="Arial"/>
    </font>
    <font>
      <b/>
      <sz val="10"/>
      <name val="Times New Roman"/>
      <family val="1"/>
    </font>
    <font>
      <b/>
      <sz val="10"/>
      <name val="Arial"/>
      <family val="2"/>
    </font>
    <font>
      <sz val="10"/>
      <color indexed="4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4" borderId="0" xfId="0" applyFill="1"/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" fontId="0" fillId="0" borderId="0" xfId="0" applyNumberFormat="1"/>
    <xf numFmtId="164" fontId="0" fillId="3" borderId="1" xfId="0" applyNumberFormat="1" applyFill="1" applyBorder="1" applyAlignment="1">
      <alignment horizontal="center"/>
    </xf>
    <xf numFmtId="0" fontId="4" fillId="4" borderId="0" xfId="0" applyFont="1" applyFill="1"/>
    <xf numFmtId="0" fontId="2" fillId="4" borderId="0" xfId="0" applyFont="1" applyFill="1"/>
    <xf numFmtId="0" fontId="0" fillId="4" borderId="0" xfId="0" applyFill="1" applyAlignment="1">
      <alignment horizontal="right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4" fillId="5" borderId="0" xfId="0" applyFont="1" applyFill="1"/>
    <xf numFmtId="0" fontId="0" fillId="5" borderId="0" xfId="0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4" fillId="6" borderId="0" xfId="0" applyFont="1" applyFill="1"/>
    <xf numFmtId="0" fontId="0" fillId="6" borderId="0" xfId="0" applyFill="1"/>
    <xf numFmtId="0" fontId="0" fillId="6" borderId="0" xfId="0" applyFill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left"/>
    </xf>
    <xf numFmtId="0" fontId="3" fillId="6" borderId="0" xfId="0" applyFont="1" applyFill="1"/>
    <xf numFmtId="0" fontId="0" fillId="6" borderId="0" xfId="0" applyFill="1" applyAlignment="1">
      <alignment horizontal="right"/>
    </xf>
    <xf numFmtId="0" fontId="0" fillId="7" borderId="0" xfId="0" applyFill="1"/>
    <xf numFmtId="1" fontId="3" fillId="7" borderId="0" xfId="0" applyNumberFormat="1" applyFont="1" applyFill="1"/>
    <xf numFmtId="0" fontId="0" fillId="7" borderId="0" xfId="0" applyFill="1" applyAlignment="1">
      <alignment horizontal="right"/>
    </xf>
    <xf numFmtId="0" fontId="2" fillId="7" borderId="0" xfId="0" applyFont="1" applyFill="1"/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/>
    </xf>
    <xf numFmtId="1" fontId="0" fillId="7" borderId="0" xfId="0" applyNumberFormat="1" applyFill="1" applyAlignment="1">
      <alignment horizontal="center"/>
    </xf>
    <xf numFmtId="0" fontId="0" fillId="4" borderId="3" xfId="0" applyFill="1" applyBorder="1"/>
    <xf numFmtId="0" fontId="0" fillId="8" borderId="4" xfId="0" applyFill="1" applyBorder="1"/>
    <xf numFmtId="0" fontId="4" fillId="8" borderId="0" xfId="0" applyFont="1" applyFill="1"/>
    <xf numFmtId="0" fontId="0" fillId="8" borderId="0" xfId="0" applyFill="1"/>
    <xf numFmtId="0" fontId="4" fillId="8" borderId="5" xfId="0" applyFont="1" applyFill="1" applyBorder="1"/>
    <xf numFmtId="0" fontId="0" fillId="8" borderId="6" xfId="0" applyFill="1" applyBorder="1"/>
    <xf numFmtId="0" fontId="0" fillId="8" borderId="2" xfId="0" applyFill="1" applyBorder="1"/>
    <xf numFmtId="0" fontId="0" fillId="8" borderId="7" xfId="0" applyFill="1" applyBorder="1"/>
    <xf numFmtId="0" fontId="0" fillId="8" borderId="8" xfId="0" applyFill="1" applyBorder="1"/>
    <xf numFmtId="0" fontId="2" fillId="8" borderId="7" xfId="0" applyFont="1" applyFill="1" applyBorder="1"/>
    <xf numFmtId="0" fontId="0" fillId="8" borderId="0" xfId="0" applyFill="1" applyAlignment="1">
      <alignment horizontal="center"/>
    </xf>
    <xf numFmtId="0" fontId="2" fillId="8" borderId="0" xfId="0" applyFont="1" applyFill="1"/>
    <xf numFmtId="0" fontId="2" fillId="8" borderId="9" xfId="0" applyFont="1" applyFill="1" applyBorder="1"/>
    <xf numFmtId="0" fontId="0" fillId="8" borderId="10" xfId="0" applyFill="1" applyBorder="1"/>
    <xf numFmtId="0" fontId="0" fillId="8" borderId="9" xfId="0" applyFill="1" applyBorder="1"/>
    <xf numFmtId="0" fontId="4" fillId="8" borderId="7" xfId="0" applyFont="1" applyFill="1" applyBorder="1"/>
    <xf numFmtId="0" fontId="2" fillId="8" borderId="10" xfId="0" applyFont="1" applyFill="1" applyBorder="1"/>
    <xf numFmtId="0" fontId="5" fillId="8" borderId="0" xfId="0" applyFont="1" applyFill="1" applyAlignment="1">
      <alignment horizontal="center"/>
    </xf>
    <xf numFmtId="164" fontId="5" fillId="8" borderId="0" xfId="0" applyNumberFormat="1" applyFont="1" applyFill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1" fontId="0" fillId="8" borderId="0" xfId="0" applyNumberFormat="1" applyFill="1"/>
    <xf numFmtId="0" fontId="4" fillId="8" borderId="6" xfId="0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3" fillId="0" borderId="0" xfId="0" applyNumberFormat="1" applyFont="1"/>
    <xf numFmtId="1" fontId="0" fillId="0" borderId="0" xfId="0" applyNumberFormat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9" borderId="0" xfId="0" applyFill="1"/>
    <xf numFmtId="0" fontId="6" fillId="0" borderId="0" xfId="0" applyFont="1"/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3" borderId="1" xfId="0" applyNumberFormat="1" applyFill="1" applyBorder="1" applyAlignment="1">
      <alignment horizontal="center"/>
    </xf>
    <xf numFmtId="166" fontId="0" fillId="0" borderId="0" xfId="0" applyNumberFormat="1"/>
    <xf numFmtId="164" fontId="0" fillId="9" borderId="0" xfId="0" applyNumberFormat="1" applyFill="1" applyAlignment="1">
      <alignment horizontal="center"/>
    </xf>
    <xf numFmtId="0" fontId="0" fillId="3" borderId="0" xfId="0" applyFill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center"/>
    </xf>
    <xf numFmtId="0" fontId="0" fillId="8" borderId="0" xfId="0" applyFill="1" applyAlignment="1">
      <alignment horizontal="right"/>
    </xf>
    <xf numFmtId="0" fontId="2" fillId="8" borderId="5" xfId="0" applyFont="1" applyFill="1" applyBorder="1"/>
    <xf numFmtId="164" fontId="0" fillId="8" borderId="6" xfId="0" applyNumberFormat="1" applyFill="1" applyBorder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166" fontId="0" fillId="8" borderId="6" xfId="0" applyNumberFormat="1" applyFill="1" applyBorder="1" applyAlignment="1">
      <alignment horizontal="center"/>
    </xf>
    <xf numFmtId="166" fontId="0" fillId="8" borderId="10" xfId="0" applyNumberForma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164" fontId="7" fillId="8" borderId="0" xfId="0" applyNumberFormat="1" applyFont="1" applyFill="1" applyAlignment="1">
      <alignment horizontal="center"/>
    </xf>
    <xf numFmtId="166" fontId="7" fillId="8" borderId="0" xfId="0" applyNumberFormat="1" applyFont="1" applyFill="1" applyAlignment="1">
      <alignment horizontal="center"/>
    </xf>
    <xf numFmtId="166" fontId="7" fillId="8" borderId="10" xfId="0" applyNumberFormat="1" applyFont="1" applyFill="1" applyBorder="1" applyAlignment="1">
      <alignment horizontal="center"/>
    </xf>
    <xf numFmtId="2" fontId="7" fillId="8" borderId="10" xfId="0" applyNumberFormat="1" applyFont="1" applyFill="1" applyBorder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5" fillId="8" borderId="0" xfId="0" applyFont="1" applyFill="1"/>
    <xf numFmtId="11" fontId="5" fillId="8" borderId="0" xfId="0" applyNumberFormat="1" applyFont="1" applyFill="1"/>
    <xf numFmtId="166" fontId="0" fillId="3" borderId="15" xfId="0" applyNumberFormat="1" applyFill="1" applyBorder="1" applyAlignment="1">
      <alignment horizontal="center"/>
    </xf>
    <xf numFmtId="1" fontId="0" fillId="3" borderId="16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2" fillId="8" borderId="6" xfId="0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10" borderId="19" xfId="0" applyFont="1" applyFill="1" applyBorder="1"/>
    <xf numFmtId="0" fontId="9" fillId="11" borderId="20" xfId="0" applyFont="1" applyFill="1" applyBorder="1"/>
    <xf numFmtId="0" fontId="8" fillId="10" borderId="20" xfId="0" applyFont="1" applyFill="1" applyBorder="1"/>
    <xf numFmtId="0" fontId="8" fillId="0" borderId="20" xfId="0" applyFont="1" applyBorder="1"/>
    <xf numFmtId="0" fontId="7" fillId="4" borderId="0" xfId="0" applyFont="1" applyFill="1"/>
    <xf numFmtId="0" fontId="7" fillId="0" borderId="0" xfId="0" applyFont="1" applyAlignment="1">
      <alignment horizontal="left"/>
    </xf>
    <xf numFmtId="2" fontId="0" fillId="13" borderId="1" xfId="0" applyNumberFormat="1" applyFill="1" applyBorder="1" applyAlignment="1">
      <alignment horizontal="center"/>
    </xf>
    <xf numFmtId="2" fontId="0" fillId="3" borderId="0" xfId="0" applyNumberFormat="1" applyFill="1"/>
    <xf numFmtId="0" fontId="0" fillId="14" borderId="0" xfId="0" applyFill="1"/>
    <xf numFmtId="0" fontId="7" fillId="14" borderId="0" xfId="0" applyFont="1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4" borderId="0" xfId="0" applyFill="1" applyAlignment="1">
      <alignment horizontal="right"/>
    </xf>
    <xf numFmtId="0" fontId="0" fillId="4" borderId="8" xfId="0" applyFill="1" applyBorder="1" applyAlignment="1">
      <alignment horizontal="right"/>
    </xf>
    <xf numFmtId="0" fontId="0" fillId="12" borderId="17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1" fontId="0" fillId="3" borderId="11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0" fontId="0" fillId="5" borderId="8" xfId="0" applyFill="1" applyBorder="1" applyAlignment="1">
      <alignment horizontal="right"/>
    </xf>
    <xf numFmtId="0" fontId="0" fillId="6" borderId="0" xfId="0" applyFill="1" applyAlignment="1">
      <alignment horizontal="right"/>
    </xf>
    <xf numFmtId="0" fontId="0" fillId="6" borderId="8" xfId="0" applyFill="1" applyBorder="1" applyAlignment="1">
      <alignment horizontal="right"/>
    </xf>
    <xf numFmtId="0" fontId="0" fillId="7" borderId="0" xfId="0" applyFill="1" applyAlignment="1">
      <alignment horizontal="right"/>
    </xf>
    <xf numFmtId="0" fontId="0" fillId="7" borderId="8" xfId="0" applyFill="1" applyBorder="1" applyAlignment="1">
      <alignment horizontal="right"/>
    </xf>
    <xf numFmtId="0" fontId="0" fillId="7" borderId="0" xfId="0" applyFill="1" applyAlignment="1">
      <alignment horizontal="center"/>
    </xf>
    <xf numFmtId="0" fontId="2" fillId="8" borderId="10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6764003284578"/>
          <c:y val="5.9563088702499115E-2"/>
          <c:w val="0.63549712789822543"/>
          <c:h val="0.78058995194327796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dispRSqr val="0"/>
            <c:dispEq val="1"/>
            <c:trendlineLbl>
              <c:layout>
                <c:manualLayout>
                  <c:x val="-3.2056218779104237E-2"/>
                  <c:y val="-0.4393945360430086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data!$D$36:$D$65</c:f>
              <c:numCache>
                <c:formatCode>0.0</c:formatCode>
                <c:ptCount val="30"/>
                <c:pt idx="0">
                  <c:v>5515.84</c:v>
                </c:pt>
                <c:pt idx="1">
                  <c:v>4136.88</c:v>
                </c:pt>
                <c:pt idx="2">
                  <c:v>3447.4</c:v>
                </c:pt>
                <c:pt idx="3">
                  <c:v>2757.92</c:v>
                </c:pt>
                <c:pt idx="4">
                  <c:v>2068.44</c:v>
                </c:pt>
                <c:pt idx="5">
                  <c:v>1723.7</c:v>
                </c:pt>
                <c:pt idx="6">
                  <c:v>1378.96</c:v>
                </c:pt>
                <c:pt idx="7">
                  <c:v>1034.22</c:v>
                </c:pt>
                <c:pt idx="8">
                  <c:v>689.48</c:v>
                </c:pt>
                <c:pt idx="9">
                  <c:v>551.58400000000006</c:v>
                </c:pt>
                <c:pt idx="10">
                  <c:v>413.68799999999999</c:v>
                </c:pt>
                <c:pt idx="11">
                  <c:v>344.74</c:v>
                </c:pt>
                <c:pt idx="12">
                  <c:v>275.79200000000003</c:v>
                </c:pt>
                <c:pt idx="13">
                  <c:v>206.84399999999999</c:v>
                </c:pt>
                <c:pt idx="14">
                  <c:v>172.37</c:v>
                </c:pt>
                <c:pt idx="15">
                  <c:v>137.89600000000002</c:v>
                </c:pt>
                <c:pt idx="16">
                  <c:v>103.422</c:v>
                </c:pt>
                <c:pt idx="17">
                  <c:v>68.948000000000008</c:v>
                </c:pt>
                <c:pt idx="18">
                  <c:v>55.1584</c:v>
                </c:pt>
                <c:pt idx="19">
                  <c:v>41.3688</c:v>
                </c:pt>
                <c:pt idx="20">
                  <c:v>34.474000000000004</c:v>
                </c:pt>
                <c:pt idx="21">
                  <c:v>27.5792</c:v>
                </c:pt>
                <c:pt idx="22">
                  <c:v>20.6844</c:v>
                </c:pt>
                <c:pt idx="23">
                  <c:v>17.237000000000002</c:v>
                </c:pt>
                <c:pt idx="24">
                  <c:v>13.7896</c:v>
                </c:pt>
                <c:pt idx="25">
                  <c:v>10.3422</c:v>
                </c:pt>
                <c:pt idx="26">
                  <c:v>6.8948</c:v>
                </c:pt>
                <c:pt idx="27">
                  <c:v>5.5158400000000007</c:v>
                </c:pt>
                <c:pt idx="28">
                  <c:v>4.1368799999999997</c:v>
                </c:pt>
                <c:pt idx="29">
                  <c:v>3.4474</c:v>
                </c:pt>
              </c:numCache>
            </c:numRef>
          </c:xVal>
          <c:yVal>
            <c:numRef>
              <c:f>data!$F$36:$F$65</c:f>
              <c:numCache>
                <c:formatCode>0.0000</c:formatCode>
                <c:ptCount val="30"/>
                <c:pt idx="0">
                  <c:v>0.40387067172831864</c:v>
                </c:pt>
                <c:pt idx="1">
                  <c:v>0.47409031918614897</c:v>
                </c:pt>
                <c:pt idx="2">
                  <c:v>0.52212400441037032</c:v>
                </c:pt>
                <c:pt idx="3">
                  <c:v>0.58566632342895908</c:v>
                </c:pt>
                <c:pt idx="4">
                  <c:v>0.67731804119983885</c:v>
                </c:pt>
                <c:pt idx="5">
                  <c:v>0.74118345675581032</c:v>
                </c:pt>
                <c:pt idx="6">
                  <c:v>0.8269117380080081</c:v>
                </c:pt>
                <c:pt idx="7">
                  <c:v>0.94947302452182869</c:v>
                </c:pt>
                <c:pt idx="8">
                  <c:v>1.1459157192504827</c:v>
                </c:pt>
                <c:pt idx="9">
                  <c:v>1.265461438082065</c:v>
                </c:pt>
                <c:pt idx="10">
                  <c:v>1.4302406721472189</c:v>
                </c:pt>
                <c:pt idx="11">
                  <c:v>1.5411704833152637</c:v>
                </c:pt>
                <c:pt idx="12">
                  <c:v>1.7091806827542444</c:v>
                </c:pt>
                <c:pt idx="13">
                  <c:v>1.9590420049968311</c:v>
                </c:pt>
                <c:pt idx="14">
                  <c:v>2.1195132852302163</c:v>
                </c:pt>
                <c:pt idx="15">
                  <c:v>2.3349109768186529</c:v>
                </c:pt>
                <c:pt idx="16">
                  <c:v>2.6580075142013078</c:v>
                </c:pt>
                <c:pt idx="17">
                  <c:v>3.2309653738265491</c:v>
                </c:pt>
                <c:pt idx="18">
                  <c:v>3.6272971263492724</c:v>
                </c:pt>
                <c:pt idx="19">
                  <c:v>4.2497964550398546</c:v>
                </c:pt>
                <c:pt idx="20">
                  <c:v>4.7290563188241252</c:v>
                </c:pt>
                <c:pt idx="21">
                  <c:v>5.4280218280286023</c:v>
                </c:pt>
                <c:pt idx="22">
                  <c:v>6.5588597088678942</c:v>
                </c:pt>
                <c:pt idx="23">
                  <c:v>7.4430672328384269</c:v>
                </c:pt>
                <c:pt idx="24">
                  <c:v>8.7451462784905267</c:v>
                </c:pt>
                <c:pt idx="25">
                  <c:v>10.866813540636628</c:v>
                </c:pt>
                <c:pt idx="26">
                  <c:v>14.959369680816923</c:v>
                </c:pt>
                <c:pt idx="27">
                  <c:v>17.899548170999079</c:v>
                </c:pt>
                <c:pt idx="28">
                  <c:v>22.605987732206422</c:v>
                </c:pt>
                <c:pt idx="29">
                  <c:v>26.203129181733313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EFD-4387-A5FF-E4110F39AE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936880"/>
        <c:axId val="1"/>
      </c:scatterChart>
      <c:valAx>
        <c:axId val="514936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overpressure (kPa)</a:t>
                </a:r>
              </a:p>
            </c:rich>
          </c:tx>
          <c:layout>
            <c:manualLayout>
              <c:xMode val="edge"/>
              <c:yMode val="edge"/>
              <c:x val="0.32258060632329216"/>
              <c:y val="0.9090919976243845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scaled distance (m/kg^1/3)</a:t>
                </a:r>
              </a:p>
            </c:rich>
          </c:tx>
          <c:layout>
            <c:manualLayout>
              <c:xMode val="edge"/>
              <c:yMode val="edge"/>
              <c:x val="2.5806407226619608E-2"/>
              <c:y val="0.2440195317738567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93688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7777800710690981"/>
          <c:y val="0.40000023947736463"/>
          <c:w val="0.98692841147150179"/>
          <c:h val="0.500000239477364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29161787281252"/>
          <c:y val="5.975035145529628E-2"/>
          <c:w val="0.61450107955655764"/>
          <c:h val="0.77989932425860409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dispRSqr val="0"/>
            <c:dispEq val="1"/>
            <c:trendlineLbl>
              <c:layout>
                <c:manualLayout>
                  <c:x val="-5.9325331623492012E-3"/>
                  <c:y val="-0.40544871794871801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data!$F$36:$F$65</c:f>
              <c:numCache>
                <c:formatCode>0.0000</c:formatCode>
                <c:ptCount val="30"/>
                <c:pt idx="0">
                  <c:v>0.40387067172831864</c:v>
                </c:pt>
                <c:pt idx="1">
                  <c:v>0.47409031918614897</c:v>
                </c:pt>
                <c:pt idx="2">
                  <c:v>0.52212400441037032</c:v>
                </c:pt>
                <c:pt idx="3">
                  <c:v>0.58566632342895908</c:v>
                </c:pt>
                <c:pt idx="4">
                  <c:v>0.67731804119983885</c:v>
                </c:pt>
                <c:pt idx="5">
                  <c:v>0.74118345675581032</c:v>
                </c:pt>
                <c:pt idx="6">
                  <c:v>0.8269117380080081</c:v>
                </c:pt>
                <c:pt idx="7">
                  <c:v>0.94947302452182869</c:v>
                </c:pt>
                <c:pt idx="8">
                  <c:v>1.1459157192504827</c:v>
                </c:pt>
                <c:pt idx="9">
                  <c:v>1.265461438082065</c:v>
                </c:pt>
                <c:pt idx="10">
                  <c:v>1.4302406721472189</c:v>
                </c:pt>
                <c:pt idx="11">
                  <c:v>1.5411704833152637</c:v>
                </c:pt>
                <c:pt idx="12">
                  <c:v>1.7091806827542444</c:v>
                </c:pt>
                <c:pt idx="13">
                  <c:v>1.9590420049968311</c:v>
                </c:pt>
                <c:pt idx="14">
                  <c:v>2.1195132852302163</c:v>
                </c:pt>
                <c:pt idx="15">
                  <c:v>2.3349109768186529</c:v>
                </c:pt>
                <c:pt idx="16">
                  <c:v>2.6580075142013078</c:v>
                </c:pt>
                <c:pt idx="17">
                  <c:v>3.2309653738265491</c:v>
                </c:pt>
                <c:pt idx="18">
                  <c:v>3.6272971263492724</c:v>
                </c:pt>
                <c:pt idx="19">
                  <c:v>4.2497964550398546</c:v>
                </c:pt>
                <c:pt idx="20">
                  <c:v>4.7290563188241252</c:v>
                </c:pt>
                <c:pt idx="21">
                  <c:v>5.4280218280286023</c:v>
                </c:pt>
                <c:pt idx="22">
                  <c:v>6.5588597088678942</c:v>
                </c:pt>
                <c:pt idx="23">
                  <c:v>7.4430672328384269</c:v>
                </c:pt>
                <c:pt idx="24">
                  <c:v>8.7451462784905267</c:v>
                </c:pt>
                <c:pt idx="25">
                  <c:v>10.866813540636628</c:v>
                </c:pt>
                <c:pt idx="26">
                  <c:v>14.959369680816923</c:v>
                </c:pt>
                <c:pt idx="27">
                  <c:v>17.899548170999079</c:v>
                </c:pt>
                <c:pt idx="28">
                  <c:v>22.605987732206422</c:v>
                </c:pt>
                <c:pt idx="29">
                  <c:v>26.203129181733313</c:v>
                </c:pt>
              </c:numCache>
            </c:numRef>
          </c:xVal>
          <c:yVal>
            <c:numRef>
              <c:f>data!$D$36:$D$65</c:f>
              <c:numCache>
                <c:formatCode>0.0</c:formatCode>
                <c:ptCount val="30"/>
                <c:pt idx="0">
                  <c:v>5515.84</c:v>
                </c:pt>
                <c:pt idx="1">
                  <c:v>4136.88</c:v>
                </c:pt>
                <c:pt idx="2">
                  <c:v>3447.4</c:v>
                </c:pt>
                <c:pt idx="3">
                  <c:v>2757.92</c:v>
                </c:pt>
                <c:pt idx="4">
                  <c:v>2068.44</c:v>
                </c:pt>
                <c:pt idx="5">
                  <c:v>1723.7</c:v>
                </c:pt>
                <c:pt idx="6">
                  <c:v>1378.96</c:v>
                </c:pt>
                <c:pt idx="7">
                  <c:v>1034.22</c:v>
                </c:pt>
                <c:pt idx="8">
                  <c:v>689.48</c:v>
                </c:pt>
                <c:pt idx="9">
                  <c:v>551.58400000000006</c:v>
                </c:pt>
                <c:pt idx="10">
                  <c:v>413.68799999999999</c:v>
                </c:pt>
                <c:pt idx="11">
                  <c:v>344.74</c:v>
                </c:pt>
                <c:pt idx="12">
                  <c:v>275.79200000000003</c:v>
                </c:pt>
                <c:pt idx="13">
                  <c:v>206.84399999999999</c:v>
                </c:pt>
                <c:pt idx="14">
                  <c:v>172.37</c:v>
                </c:pt>
                <c:pt idx="15">
                  <c:v>137.89600000000002</c:v>
                </c:pt>
                <c:pt idx="16">
                  <c:v>103.422</c:v>
                </c:pt>
                <c:pt idx="17">
                  <c:v>68.948000000000008</c:v>
                </c:pt>
                <c:pt idx="18">
                  <c:v>55.1584</c:v>
                </c:pt>
                <c:pt idx="19">
                  <c:v>41.3688</c:v>
                </c:pt>
                <c:pt idx="20">
                  <c:v>34.474000000000004</c:v>
                </c:pt>
                <c:pt idx="21">
                  <c:v>27.5792</c:v>
                </c:pt>
                <c:pt idx="22">
                  <c:v>20.6844</c:v>
                </c:pt>
                <c:pt idx="23">
                  <c:v>17.237000000000002</c:v>
                </c:pt>
                <c:pt idx="24">
                  <c:v>13.7896</c:v>
                </c:pt>
                <c:pt idx="25">
                  <c:v>10.3422</c:v>
                </c:pt>
                <c:pt idx="26">
                  <c:v>6.8948</c:v>
                </c:pt>
                <c:pt idx="27">
                  <c:v>5.5158400000000007</c:v>
                </c:pt>
                <c:pt idx="28">
                  <c:v>4.1368799999999997</c:v>
                </c:pt>
                <c:pt idx="29">
                  <c:v>3.4474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85-44C7-81CC-D4F80A681D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938480"/>
        <c:axId val="1"/>
      </c:scatterChart>
      <c:valAx>
        <c:axId val="514938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scaled distance (m/kg^1/3)</a:t>
                </a:r>
              </a:p>
            </c:rich>
          </c:tx>
          <c:layout>
            <c:manualLayout>
              <c:xMode val="edge"/>
              <c:yMode val="edge"/>
              <c:x val="0.29611704381108211"/>
              <c:y val="0.90865374003752286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overpressure (kPa)</a:t>
                </a:r>
              </a:p>
            </c:rich>
          </c:tx>
          <c:layout>
            <c:manualLayout>
              <c:xMode val="edge"/>
              <c:yMode val="edge"/>
              <c:x val="2.5889904995641779E-2"/>
              <c:y val="0.3004807899926585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93848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690422625743216"/>
          <c:y val="0.39703152965111532"/>
          <c:w val="0.20997411849492842"/>
          <c:h val="0.10018545442331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trlProps/ctrlProp1.xml><?xml version="1.0" encoding="utf-8"?>
<formControlPr xmlns="http://schemas.microsoft.com/office/spreadsheetml/2009/9/main" objectType="Drop" dropStyle="combo" dx="26" fmlaLink="data!$S$3" fmlaRange="data!$S$4:$S$5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6" fmlaLink="data!$Q$3" fmlaRange="data!$Q$4:$Q$6" noThreeD="1" sel="1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checked="Checked" firstButton="1" fmlaLink="$C$4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Radio" checked="Checked" firstButton="1" fmlaLink="$C$2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25400</xdr:rowOff>
        </xdr:from>
        <xdr:to>
          <xdr:col>2</xdr:col>
          <xdr:colOff>558800</xdr:colOff>
          <xdr:row>3</xdr:row>
          <xdr:rowOff>63500</xdr:rowOff>
        </xdr:to>
        <xdr:sp macro="" textlink="">
          <xdr:nvSpPr>
            <xdr:cNvPr id="1063" name="WHDimsSelection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3</xdr:row>
          <xdr:rowOff>101600</xdr:rowOff>
        </xdr:from>
        <xdr:to>
          <xdr:col>9</xdr:col>
          <xdr:colOff>304800</xdr:colOff>
          <xdr:row>7</xdr:row>
          <xdr:rowOff>88900</xdr:rowOff>
        </xdr:to>
        <xdr:sp macro="" textlink="">
          <xdr:nvSpPr>
            <xdr:cNvPr id="1065" name="WHcalc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Calculate Fragment Velocity and Direction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25400</xdr:rowOff>
        </xdr:from>
        <xdr:to>
          <xdr:col>2</xdr:col>
          <xdr:colOff>558800</xdr:colOff>
          <xdr:row>10</xdr:row>
          <xdr:rowOff>63500</xdr:rowOff>
        </xdr:to>
        <xdr:sp macro="" textlink="">
          <xdr:nvSpPr>
            <xdr:cNvPr id="1066" name="HEinitPosition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7</xdr:row>
          <xdr:rowOff>25400</xdr:rowOff>
        </xdr:from>
        <xdr:to>
          <xdr:col>2</xdr:col>
          <xdr:colOff>241300</xdr:colOff>
          <xdr:row>11</xdr:row>
          <xdr:rowOff>25400</xdr:rowOff>
        </xdr:to>
        <xdr:sp macro="" textlink="">
          <xdr:nvSpPr>
            <xdr:cNvPr id="5121" name="dynamCalc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Calculate Dynamic Fragment Characteristics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236220</xdr:colOff>
      <xdr:row>2</xdr:row>
      <xdr:rowOff>38100</xdr:rowOff>
    </xdr:from>
    <xdr:to>
      <xdr:col>10</xdr:col>
      <xdr:colOff>198120</xdr:colOff>
      <xdr:row>11</xdr:row>
      <xdr:rowOff>38100</xdr:rowOff>
    </xdr:to>
    <xdr:grpSp>
      <xdr:nvGrpSpPr>
        <xdr:cNvPr id="5759" name="Group 2">
          <a:extLst>
            <a:ext uri="{FF2B5EF4-FFF2-40B4-BE49-F238E27FC236}">
              <a16:creationId xmlns:a16="http://schemas.microsoft.com/office/drawing/2014/main" id="{00000000-0008-0000-0100-00007F160000}"/>
            </a:ext>
          </a:extLst>
        </xdr:cNvPr>
        <xdr:cNvGrpSpPr>
          <a:grpSpLocks/>
        </xdr:cNvGrpSpPr>
      </xdr:nvGrpSpPr>
      <xdr:grpSpPr bwMode="auto">
        <a:xfrm>
          <a:off x="4922520" y="368300"/>
          <a:ext cx="1981200" cy="1485900"/>
          <a:chOff x="451" y="279"/>
          <a:chExt cx="188" cy="121"/>
        </a:xfrm>
      </xdr:grpSpPr>
      <xdr:grpSp>
        <xdr:nvGrpSpPr>
          <xdr:cNvPr id="5760" name="Group 3">
            <a:extLst>
              <a:ext uri="{FF2B5EF4-FFF2-40B4-BE49-F238E27FC236}">
                <a16:creationId xmlns:a16="http://schemas.microsoft.com/office/drawing/2014/main" id="{00000000-0008-0000-0100-000080160000}"/>
              </a:ext>
            </a:extLst>
          </xdr:cNvPr>
          <xdr:cNvGrpSpPr>
            <a:grpSpLocks/>
          </xdr:cNvGrpSpPr>
        </xdr:nvGrpSpPr>
        <xdr:grpSpPr bwMode="auto">
          <a:xfrm>
            <a:off x="451" y="322"/>
            <a:ext cx="128" cy="59"/>
            <a:chOff x="451" y="338"/>
            <a:chExt cx="128" cy="59"/>
          </a:xfrm>
        </xdr:grpSpPr>
        <xdr:sp macro="" textlink="">
          <xdr:nvSpPr>
            <xdr:cNvPr id="5769" name="Rectangle 4">
              <a:extLst>
                <a:ext uri="{FF2B5EF4-FFF2-40B4-BE49-F238E27FC236}">
                  <a16:creationId xmlns:a16="http://schemas.microsoft.com/office/drawing/2014/main" id="{00000000-0008-0000-0100-00008916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1" y="346"/>
              <a:ext cx="128" cy="51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5770" name="Rectangle 5">
              <a:extLst>
                <a:ext uri="{FF2B5EF4-FFF2-40B4-BE49-F238E27FC236}">
                  <a16:creationId xmlns:a16="http://schemas.microsoft.com/office/drawing/2014/main" id="{00000000-0008-0000-0100-00008A16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1" y="338"/>
              <a:ext cx="128" cy="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5771" name="Rectangle 6">
              <a:extLst>
                <a:ext uri="{FF2B5EF4-FFF2-40B4-BE49-F238E27FC236}">
                  <a16:creationId xmlns:a16="http://schemas.microsoft.com/office/drawing/2014/main" id="{00000000-0008-0000-0100-00008B16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1" y="389"/>
              <a:ext cx="128" cy="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5761" name="Line 7">
            <a:extLst>
              <a:ext uri="{FF2B5EF4-FFF2-40B4-BE49-F238E27FC236}">
                <a16:creationId xmlns:a16="http://schemas.microsoft.com/office/drawing/2014/main" id="{00000000-0008-0000-0100-00008116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579" y="279"/>
            <a:ext cx="0" cy="10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62" name="Line 8">
            <a:extLst>
              <a:ext uri="{FF2B5EF4-FFF2-40B4-BE49-F238E27FC236}">
                <a16:creationId xmlns:a16="http://schemas.microsoft.com/office/drawing/2014/main" id="{00000000-0008-0000-0100-00008216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579" y="283"/>
            <a:ext cx="30" cy="4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arrow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63" name="Line 9">
            <a:extLst>
              <a:ext uri="{FF2B5EF4-FFF2-40B4-BE49-F238E27FC236}">
                <a16:creationId xmlns:a16="http://schemas.microsoft.com/office/drawing/2014/main" id="{00000000-0008-0000-0100-00008316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582" y="305"/>
            <a:ext cx="45" cy="2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triangle" w="sm" len="sm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30" name="Text Box 10">
            <a:extLst>
              <a:ext uri="{FF2B5EF4-FFF2-40B4-BE49-F238E27FC236}">
                <a16:creationId xmlns:a16="http://schemas.microsoft.com/office/drawing/2014/main" id="{00000000-0008-0000-0100-00000A1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7" y="328"/>
            <a:ext cx="11" cy="18"/>
          </a:xfrm>
          <a:prstGeom prst="rect">
            <a:avLst/>
          </a:prstGeom>
          <a:noFill/>
          <a:ln>
            <a:noFill/>
          </a:ln>
        </xdr:spPr>
        <xdr:txBody>
          <a:bodyPr wrap="none" lIns="18288" tIns="27432" rIns="0" bIns="0" anchor="t" upright="1">
            <a:spAutoFit/>
          </a:bodyPr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000000"/>
                </a:solidFill>
                <a:latin typeface="Symbol"/>
              </a:rPr>
              <a:t>q</a:t>
            </a:r>
            <a:endParaRPr lang="en-GB"/>
          </a:p>
        </xdr:txBody>
      </xdr:sp>
      <xdr:sp macro="" textlink="">
        <xdr:nvSpPr>
          <xdr:cNvPr id="5765" name="Line 11">
            <a:extLst>
              <a:ext uri="{FF2B5EF4-FFF2-40B4-BE49-F238E27FC236}">
                <a16:creationId xmlns:a16="http://schemas.microsoft.com/office/drawing/2014/main" id="{00000000-0008-0000-01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499" y="390"/>
            <a:ext cx="7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32" name="Text Box 12">
            <a:extLst>
              <a:ext uri="{FF2B5EF4-FFF2-40B4-BE49-F238E27FC236}">
                <a16:creationId xmlns:a16="http://schemas.microsoft.com/office/drawing/2014/main" id="{00000000-0008-0000-0100-00000C1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3" y="385"/>
            <a:ext cx="21" cy="15"/>
          </a:xfrm>
          <a:prstGeom prst="rect">
            <a:avLst/>
          </a:prstGeom>
          <a:noFill/>
          <a:ln>
            <a:noFill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Vm</a:t>
            </a:r>
            <a:endParaRPr lang="en-GB"/>
          </a:p>
        </xdr:txBody>
      </xdr:sp>
      <xdr:sp macro="" textlink="">
        <xdr:nvSpPr>
          <xdr:cNvPr id="5133" name="Text Box 13">
            <a:extLst>
              <a:ext uri="{FF2B5EF4-FFF2-40B4-BE49-F238E27FC236}">
                <a16:creationId xmlns:a16="http://schemas.microsoft.com/office/drawing/2014/main" id="{00000000-0008-0000-0100-00000D1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5" y="279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Vf</a:t>
            </a:r>
            <a:endParaRPr lang="en-GB"/>
          </a:p>
        </xdr:txBody>
      </xdr:sp>
      <xdr:sp macro="" textlink="">
        <xdr:nvSpPr>
          <xdr:cNvPr id="5134" name="Text Box 14">
            <a:extLst>
              <a:ext uri="{FF2B5EF4-FFF2-40B4-BE49-F238E27FC236}">
                <a16:creationId xmlns:a16="http://schemas.microsoft.com/office/drawing/2014/main" id="{00000000-0008-0000-0100-00000E1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5" y="280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Vd</a:t>
            </a:r>
            <a:endParaRPr lang="en-GB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3</xdr:row>
          <xdr:rowOff>152400</xdr:rowOff>
        </xdr:from>
        <xdr:to>
          <xdr:col>2</xdr:col>
          <xdr:colOff>393700</xdr:colOff>
          <xdr:row>5</xdr:row>
          <xdr:rowOff>25400</xdr:rowOff>
        </xdr:to>
        <xdr:sp macro="" textlink="">
          <xdr:nvSpPr>
            <xdr:cNvPr id="6145" name="dimensions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   dimensions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5</xdr:row>
          <xdr:rowOff>50800</xdr:rowOff>
        </xdr:from>
        <xdr:to>
          <xdr:col>2</xdr:col>
          <xdr:colOff>393700</xdr:colOff>
          <xdr:row>6</xdr:row>
          <xdr:rowOff>101600</xdr:rowOff>
        </xdr:to>
        <xdr:sp macro="" textlink="">
          <xdr:nvSpPr>
            <xdr:cNvPr id="6146" name="mass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   mass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</xdr:row>
          <xdr:rowOff>38100</xdr:rowOff>
        </xdr:from>
        <xdr:to>
          <xdr:col>3</xdr:col>
          <xdr:colOff>12700</xdr:colOff>
          <xdr:row>7</xdr:row>
          <xdr:rowOff>25400</xdr:rowOff>
        </xdr:to>
        <xdr:sp macro="" textlink="">
          <xdr:nvSpPr>
            <xdr:cNvPr id="6147" name="Group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18288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Select Characteristic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482600</xdr:colOff>
          <xdr:row>15</xdr:row>
          <xdr:rowOff>63500</xdr:rowOff>
        </xdr:from>
        <xdr:to>
          <xdr:col>2</xdr:col>
          <xdr:colOff>596900</xdr:colOff>
          <xdr:row>19</xdr:row>
          <xdr:rowOff>38100</xdr:rowOff>
        </xdr:to>
        <xdr:sp macro="" textlink="">
          <xdr:nvSpPr>
            <xdr:cNvPr id="6149" name="critEDCalc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2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Calculate Critical Impact Velocity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165100</xdr:colOff>
          <xdr:row>13</xdr:row>
          <xdr:rowOff>152400</xdr:rowOff>
        </xdr:from>
        <xdr:to>
          <xdr:col>2</xdr:col>
          <xdr:colOff>279400</xdr:colOff>
          <xdr:row>17</xdr:row>
          <xdr:rowOff>127000</xdr:rowOff>
        </xdr:to>
        <xdr:sp macro="" textlink="">
          <xdr:nvSpPr>
            <xdr:cNvPr id="7169" name="calculateButton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Calculate Fragment </a:t>
              </a:r>
            </a:p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Range, Velocity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1</xdr:row>
          <xdr:rowOff>101600</xdr:rowOff>
        </xdr:from>
        <xdr:to>
          <xdr:col>2</xdr:col>
          <xdr:colOff>406400</xdr:colOff>
          <xdr:row>2</xdr:row>
          <xdr:rowOff>139700</xdr:rowOff>
        </xdr:to>
        <xdr:sp macro="" textlink="">
          <xdr:nvSpPr>
            <xdr:cNvPr id="7171" name="initVel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   initial velocity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3</xdr:row>
          <xdr:rowOff>0</xdr:rowOff>
        </xdr:from>
        <xdr:to>
          <xdr:col>2</xdr:col>
          <xdr:colOff>406400</xdr:colOff>
          <xdr:row>4</xdr:row>
          <xdr:rowOff>63500</xdr:rowOff>
        </xdr:to>
        <xdr:sp macro="" textlink="">
          <xdr:nvSpPr>
            <xdr:cNvPr id="7172" name="slRange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   slant 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4</xdr:row>
          <xdr:rowOff>76200</xdr:rowOff>
        </xdr:from>
        <xdr:to>
          <xdr:col>2</xdr:col>
          <xdr:colOff>406400</xdr:colOff>
          <xdr:row>5</xdr:row>
          <xdr:rowOff>139700</xdr:rowOff>
        </xdr:to>
        <xdr:sp macro="" textlink="">
          <xdr:nvSpPr>
            <xdr:cNvPr id="7173" name="finalVel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3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   final velocity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12700</xdr:rowOff>
        </xdr:from>
        <xdr:to>
          <xdr:col>3</xdr:col>
          <xdr:colOff>12700</xdr:colOff>
          <xdr:row>5</xdr:row>
          <xdr:rowOff>152400</xdr:rowOff>
        </xdr:to>
        <xdr:sp macro="" textlink="">
          <xdr:nvSpPr>
            <xdr:cNvPr id="7174" name="Group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3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18288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Select Calculation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317500</xdr:colOff>
          <xdr:row>7</xdr:row>
          <xdr:rowOff>127000</xdr:rowOff>
        </xdr:from>
        <xdr:to>
          <xdr:col>9</xdr:col>
          <xdr:colOff>292100</xdr:colOff>
          <xdr:row>9</xdr:row>
          <xdr:rowOff>12700</xdr:rowOff>
        </xdr:to>
        <xdr:sp macro="" textlink="">
          <xdr:nvSpPr>
            <xdr:cNvPr id="7175" name="gotoPrint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3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</xdr:row>
          <xdr:rowOff>0</xdr:rowOff>
        </xdr:from>
        <xdr:to>
          <xdr:col>4</xdr:col>
          <xdr:colOff>177800</xdr:colOff>
          <xdr:row>6</xdr:row>
          <xdr:rowOff>152400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38100</xdr:colOff>
      <xdr:row>0</xdr:row>
      <xdr:rowOff>25400</xdr:rowOff>
    </xdr:from>
    <xdr:to>
      <xdr:col>21</xdr:col>
      <xdr:colOff>596900</xdr:colOff>
      <xdr:row>50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5400" y="25400"/>
          <a:ext cx="5943600" cy="8229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525780</xdr:colOff>
      <xdr:row>40</xdr:row>
      <xdr:rowOff>137160</xdr:rowOff>
    </xdr:from>
    <xdr:to>
      <xdr:col>31</xdr:col>
      <xdr:colOff>335280</xdr:colOff>
      <xdr:row>65</xdr:row>
      <xdr:rowOff>60960</xdr:rowOff>
    </xdr:to>
    <xdr:graphicFrame macro="">
      <xdr:nvGraphicFramePr>
        <xdr:cNvPr id="2197" name="Chart 2">
          <a:extLst>
            <a:ext uri="{FF2B5EF4-FFF2-40B4-BE49-F238E27FC236}">
              <a16:creationId xmlns:a16="http://schemas.microsoft.com/office/drawing/2014/main" id="{00000000-0008-0000-0500-000095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487680</xdr:colOff>
      <xdr:row>40</xdr:row>
      <xdr:rowOff>60960</xdr:rowOff>
    </xdr:from>
    <xdr:to>
      <xdr:col>19</xdr:col>
      <xdr:colOff>274320</xdr:colOff>
      <xdr:row>64</xdr:row>
      <xdr:rowOff>144780</xdr:rowOff>
    </xdr:to>
    <xdr:graphicFrame macro="">
      <xdr:nvGraphicFramePr>
        <xdr:cNvPr id="2198" name="Chart 3">
          <a:extLst>
            <a:ext uri="{FF2B5EF4-FFF2-40B4-BE49-F238E27FC236}">
              <a16:creationId xmlns:a16="http://schemas.microsoft.com/office/drawing/2014/main" id="{00000000-0008-0000-0500-000096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6</xdr:col>
      <xdr:colOff>571799</xdr:colOff>
      <xdr:row>41</xdr:row>
      <xdr:rowOff>111498</xdr:rowOff>
    </xdr:from>
    <xdr:ext cx="1821653" cy="869469"/>
    <xdr:sp macro="" textlink="">
      <xdr:nvSpPr>
        <xdr:cNvPr id="2052" name="Text Box 4">
          <a:extLst>
            <a:ext uri="{FF2B5EF4-FFF2-40B4-BE49-F238E27FC236}">
              <a16:creationId xmlns:a16="http://schemas.microsoft.com/office/drawing/2014/main" id="{00000000-0008-0000-0500-000004080000}"/>
            </a:ext>
          </a:extLst>
        </xdr:cNvPr>
        <xdr:cNvSpPr txBox="1">
          <a:spLocks noChangeArrowheads="1"/>
        </xdr:cNvSpPr>
      </xdr:nvSpPr>
      <xdr:spPr bwMode="auto">
        <a:xfrm>
          <a:off x="6542293" y="7095004"/>
          <a:ext cx="1821653" cy="86946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Data for a 50lb TNT Charge</a:t>
          </a:r>
        </a:p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 J Swisdak</a:t>
          </a:r>
        </a:p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White Oak Laboratory</a:t>
          </a:r>
        </a:p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Naval Surface Weapons Center</a:t>
          </a:r>
        </a:p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Silver Spring, MD, USA</a:t>
          </a:r>
        </a:p>
        <a:p>
          <a:pPr algn="l" rtl="0">
            <a:lnSpc>
              <a:spcPts val="11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MSWC/WOL/TR 75-116</a:t>
          </a:r>
          <a:endParaRPr lang="en-GB"/>
        </a:p>
      </xdr:txBody>
    </xdr:sp>
    <xdr:clientData/>
  </xdr:oneCellAnchor>
  <xdr:twoCellAnchor editAs="oneCell">
    <xdr:from>
      <xdr:col>0</xdr:col>
      <xdr:colOff>0</xdr:colOff>
      <xdr:row>67</xdr:row>
      <xdr:rowOff>0</xdr:rowOff>
    </xdr:from>
    <xdr:to>
      <xdr:col>5</xdr:col>
      <xdr:colOff>533400</xdr:colOff>
      <xdr:row>100</xdr:row>
      <xdr:rowOff>88153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011647"/>
          <a:ext cx="6121400" cy="55118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698500</xdr:colOff>
          <xdr:row>0</xdr:row>
          <xdr:rowOff>25400</xdr:rowOff>
        </xdr:from>
        <xdr:to>
          <xdr:col>8</xdr:col>
          <xdr:colOff>520700</xdr:colOff>
          <xdr:row>1</xdr:row>
          <xdr:rowOff>63500</xdr:rowOff>
        </xdr:to>
        <xdr:sp macro="" textlink="">
          <xdr:nvSpPr>
            <xdr:cNvPr id="4098" name="printButton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6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Calculate and Print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Fragment_Material" displayName="Fragment_Material" ref="B2:C10" totalsRowShown="0" tableBorderDxfId="9">
  <autoFilter ref="B2:C10" xr:uid="{00000000-0009-0000-0100-000007000000}"/>
  <tableColumns count="2">
    <tableColumn id="1" xr3:uid="{00000000-0010-0000-0000-000001000000}" name="Fragment Material"/>
    <tableColumn id="2" xr3:uid="{00000000-0010-0000-0000-000002000000}" name="density (kg/m^3)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Explosive_List" displayName="Explosive_List" ref="E2:I25" totalsRowShown="0" headerRowDxfId="7" dataDxfId="6">
  <autoFilter ref="E2:I25" xr:uid="{00000000-0009-0000-0100-000008000000}"/>
  <tableColumns count="5">
    <tableColumn id="1" xr3:uid="{00000000-0010-0000-0100-000001000000}" name="Explosive" dataDxfId="5"/>
    <tableColumn id="2" xr3:uid="{00000000-0010-0000-0100-000002000000}" name="Density (Kg/m^3)" dataDxfId="4"/>
    <tableColumn id="3" xr3:uid="{00000000-0010-0000-0100-000003000000}" name="VoD (m/s)" dataDxfId="3"/>
    <tableColumn id="4" xr3:uid="{00000000-0010-0000-0100-000004000000}" name="Gurney (m/s)" dataDxfId="2"/>
    <tableColumn id="5" xr3:uid="{00000000-0010-0000-0100-000005000000}" name="TNT Equiv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Fragment_Shape" displayName="Fragment_Shape" ref="K2:L5" totalsRowShown="0" headerRowDxfId="1">
  <autoFilter ref="K2:L5" xr:uid="{00000000-0009-0000-0100-000009000000}"/>
  <tableColumns count="2">
    <tableColumn id="1" xr3:uid="{00000000-0010-0000-0200-000001000000}" name="Fragment Shape"/>
    <tableColumn id="2" xr3:uid="{00000000-0010-0000-0200-000002000000}" name="C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Medium_List" displayName="Medium_List" ref="N2:O9" totalsRowShown="0" headerRowDxfId="0">
  <autoFilter ref="N2:O9" xr:uid="{00000000-0009-0000-0100-00000A000000}"/>
  <tableColumns count="2">
    <tableColumn id="1" xr3:uid="{00000000-0010-0000-0300-000001000000}" name="Medium"/>
    <tableColumn id="2" xr3:uid="{00000000-0010-0000-0300-000002000000}" name="density (kg/m^3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ctrlProp" Target="../ctrlProps/ctrlProp9.xml"/><Relationship Id="rId7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58"/>
  <sheetViews>
    <sheetView workbookViewId="0"/>
  </sheetViews>
  <sheetFormatPr baseColWidth="10" defaultColWidth="9.1640625" defaultRowHeight="13" x14ac:dyDescent="0.15"/>
  <cols>
    <col min="3" max="3" width="9.1640625" customWidth="1"/>
    <col min="5" max="5" width="9.6640625" customWidth="1"/>
    <col min="6" max="6" width="12.5" customWidth="1"/>
    <col min="7" max="7" width="10.6640625" customWidth="1"/>
    <col min="16" max="16" width="10.83203125" customWidth="1"/>
  </cols>
  <sheetData>
    <row r="1" spans="1:12" x14ac:dyDescent="0.15">
      <c r="A1" s="11" t="s">
        <v>0</v>
      </c>
      <c r="B1" s="6"/>
      <c r="C1" s="6"/>
      <c r="D1" s="6"/>
      <c r="E1" s="6"/>
      <c r="F1" s="6"/>
      <c r="G1" s="6"/>
      <c r="H1" s="6"/>
      <c r="I1" s="6"/>
      <c r="J1" s="6"/>
      <c r="K1" s="102" t="s">
        <v>174</v>
      </c>
      <c r="L1" s="6"/>
    </row>
    <row r="2" spans="1:12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x14ac:dyDescent="0.15">
      <c r="A5" s="6"/>
      <c r="B5" s="6"/>
      <c r="C5" s="6"/>
      <c r="D5" s="13" t="s">
        <v>1</v>
      </c>
      <c r="E5" s="54">
        <v>1.4</v>
      </c>
      <c r="F5" s="14" t="s">
        <v>2</v>
      </c>
      <c r="G5" s="6"/>
      <c r="H5" s="6"/>
      <c r="I5" s="6"/>
      <c r="J5" s="6"/>
      <c r="K5" s="6"/>
      <c r="L5" s="6"/>
    </row>
    <row r="6" spans="1:12" x14ac:dyDescent="0.15">
      <c r="A6" s="6"/>
      <c r="B6" s="6"/>
      <c r="C6" s="6"/>
      <c r="D6" s="13" t="s">
        <v>3</v>
      </c>
      <c r="E6" s="54">
        <v>0.65</v>
      </c>
      <c r="F6" s="14" t="s">
        <v>2</v>
      </c>
      <c r="G6" s="6"/>
      <c r="H6" s="6"/>
      <c r="I6" s="6"/>
      <c r="J6" s="6"/>
      <c r="K6" s="6"/>
      <c r="L6" s="6"/>
    </row>
    <row r="7" spans="1:12" x14ac:dyDescent="0.15">
      <c r="A7" s="6"/>
      <c r="B7" s="6"/>
      <c r="C7" s="6"/>
      <c r="D7" s="13" t="s">
        <v>4</v>
      </c>
      <c r="E7" s="54">
        <v>1.9E-2</v>
      </c>
      <c r="F7" s="14" t="s">
        <v>2</v>
      </c>
      <c r="G7" s="6"/>
      <c r="H7" s="6"/>
      <c r="I7" s="6"/>
      <c r="J7" s="6"/>
      <c r="K7" s="6"/>
      <c r="L7" s="6"/>
    </row>
    <row r="8" spans="1:12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x14ac:dyDescent="0.15">
      <c r="A9" s="6"/>
      <c r="B9" s="12" t="s">
        <v>5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x14ac:dyDescent="0.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x14ac:dyDescent="0.15">
      <c r="A12" s="35"/>
      <c r="B12" s="6"/>
      <c r="C12" s="6"/>
      <c r="D12" s="6"/>
      <c r="E12" s="6"/>
      <c r="F12" s="6"/>
      <c r="G12" s="110" t="s">
        <v>6</v>
      </c>
      <c r="H12" s="111"/>
      <c r="I12" s="10">
        <v>700.2062625599998</v>
      </c>
      <c r="J12" s="6" t="s">
        <v>7</v>
      </c>
      <c r="K12" s="6"/>
      <c r="L12" s="6"/>
    </row>
    <row r="13" spans="1:12" ht="14" thickBot="1" x14ac:dyDescent="0.2">
      <c r="A13" s="35"/>
      <c r="B13" s="12" t="s">
        <v>8</v>
      </c>
      <c r="C13" s="6"/>
      <c r="D13" s="6"/>
      <c r="E13" s="6"/>
      <c r="F13" s="6"/>
      <c r="G13" s="110" t="s">
        <v>9</v>
      </c>
      <c r="H13" s="111"/>
      <c r="I13" s="10">
        <v>1016.7734704960011</v>
      </c>
      <c r="J13" s="14" t="s">
        <v>7</v>
      </c>
      <c r="K13" s="6"/>
      <c r="L13" s="6"/>
    </row>
    <row r="14" spans="1:12" ht="14" thickBot="1" x14ac:dyDescent="0.2">
      <c r="A14" s="35"/>
      <c r="B14" s="112" t="s">
        <v>168</v>
      </c>
      <c r="C14" s="113"/>
      <c r="D14" s="13" t="s">
        <v>10</v>
      </c>
      <c r="E14" s="7">
        <f ca="1">INDEX(INDIRECT("Fragment_Material"),MATCH(B14,INDIRECT("Fragment_Material[Fragment Material]"),0),2)</f>
        <v>19280</v>
      </c>
      <c r="F14" s="14" t="s">
        <v>11</v>
      </c>
      <c r="G14" s="13"/>
      <c r="H14" s="13"/>
      <c r="I14" s="15"/>
      <c r="J14" s="6"/>
      <c r="K14" s="6"/>
      <c r="L14" s="6"/>
    </row>
    <row r="15" spans="1:12" x14ac:dyDescent="0.15">
      <c r="A15" s="35"/>
      <c r="B15" s="6"/>
      <c r="C15" s="6"/>
      <c r="D15" s="13"/>
      <c r="E15" s="15"/>
      <c r="F15" s="14"/>
      <c r="G15" s="110" t="s">
        <v>12</v>
      </c>
      <c r="H15" s="111"/>
      <c r="I15" s="72">
        <v>1832.265085426905</v>
      </c>
      <c r="J15" s="6" t="s">
        <v>13</v>
      </c>
      <c r="K15" s="6"/>
      <c r="L15" s="6"/>
    </row>
    <row r="16" spans="1:12" ht="14" thickBot="1" x14ac:dyDescent="0.2">
      <c r="A16" s="35"/>
      <c r="B16" s="12" t="s">
        <v>14</v>
      </c>
      <c r="C16" s="6"/>
      <c r="D16" s="13"/>
      <c r="E16" s="6"/>
      <c r="F16" s="6"/>
      <c r="G16" s="110" t="s">
        <v>15</v>
      </c>
      <c r="H16" s="111"/>
      <c r="I16" s="3">
        <v>6.8511112795363829</v>
      </c>
      <c r="J16" s="6" t="s">
        <v>16</v>
      </c>
      <c r="K16" s="6"/>
      <c r="L16" s="6"/>
    </row>
    <row r="17" spans="1:18" ht="14" thickBot="1" x14ac:dyDescent="0.2">
      <c r="A17" s="35"/>
      <c r="B17" s="112" t="s">
        <v>105</v>
      </c>
      <c r="C17" s="113"/>
      <c r="D17" s="13" t="s">
        <v>10</v>
      </c>
      <c r="E17" s="7">
        <f ca="1">INDEX(INDIRECT("Explosive_List"),MATCH(B17,INDIRECT("Explosive_List[Explosive]"),0),2)</f>
        <v>1700</v>
      </c>
      <c r="F17" s="6" t="s">
        <v>11</v>
      </c>
      <c r="G17" s="110" t="s">
        <v>17</v>
      </c>
      <c r="H17" s="111"/>
      <c r="I17" s="3">
        <v>0</v>
      </c>
      <c r="J17" s="6" t="s">
        <v>16</v>
      </c>
      <c r="K17" s="6"/>
      <c r="L17" s="6"/>
    </row>
    <row r="18" spans="1:18" x14ac:dyDescent="0.15">
      <c r="A18" s="35"/>
      <c r="B18" s="6"/>
      <c r="C18" s="6"/>
      <c r="D18" s="6"/>
      <c r="E18" s="6"/>
      <c r="F18" s="6"/>
      <c r="G18" s="110" t="s">
        <v>18</v>
      </c>
      <c r="H18" s="111"/>
      <c r="I18" s="3">
        <v>6.8511112795363829</v>
      </c>
      <c r="J18" s="6" t="s">
        <v>16</v>
      </c>
      <c r="K18" s="6"/>
      <c r="L18" s="6"/>
    </row>
    <row r="19" spans="1:18" x14ac:dyDescent="0.15">
      <c r="A19" s="35"/>
      <c r="B19" s="6"/>
      <c r="C19" s="110" t="s">
        <v>19</v>
      </c>
      <c r="D19" s="110"/>
      <c r="E19" s="72">
        <f ca="1">INDEX(INDIRECT("Explosive_List"),MATCH(B17,INDIRECT("Explosive_List[Explosive]"),0),4)</f>
        <v>2560</v>
      </c>
      <c r="F19" s="6" t="s">
        <v>13</v>
      </c>
      <c r="G19" s="6"/>
      <c r="H19" s="6"/>
      <c r="I19" s="6"/>
      <c r="J19" s="6"/>
      <c r="K19" s="6"/>
      <c r="L19" s="6"/>
    </row>
    <row r="20" spans="1:18" x14ac:dyDescent="0.15">
      <c r="A20" s="35"/>
      <c r="B20" s="110" t="s">
        <v>20</v>
      </c>
      <c r="C20" s="110"/>
      <c r="D20" s="110"/>
      <c r="E20" s="7">
        <f ca="1">INDEX(INDIRECT("Explosive_List"),MATCH(B17,INDIRECT("Explosive_List[Explosive]"),0),3)</f>
        <v>7480</v>
      </c>
      <c r="F20" s="6" t="s">
        <v>13</v>
      </c>
      <c r="G20" s="6"/>
      <c r="H20" s="6"/>
      <c r="I20" s="6"/>
      <c r="J20" s="6"/>
      <c r="K20" s="6"/>
      <c r="L20" s="6"/>
    </row>
    <row r="21" spans="1:18" x14ac:dyDescent="0.15">
      <c r="A21" s="3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8" x14ac:dyDescent="0.15">
      <c r="A22" s="35"/>
      <c r="B22" s="6"/>
      <c r="C22" s="6"/>
      <c r="D22" s="6"/>
      <c r="E22" s="6"/>
      <c r="F22" s="6"/>
      <c r="G22" s="6"/>
      <c r="H22" s="6"/>
      <c r="I22" s="6"/>
      <c r="J22" s="102" t="s">
        <v>173</v>
      </c>
      <c r="K22" s="102" t="s">
        <v>170</v>
      </c>
      <c r="L22" s="6"/>
    </row>
    <row r="23" spans="1:18" x14ac:dyDescent="0.15">
      <c r="A23" s="35"/>
      <c r="B23" s="6"/>
      <c r="C23" s="6"/>
      <c r="D23" s="6"/>
      <c r="E23" s="6"/>
      <c r="F23" s="6"/>
      <c r="G23" s="6"/>
      <c r="H23" s="6"/>
      <c r="I23" s="6"/>
      <c r="J23" s="6"/>
      <c r="K23" s="102" t="s">
        <v>171</v>
      </c>
      <c r="L23" s="6"/>
    </row>
    <row r="24" spans="1:18" x14ac:dyDescent="0.15">
      <c r="A24" s="35"/>
      <c r="B24" s="6"/>
      <c r="C24" s="6"/>
      <c r="D24" s="6"/>
      <c r="E24" s="6"/>
      <c r="F24" s="6"/>
      <c r="G24" s="6"/>
      <c r="H24" s="6"/>
      <c r="I24" s="6"/>
      <c r="J24" s="6"/>
      <c r="K24" s="102" t="s">
        <v>172</v>
      </c>
      <c r="L24" s="6"/>
    </row>
    <row r="26" spans="1:18" x14ac:dyDescent="0.15">
      <c r="R26" s="5"/>
    </row>
    <row r="27" spans="1:18" x14ac:dyDescent="0.15">
      <c r="C27" s="108"/>
      <c r="D27" s="108"/>
      <c r="E27" s="5"/>
      <c r="O27" s="58"/>
      <c r="P27" s="108"/>
      <c r="Q27" s="108"/>
      <c r="R27" s="5"/>
    </row>
    <row r="29" spans="1:18" x14ac:dyDescent="0.15">
      <c r="A29" s="108"/>
      <c r="B29" s="108"/>
      <c r="C29" s="108"/>
      <c r="D29" s="108"/>
      <c r="E29" s="5"/>
      <c r="P29" s="108"/>
      <c r="Q29" s="108"/>
      <c r="R29" s="59"/>
    </row>
    <row r="31" spans="1:18" x14ac:dyDescent="0.15">
      <c r="R31" s="5"/>
    </row>
    <row r="34" spans="3:18" x14ac:dyDescent="0.15">
      <c r="C34" s="61"/>
      <c r="D34" s="58"/>
      <c r="H34" s="4"/>
    </row>
    <row r="35" spans="3:18" x14ac:dyDescent="0.15">
      <c r="J35" s="58"/>
      <c r="K35" s="5"/>
      <c r="L35" s="57"/>
    </row>
    <row r="36" spans="3:18" x14ac:dyDescent="0.15">
      <c r="O36" s="108"/>
      <c r="P36" s="108"/>
      <c r="Q36" s="108"/>
      <c r="R36" s="59"/>
    </row>
    <row r="37" spans="3:18" x14ac:dyDescent="0.15">
      <c r="R37" s="5"/>
    </row>
    <row r="38" spans="3:18" x14ac:dyDescent="0.15">
      <c r="O38" s="108"/>
      <c r="P38" s="108"/>
      <c r="Q38" s="108"/>
      <c r="R38" s="59"/>
    </row>
    <row r="40" spans="3:18" x14ac:dyDescent="0.15">
      <c r="C40" s="108"/>
      <c r="D40" s="108"/>
      <c r="E40" s="59"/>
    </row>
    <row r="41" spans="3:18" x14ac:dyDescent="0.15">
      <c r="C41" s="108"/>
      <c r="D41" s="108"/>
      <c r="E41" s="59"/>
      <c r="P41" s="108"/>
      <c r="Q41" s="108"/>
      <c r="R41" s="60"/>
    </row>
    <row r="42" spans="3:18" x14ac:dyDescent="0.15">
      <c r="C42" s="109"/>
      <c r="D42" s="109"/>
      <c r="E42" s="62"/>
      <c r="I42" s="5"/>
      <c r="J42" s="57"/>
    </row>
    <row r="48" spans="3:18" x14ac:dyDescent="0.15">
      <c r="E48" s="5"/>
    </row>
    <row r="49" spans="5:5" x14ac:dyDescent="0.15">
      <c r="E49" s="5"/>
    </row>
    <row r="50" spans="5:5" x14ac:dyDescent="0.15">
      <c r="E50" s="5"/>
    </row>
    <row r="56" spans="5:5" x14ac:dyDescent="0.15">
      <c r="E56" s="5"/>
    </row>
    <row r="57" spans="5:5" x14ac:dyDescent="0.15">
      <c r="E57" s="5"/>
    </row>
    <row r="58" spans="5:5" x14ac:dyDescent="0.15">
      <c r="E58" s="5"/>
    </row>
  </sheetData>
  <mergeCells count="20">
    <mergeCell ref="P27:Q27"/>
    <mergeCell ref="C27:D27"/>
    <mergeCell ref="G12:H12"/>
    <mergeCell ref="G13:H13"/>
    <mergeCell ref="G15:H15"/>
    <mergeCell ref="G16:H16"/>
    <mergeCell ref="C19:D19"/>
    <mergeCell ref="B20:D20"/>
    <mergeCell ref="G17:H17"/>
    <mergeCell ref="G18:H18"/>
    <mergeCell ref="B14:C14"/>
    <mergeCell ref="B17:C17"/>
    <mergeCell ref="P29:Q29"/>
    <mergeCell ref="A29:D29"/>
    <mergeCell ref="C42:D42"/>
    <mergeCell ref="C40:D40"/>
    <mergeCell ref="C41:D41"/>
    <mergeCell ref="P41:Q41"/>
    <mergeCell ref="O36:Q36"/>
    <mergeCell ref="O38:Q38"/>
  </mergeCells>
  <phoneticPr fontId="0" type="noConversion"/>
  <dataValidations count="2">
    <dataValidation type="list" allowBlank="1" showInputMessage="1" showErrorMessage="1" sqref="B14" xr:uid="{00000000-0002-0000-0000-000000000000}">
      <formula1>INDIRECT("Fragment_Material[Fragment Material]")</formula1>
    </dataValidation>
    <dataValidation type="list" allowBlank="1" showInputMessage="1" showErrorMessage="1" sqref="B17:C17" xr:uid="{00000000-0002-0000-0000-000001000000}">
      <formula1>INDIRECT("Explosive_List[Explosive]")</formula1>
    </dataValidation>
  </dataValidations>
  <pageMargins left="0.75" right="0.75" top="1" bottom="1" header="0.5" footer="0.5"/>
  <pageSetup paperSize="9" scale="72" orientation="landscape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3" r:id="rId3" name="WHDimsSelection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25400</xdr:rowOff>
                  </from>
                  <to>
                    <xdr:col>2</xdr:col>
                    <xdr:colOff>558800</xdr:colOff>
                    <xdr:row>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" name="WHcalc">
              <controlPr defaultSize="0" print="0" autoFill="0" autoPict="0" macro="[0]!WHcalc_Click">
                <anchor moveWithCells="1">
                  <from>
                    <xdr:col>7</xdr:col>
                    <xdr:colOff>203200</xdr:colOff>
                    <xdr:row>3</xdr:row>
                    <xdr:rowOff>101600</xdr:rowOff>
                  </from>
                  <to>
                    <xdr:col>9</xdr:col>
                    <xdr:colOff>304800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5" name="HEinitPosition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25400</xdr:rowOff>
                  </from>
                  <to>
                    <xdr:col>2</xdr:col>
                    <xdr:colOff>558800</xdr:colOff>
                    <xdr:row>10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24"/>
  <sheetViews>
    <sheetView workbookViewId="0"/>
  </sheetViews>
  <sheetFormatPr baseColWidth="10" defaultColWidth="8.83203125" defaultRowHeight="13" x14ac:dyDescent="0.15"/>
  <cols>
    <col min="1" max="3" width="8.83203125" customWidth="1"/>
    <col min="4" max="4" width="8.5" customWidth="1"/>
  </cols>
  <sheetData>
    <row r="1" spans="1:12" x14ac:dyDescent="0.15">
      <c r="A1" s="16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1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1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x14ac:dyDescent="0.1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x14ac:dyDescent="0.15">
      <c r="A5" s="119" t="s">
        <v>22</v>
      </c>
      <c r="B5" s="119"/>
      <c r="C5" s="120"/>
      <c r="D5" s="2">
        <v>300</v>
      </c>
      <c r="E5" s="17" t="s">
        <v>13</v>
      </c>
      <c r="F5" s="17"/>
      <c r="G5" s="17"/>
      <c r="H5" s="17"/>
      <c r="I5" s="17"/>
      <c r="J5" s="17"/>
      <c r="K5" s="17"/>
      <c r="L5" s="17"/>
    </row>
    <row r="6" spans="1:12" x14ac:dyDescent="0.15">
      <c r="A6" s="18"/>
      <c r="B6" s="18"/>
      <c r="C6" s="18"/>
      <c r="D6" s="17"/>
      <c r="E6" s="17"/>
      <c r="F6" s="17"/>
      <c r="G6" s="17"/>
      <c r="H6" s="17"/>
      <c r="I6" s="17"/>
      <c r="J6" s="17"/>
      <c r="K6" s="17"/>
      <c r="L6" s="17"/>
    </row>
    <row r="7" spans="1:12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 x14ac:dyDescent="0.1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x14ac:dyDescent="0.1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 x14ac:dyDescent="0.1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x14ac:dyDescent="0.1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1:12" x14ac:dyDescent="0.1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2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2" x14ac:dyDescent="0.1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1:12" x14ac:dyDescent="0.15">
      <c r="A16" s="17"/>
      <c r="B16" s="17"/>
      <c r="C16" s="17"/>
      <c r="D16" s="114" t="s">
        <v>23</v>
      </c>
      <c r="E16" s="115"/>
      <c r="F16" s="116" t="s">
        <v>24</v>
      </c>
      <c r="G16" s="114"/>
      <c r="H16" s="17"/>
      <c r="I16" s="17"/>
      <c r="J16" s="17"/>
      <c r="K16" s="17"/>
      <c r="L16" s="17"/>
    </row>
    <row r="17" spans="1:12" x14ac:dyDescent="0.15">
      <c r="A17" s="17"/>
      <c r="B17" s="17"/>
      <c r="C17" s="17"/>
      <c r="D17" s="64" t="s">
        <v>25</v>
      </c>
      <c r="E17" s="67" t="s">
        <v>26</v>
      </c>
      <c r="F17" s="20" t="s">
        <v>25</v>
      </c>
      <c r="G17" s="64" t="s">
        <v>26</v>
      </c>
      <c r="H17" s="17"/>
      <c r="I17" s="17"/>
      <c r="J17" s="17"/>
      <c r="K17" s="17"/>
      <c r="L17" s="17"/>
    </row>
    <row r="18" spans="1:12" x14ac:dyDescent="0.15">
      <c r="A18" s="17"/>
      <c r="B18" s="17"/>
      <c r="C18" s="17"/>
      <c r="D18" s="65" t="s">
        <v>27</v>
      </c>
      <c r="E18" s="66" t="s">
        <v>28</v>
      </c>
      <c r="F18" s="63" t="s">
        <v>27</v>
      </c>
      <c r="G18" s="65" t="s">
        <v>28</v>
      </c>
      <c r="H18" s="17"/>
      <c r="I18" s="17"/>
      <c r="J18" s="17"/>
      <c r="K18" s="17"/>
      <c r="L18" s="17"/>
    </row>
    <row r="19" spans="1:12" x14ac:dyDescent="0.15">
      <c r="A19" s="17"/>
      <c r="B19" s="17"/>
      <c r="C19" s="18" t="s">
        <v>29</v>
      </c>
      <c r="D19" s="117">
        <f>fragVelocity</f>
        <v>1832.265085426905</v>
      </c>
      <c r="E19" s="92">
        <f>TaylorFront</f>
        <v>6.8511112795363829</v>
      </c>
      <c r="F19" s="93">
        <v>1891.7126611565645</v>
      </c>
      <c r="G19" s="3">
        <v>15.908847818161657</v>
      </c>
      <c r="H19" s="17"/>
      <c r="I19" s="17"/>
      <c r="J19" s="17"/>
      <c r="K19" s="17"/>
      <c r="L19" s="17"/>
    </row>
    <row r="20" spans="1:12" x14ac:dyDescent="0.15">
      <c r="A20" s="17"/>
      <c r="B20" s="17"/>
      <c r="C20" s="18" t="s">
        <v>30</v>
      </c>
      <c r="D20" s="118"/>
      <c r="E20" s="92">
        <f>TaylorRear</f>
        <v>0</v>
      </c>
      <c r="F20" s="93">
        <v>1856.7227184624105</v>
      </c>
      <c r="G20" s="3">
        <v>9.2971218371004412</v>
      </c>
      <c r="H20" s="17"/>
      <c r="I20" s="17"/>
      <c r="J20" s="17"/>
      <c r="K20" s="17"/>
      <c r="L20" s="17"/>
    </row>
    <row r="21" spans="1:12" x14ac:dyDescent="0.15">
      <c r="A21" s="17"/>
      <c r="B21" s="17"/>
      <c r="C21" s="18" t="s">
        <v>31</v>
      </c>
      <c r="D21" s="18"/>
      <c r="E21" s="92">
        <f>StaticBeamAngle</f>
        <v>6.8511112795363829</v>
      </c>
      <c r="F21" s="20"/>
      <c r="G21" s="3">
        <v>6.6117259810612161</v>
      </c>
      <c r="H21" s="17"/>
      <c r="I21" s="17"/>
      <c r="J21" s="17"/>
      <c r="K21" s="17"/>
      <c r="L21" s="17"/>
    </row>
    <row r="22" spans="1:12" x14ac:dyDescent="0.15">
      <c r="A22" s="17"/>
      <c r="B22" s="17"/>
      <c r="C22" s="17"/>
      <c r="D22" s="17"/>
      <c r="E22" s="17"/>
      <c r="F22" s="17"/>
      <c r="G22" s="19"/>
      <c r="H22" s="17"/>
      <c r="I22" s="17"/>
      <c r="J22" s="17"/>
      <c r="K22" s="17"/>
      <c r="L22" s="17"/>
    </row>
    <row r="23" spans="1:12" x14ac:dyDescent="0.1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x14ac:dyDescent="0.1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</sheetData>
  <mergeCells count="4">
    <mergeCell ref="D16:E16"/>
    <mergeCell ref="F16:G16"/>
    <mergeCell ref="D19:D20"/>
    <mergeCell ref="A5:C5"/>
  </mergeCells>
  <phoneticPr fontId="0" type="noConversion"/>
  <pageMargins left="0.75" right="0.75" top="1" bottom="1" header="0.5" footer="0.5"/>
  <pageSetup paperSize="9" orientation="portrait" horizontalDpi="4294967293" verticalDpi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dynamCalc">
              <controlPr defaultSize="0" print="0" autoFill="0" autoPict="0" macro="[0]!dynamCalc_Click">
                <anchor moveWithCells="1">
                  <from>
                    <xdr:col>0</xdr:col>
                    <xdr:colOff>177800</xdr:colOff>
                    <xdr:row>7</xdr:row>
                    <xdr:rowOff>25400</xdr:rowOff>
                  </from>
                  <to>
                    <xdr:col>2</xdr:col>
                    <xdr:colOff>241300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N26"/>
  <sheetViews>
    <sheetView workbookViewId="0"/>
  </sheetViews>
  <sheetFormatPr baseColWidth="10" defaultColWidth="8.83203125" defaultRowHeight="13" x14ac:dyDescent="0.15"/>
  <sheetData>
    <row r="1" spans="1:14" x14ac:dyDescent="0.15">
      <c r="A1" s="21" t="s">
        <v>32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4" x14ac:dyDescent="0.1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4" ht="14" thickBot="1" x14ac:dyDescent="0.2">
      <c r="A3" s="22"/>
      <c r="B3" s="24" t="s">
        <v>33</v>
      </c>
      <c r="C3" s="22"/>
      <c r="D3" s="22"/>
      <c r="E3" s="22"/>
      <c r="F3" s="22"/>
      <c r="G3" s="22"/>
      <c r="H3" s="25" t="s">
        <v>34</v>
      </c>
      <c r="I3" s="22"/>
      <c r="J3" s="22"/>
      <c r="K3" s="22"/>
      <c r="L3" s="22"/>
    </row>
    <row r="4" spans="1:14" ht="14" thickBot="1" x14ac:dyDescent="0.2">
      <c r="A4" s="22"/>
      <c r="B4" s="22"/>
      <c r="C4" s="26">
        <v>1</v>
      </c>
      <c r="D4" s="22"/>
      <c r="E4" s="23"/>
      <c r="F4" s="22"/>
      <c r="G4" s="22"/>
      <c r="H4" s="112" t="s">
        <v>87</v>
      </c>
      <c r="I4" s="113"/>
      <c r="J4" s="27" t="s">
        <v>35</v>
      </c>
      <c r="K4" s="7">
        <f ca="1">INDEX(INDIRECT("Fragment_Shape"),MATCH(H4,INDIRECT("Fragment_Shape[Fragment Shape]"),0),2)</f>
        <v>1.1000000000000001</v>
      </c>
      <c r="L4" s="22"/>
      <c r="N4" s="97"/>
    </row>
    <row r="5" spans="1:14" x14ac:dyDescent="0.1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4" x14ac:dyDescent="0.1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4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4" x14ac:dyDescent="0.1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4" x14ac:dyDescent="0.15">
      <c r="A9" s="22"/>
      <c r="B9" s="22"/>
      <c r="C9" s="121" t="s">
        <v>3</v>
      </c>
      <c r="D9" s="122"/>
      <c r="E9" s="2">
        <v>0.01</v>
      </c>
      <c r="F9" s="22" t="s">
        <v>36</v>
      </c>
      <c r="G9" s="22"/>
      <c r="H9" s="22"/>
      <c r="I9" s="22"/>
      <c r="J9" s="22"/>
      <c r="K9" s="22"/>
      <c r="L9" s="22"/>
    </row>
    <row r="10" spans="1:14" x14ac:dyDescent="0.1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4" x14ac:dyDescent="0.15">
      <c r="A11" s="121" t="s">
        <v>37</v>
      </c>
      <c r="B11" s="121"/>
      <c r="C11" s="121"/>
      <c r="D11" s="122"/>
      <c r="E11" s="2">
        <v>10</v>
      </c>
      <c r="F11" s="22" t="s">
        <v>38</v>
      </c>
      <c r="G11" s="22"/>
      <c r="H11" s="22"/>
      <c r="I11" s="22"/>
      <c r="J11" s="22"/>
      <c r="K11" s="22"/>
      <c r="L11" s="22"/>
    </row>
    <row r="12" spans="1:14" x14ac:dyDescent="0.1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4" x14ac:dyDescent="0.1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4" x14ac:dyDescent="0.15">
      <c r="A14" s="22"/>
      <c r="B14" s="22"/>
      <c r="C14" s="22"/>
      <c r="D14" s="22"/>
      <c r="E14" s="22"/>
      <c r="F14" s="23"/>
      <c r="G14" s="22"/>
      <c r="H14" s="22"/>
      <c r="I14" s="22"/>
      <c r="J14" s="22"/>
      <c r="K14" s="22"/>
      <c r="L14" s="22"/>
    </row>
    <row r="15" spans="1:14" x14ac:dyDescent="0.15">
      <c r="A15" s="22"/>
      <c r="B15" s="22"/>
      <c r="C15" s="22"/>
      <c r="D15" s="22"/>
      <c r="E15" s="22"/>
      <c r="F15" s="23"/>
      <c r="G15" s="22"/>
      <c r="H15" s="22"/>
      <c r="I15" s="22"/>
      <c r="J15" s="22"/>
      <c r="K15" s="22"/>
      <c r="L15" s="22"/>
    </row>
    <row r="16" spans="1:14" x14ac:dyDescent="0.15">
      <c r="A16" s="22"/>
      <c r="B16" s="22"/>
      <c r="C16" s="22"/>
      <c r="D16" s="22"/>
      <c r="E16" s="22"/>
      <c r="F16" s="23"/>
      <c r="G16" s="22"/>
      <c r="H16" s="22"/>
      <c r="I16" s="22"/>
      <c r="J16" s="22"/>
      <c r="K16" s="22"/>
      <c r="L16" s="22"/>
    </row>
    <row r="17" spans="1:12" x14ac:dyDescent="0.15">
      <c r="A17" s="22"/>
      <c r="B17" s="22"/>
      <c r="C17" s="22"/>
      <c r="D17" s="121" t="s">
        <v>39</v>
      </c>
      <c r="E17" s="122"/>
      <c r="F17" s="7">
        <v>1.9280000000000002E-2</v>
      </c>
      <c r="G17" s="22" t="s">
        <v>40</v>
      </c>
      <c r="H17" s="22"/>
      <c r="I17" s="22"/>
      <c r="J17" s="22"/>
      <c r="K17" s="22"/>
      <c r="L17" s="22"/>
    </row>
    <row r="18" spans="1:12" x14ac:dyDescent="0.1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x14ac:dyDescent="0.15">
      <c r="A19" s="22"/>
      <c r="B19" s="22"/>
      <c r="C19" s="22"/>
      <c r="D19" s="121" t="s">
        <v>41</v>
      </c>
      <c r="E19" s="122"/>
      <c r="F19" s="72">
        <v>381.08819945996078</v>
      </c>
      <c r="G19" s="22" t="s">
        <v>13</v>
      </c>
      <c r="H19" s="22"/>
      <c r="I19" s="22"/>
      <c r="J19" s="22"/>
      <c r="K19" s="22"/>
      <c r="L19" s="22"/>
    </row>
    <row r="20" spans="1:12" x14ac:dyDescent="0.1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x14ac:dyDescent="0.1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x14ac:dyDescent="0.15">
      <c r="A22" s="22"/>
      <c r="B22" s="22"/>
      <c r="C22" s="27"/>
      <c r="D22" s="22"/>
      <c r="E22" s="22"/>
      <c r="F22" s="22"/>
      <c r="G22" s="22"/>
      <c r="H22" s="22"/>
      <c r="I22" s="22"/>
      <c r="J22" s="22"/>
      <c r="K22" s="22"/>
      <c r="L22" s="22"/>
    </row>
    <row r="23" spans="1:12" x14ac:dyDescent="0.1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6" spans="1:12" x14ac:dyDescent="0.15">
      <c r="F26" s="5"/>
    </row>
  </sheetData>
  <mergeCells count="5">
    <mergeCell ref="C9:D9"/>
    <mergeCell ref="D17:E17"/>
    <mergeCell ref="A11:D11"/>
    <mergeCell ref="D19:E19"/>
    <mergeCell ref="H4:I4"/>
  </mergeCells>
  <phoneticPr fontId="0" type="noConversion"/>
  <dataValidations count="1">
    <dataValidation type="list" allowBlank="1" showInputMessage="1" showErrorMessage="1" sqref="H4" xr:uid="{00000000-0002-0000-0200-000000000000}">
      <formula1>INDIRECT("Fragment_Shape[Fragment Shape]")</formula1>
    </dataValidation>
  </dataValidations>
  <pageMargins left="0.75" right="0.75" top="1" bottom="1" header="0.5" footer="0.5"/>
  <pageSetup paperSize="9" orientation="portrait" horizontalDpi="0" verticalDpi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dimensions">
              <controlPr defaultSize="0" autoFill="0" autoLine="0" autoPict="0" macro="[0]!dimensions_Click">
                <anchor moveWithCells="1">
                  <from>
                    <xdr:col>1</xdr:col>
                    <xdr:colOff>50800</xdr:colOff>
                    <xdr:row>3</xdr:row>
                    <xdr:rowOff>152400</xdr:rowOff>
                  </from>
                  <to>
                    <xdr:col>2</xdr:col>
                    <xdr:colOff>393700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mass">
              <controlPr defaultSize="0" autoFill="0" autoLine="0" autoPict="0" macro="[0]!mass_Click">
                <anchor moveWithCells="1">
                  <from>
                    <xdr:col>1</xdr:col>
                    <xdr:colOff>50800</xdr:colOff>
                    <xdr:row>5</xdr:row>
                    <xdr:rowOff>50800</xdr:rowOff>
                  </from>
                  <to>
                    <xdr:col>2</xdr:col>
                    <xdr:colOff>393700</xdr:colOff>
                    <xdr:row>6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Group Box 3">
              <controlPr defaultSize="0" autoFill="0" autoPict="0">
                <anchor moveWithCells="1">
                  <from>
                    <xdr:col>1</xdr:col>
                    <xdr:colOff>12700</xdr:colOff>
                    <xdr:row>3</xdr:row>
                    <xdr:rowOff>38100</xdr:rowOff>
                  </from>
                  <to>
                    <xdr:col>3</xdr:col>
                    <xdr:colOff>12700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critEDCalc">
              <controlPr defaultSize="0" print="0" autoFill="0" autoPict="0" macro="[0]!critEDCalc_Click">
                <anchor moveWithCells="1">
                  <from>
                    <xdr:col>0</xdr:col>
                    <xdr:colOff>482600</xdr:colOff>
                    <xdr:row>15</xdr:row>
                    <xdr:rowOff>63500</xdr:rowOff>
                  </from>
                  <to>
                    <xdr:col>2</xdr:col>
                    <xdr:colOff>596900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L23"/>
  <sheetViews>
    <sheetView workbookViewId="0"/>
  </sheetViews>
  <sheetFormatPr baseColWidth="10" defaultColWidth="8.83203125" defaultRowHeight="13" x14ac:dyDescent="0.15"/>
  <cols>
    <col min="6" max="6" width="13.33203125" customWidth="1"/>
  </cols>
  <sheetData>
    <row r="1" spans="1:12" x14ac:dyDescent="0.15">
      <c r="A1" s="28"/>
      <c r="B1" s="28"/>
      <c r="C1" s="28"/>
      <c r="D1" s="28"/>
      <c r="E1" s="28"/>
      <c r="F1" s="28"/>
      <c r="G1" s="28"/>
      <c r="H1" s="28"/>
      <c r="I1" s="28"/>
      <c r="J1" s="28"/>
      <c r="K1" s="28" t="s">
        <v>42</v>
      </c>
      <c r="L1" s="28"/>
    </row>
    <row r="2" spans="1:12" ht="14" thickBot="1" x14ac:dyDescent="0.2">
      <c r="A2" s="28"/>
      <c r="B2" s="28"/>
      <c r="C2" s="29">
        <v>1</v>
      </c>
      <c r="D2" s="30"/>
      <c r="E2" s="28"/>
      <c r="F2" s="28"/>
      <c r="G2" s="28"/>
      <c r="H2" s="31" t="s">
        <v>43</v>
      </c>
      <c r="I2" s="28"/>
      <c r="J2" s="28"/>
      <c r="K2" s="28"/>
      <c r="L2" s="28"/>
    </row>
    <row r="3" spans="1:12" ht="14" thickBot="1" x14ac:dyDescent="0.2">
      <c r="A3" s="28"/>
      <c r="B3" s="28"/>
      <c r="C3" s="28"/>
      <c r="D3" s="28"/>
      <c r="E3" s="28"/>
      <c r="F3" s="28"/>
      <c r="G3" s="28"/>
      <c r="H3" s="112" t="s">
        <v>79</v>
      </c>
      <c r="I3" s="113"/>
      <c r="J3" s="30" t="s">
        <v>10</v>
      </c>
      <c r="K3" s="7">
        <f ca="1">INDEX(INDIRECT("Medium_List"),MATCH(H3,INDIRECT("Medium_List[Medium]"),0),2)</f>
        <v>0.746</v>
      </c>
      <c r="L3" s="32" t="s">
        <v>44</v>
      </c>
    </row>
    <row r="4" spans="1:12" x14ac:dyDescent="0.1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x14ac:dyDescent="0.1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x14ac:dyDescent="0.1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x14ac:dyDescent="0.1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x14ac:dyDescent="0.15">
      <c r="A8" s="28"/>
      <c r="B8" s="28"/>
      <c r="C8" s="123" t="s">
        <v>46</v>
      </c>
      <c r="D8" s="124"/>
      <c r="E8" s="94">
        <v>2530</v>
      </c>
      <c r="F8" s="28" t="s">
        <v>36</v>
      </c>
      <c r="G8" s="28"/>
      <c r="H8" s="28"/>
      <c r="I8" s="28"/>
      <c r="J8" s="28"/>
      <c r="K8" s="28"/>
      <c r="L8" s="28"/>
    </row>
    <row r="9" spans="1:12" x14ac:dyDescent="0.15">
      <c r="A9" s="28"/>
      <c r="B9" s="28"/>
      <c r="C9" s="123" t="s">
        <v>51</v>
      </c>
      <c r="D9" s="124"/>
      <c r="E9" s="94">
        <v>400</v>
      </c>
      <c r="F9" s="28" t="s">
        <v>27</v>
      </c>
      <c r="G9" s="28"/>
      <c r="H9" s="28"/>
      <c r="I9" s="28"/>
      <c r="J9" s="28"/>
      <c r="K9" s="28"/>
      <c r="L9" s="28"/>
    </row>
    <row r="10" spans="1:12" x14ac:dyDescent="0.15">
      <c r="A10" s="28"/>
      <c r="B10" s="28"/>
      <c r="C10" s="125"/>
      <c r="D10" s="125"/>
      <c r="E10" s="34"/>
      <c r="F10" s="28"/>
      <c r="G10" s="28"/>
      <c r="H10" s="28"/>
      <c r="I10" s="33"/>
      <c r="J10" s="32"/>
      <c r="K10" s="28"/>
      <c r="L10" s="28"/>
    </row>
    <row r="11" spans="1:12" x14ac:dyDescent="0.1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2" spans="1:12" x14ac:dyDescent="0.1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x14ac:dyDescent="0.1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x14ac:dyDescent="0.1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</row>
    <row r="15" spans="1:12" x14ac:dyDescent="0.15">
      <c r="A15" s="28"/>
      <c r="B15" s="28"/>
      <c r="C15" s="123" t="s">
        <v>47</v>
      </c>
      <c r="D15" s="123"/>
      <c r="E15" s="123"/>
      <c r="F15" s="3">
        <v>38841434.893133499</v>
      </c>
      <c r="G15" s="28" t="s">
        <v>38</v>
      </c>
      <c r="H15" s="28"/>
      <c r="I15" s="28" t="s">
        <v>48</v>
      </c>
      <c r="J15" s="28"/>
      <c r="K15" s="34">
        <f>dynamFragRearVel</f>
        <v>1856.7227184624105</v>
      </c>
      <c r="L15" s="28" t="s">
        <v>27</v>
      </c>
    </row>
    <row r="16" spans="1:12" x14ac:dyDescent="0.15">
      <c r="A16" s="28"/>
      <c r="B16" s="28"/>
      <c r="C16" s="28"/>
      <c r="D16" s="28"/>
      <c r="E16" s="28"/>
      <c r="F16" s="33"/>
      <c r="G16" s="28"/>
      <c r="H16" s="28"/>
      <c r="I16" s="28" t="s">
        <v>49</v>
      </c>
      <c r="J16" s="28"/>
      <c r="K16" s="34">
        <f>criticalV</f>
        <v>381.08819945996078</v>
      </c>
      <c r="L16" s="28" t="s">
        <v>27</v>
      </c>
    </row>
    <row r="17" spans="1:12" x14ac:dyDescent="0.15">
      <c r="A17" s="28"/>
      <c r="B17" s="28"/>
      <c r="C17" s="123" t="s">
        <v>50</v>
      </c>
      <c r="D17" s="123"/>
      <c r="E17" s="123"/>
      <c r="F17" s="3">
        <v>11.017142857142858</v>
      </c>
      <c r="G17" s="28" t="s">
        <v>38</v>
      </c>
      <c r="H17" s="28"/>
      <c r="I17" s="28"/>
      <c r="J17" s="28"/>
      <c r="K17" s="28"/>
      <c r="L17" s="28"/>
    </row>
    <row r="18" spans="1:12" x14ac:dyDescent="0.1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</row>
    <row r="19" spans="1:12" x14ac:dyDescent="0.1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2" x14ac:dyDescent="0.15">
      <c r="A20" s="28"/>
      <c r="B20" s="28"/>
      <c r="C20" s="28"/>
      <c r="D20" s="123" t="s">
        <v>45</v>
      </c>
      <c r="E20" s="124"/>
      <c r="F20" s="3">
        <v>751057.40708580543</v>
      </c>
      <c r="G20" s="28" t="s">
        <v>27</v>
      </c>
      <c r="H20" s="28"/>
      <c r="I20" s="28"/>
      <c r="J20" s="28"/>
      <c r="K20" s="28"/>
      <c r="L20" s="28"/>
    </row>
    <row r="21" spans="1:12" x14ac:dyDescent="0.1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2" x14ac:dyDescent="0.1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1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</sheetData>
  <mergeCells count="7">
    <mergeCell ref="H3:I3"/>
    <mergeCell ref="C8:D8"/>
    <mergeCell ref="C9:D9"/>
    <mergeCell ref="D20:E20"/>
    <mergeCell ref="C10:D10"/>
    <mergeCell ref="C15:E15"/>
    <mergeCell ref="C17:E17"/>
  </mergeCells>
  <phoneticPr fontId="0" type="noConversion"/>
  <dataValidations count="1">
    <dataValidation type="list" allowBlank="1" showInputMessage="1" showErrorMessage="1" sqref="H3" xr:uid="{00000000-0002-0000-0300-000000000000}">
      <formula1>INDIRECT("Medium_List[Medium]")</formula1>
    </dataValidation>
  </dataValidations>
  <pageMargins left="0.75" right="0.75" top="1" bottom="1" header="0.5" footer="0.5"/>
  <pageSetup paperSize="9" orientation="portrait" horizontalDpi="4294967293" verticalDpi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calculateButton">
              <controlPr defaultSize="0" print="0" autoFill="0" autoPict="0" macro="[0]!calculate_Click">
                <anchor moveWithCells="1">
                  <from>
                    <xdr:col>0</xdr:col>
                    <xdr:colOff>165100</xdr:colOff>
                    <xdr:row>13</xdr:row>
                    <xdr:rowOff>152400</xdr:rowOff>
                  </from>
                  <to>
                    <xdr:col>2</xdr:col>
                    <xdr:colOff>279400</xdr:colOff>
                    <xdr:row>17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initVel">
              <controlPr defaultSize="0" autoFill="0" autoLine="0" autoPict="0" macro="[0]!initVel_Click">
                <anchor moveWithCells="1">
                  <from>
                    <xdr:col>1</xdr:col>
                    <xdr:colOff>25400</xdr:colOff>
                    <xdr:row>1</xdr:row>
                    <xdr:rowOff>101600</xdr:rowOff>
                  </from>
                  <to>
                    <xdr:col>2</xdr:col>
                    <xdr:colOff>406400</xdr:colOff>
                    <xdr:row>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slRange">
              <controlPr defaultSize="0" autoFill="0" autoLine="0" autoPict="0" macro="[0]!slRange_Click">
                <anchor moveWithCells="1">
                  <from>
                    <xdr:col>1</xdr:col>
                    <xdr:colOff>25400</xdr:colOff>
                    <xdr:row>3</xdr:row>
                    <xdr:rowOff>0</xdr:rowOff>
                  </from>
                  <to>
                    <xdr:col>2</xdr:col>
                    <xdr:colOff>406400</xdr:colOff>
                    <xdr:row>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6" name="finalVel">
              <controlPr defaultSize="0" autoFill="0" autoLine="0" autoPict="0" macro="[0]!finalVel_Click">
                <anchor moveWithCells="1">
                  <from>
                    <xdr:col>1</xdr:col>
                    <xdr:colOff>25400</xdr:colOff>
                    <xdr:row>4</xdr:row>
                    <xdr:rowOff>76200</xdr:rowOff>
                  </from>
                  <to>
                    <xdr:col>2</xdr:col>
                    <xdr:colOff>406400</xdr:colOff>
                    <xdr:row>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Group Box 6">
              <controlPr defaultSize="0" autoFill="0" autoPict="0">
                <anchor moveWithCells="1">
                  <from>
                    <xdr:col>1</xdr:col>
                    <xdr:colOff>12700</xdr:colOff>
                    <xdr:row>1</xdr:row>
                    <xdr:rowOff>12700</xdr:rowOff>
                  </from>
                  <to>
                    <xdr:col>3</xdr:col>
                    <xdr:colOff>12700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8" name="gotoPrint">
              <controlPr defaultSize="0" print="0" autoFill="0" autoPict="0" macro="[0]!gotoPrint_Click">
                <anchor moveWithCells="1">
                  <from>
                    <xdr:col>8</xdr:col>
                    <xdr:colOff>317500</xdr:colOff>
                    <xdr:row>7</xdr:row>
                    <xdr:rowOff>127000</xdr:rowOff>
                  </from>
                  <to>
                    <xdr:col>9</xdr:col>
                    <xdr:colOff>292100</xdr:colOff>
                    <xdr:row>9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M23"/>
  <sheetViews>
    <sheetView workbookViewId="0">
      <selection activeCell="F25" sqref="F25"/>
    </sheetView>
  </sheetViews>
  <sheetFormatPr baseColWidth="10" defaultColWidth="8.83203125" defaultRowHeight="13" x14ac:dyDescent="0.15"/>
  <cols>
    <col min="4" max="4" width="10.5" bestFit="1" customWidth="1"/>
  </cols>
  <sheetData>
    <row r="1" spans="1:13" x14ac:dyDescent="0.1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06"/>
    </row>
    <row r="2" spans="1:13" x14ac:dyDescent="0.15">
      <c r="A2" s="68" t="s">
        <v>52</v>
      </c>
      <c r="B2" s="68"/>
      <c r="C2" s="10">
        <f>massCase</f>
        <v>1016.7734704960011</v>
      </c>
      <c r="D2" s="68" t="s">
        <v>40</v>
      </c>
      <c r="E2" s="68"/>
      <c r="F2" s="68"/>
      <c r="G2" s="68" t="s">
        <v>53</v>
      </c>
      <c r="H2" s="68"/>
      <c r="I2" s="68"/>
      <c r="J2" s="104">
        <f>L2*0.145038</f>
        <v>1.45038</v>
      </c>
      <c r="K2" s="68" t="s">
        <v>54</v>
      </c>
      <c r="L2" s="2">
        <v>10</v>
      </c>
      <c r="M2" s="107" t="s">
        <v>190</v>
      </c>
    </row>
    <row r="3" spans="1:13" x14ac:dyDescent="0.15">
      <c r="A3" s="68" t="s">
        <v>55</v>
      </c>
      <c r="B3" s="68"/>
      <c r="C3" s="10">
        <f>massHE</f>
        <v>700.2062625599998</v>
      </c>
      <c r="D3" s="68" t="s">
        <v>40</v>
      </c>
      <c r="E3" s="68"/>
      <c r="F3" s="68"/>
      <c r="G3" s="68" t="s">
        <v>56</v>
      </c>
      <c r="H3" s="68"/>
      <c r="I3" s="68"/>
      <c r="J3" s="2">
        <v>249</v>
      </c>
      <c r="K3" s="68" t="s">
        <v>57</v>
      </c>
      <c r="L3" s="68"/>
      <c r="M3" s="106"/>
    </row>
    <row r="4" spans="1:13" x14ac:dyDescent="0.1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106"/>
    </row>
    <row r="5" spans="1:13" x14ac:dyDescent="0.15">
      <c r="A5" s="68" t="s">
        <v>58</v>
      </c>
      <c r="B5" s="68"/>
      <c r="C5" s="68"/>
      <c r="D5" s="68"/>
      <c r="E5" s="68"/>
      <c r="F5" s="68"/>
      <c r="G5" s="68" t="s">
        <v>59</v>
      </c>
      <c r="H5" s="8">
        <f>C2/C3</f>
        <v>1.4521056506672918</v>
      </c>
      <c r="I5" s="68"/>
      <c r="J5" s="68"/>
      <c r="K5" s="68"/>
      <c r="L5" s="68"/>
      <c r="M5" s="106"/>
    </row>
    <row r="6" spans="1:13" x14ac:dyDescent="0.15">
      <c r="A6" s="68"/>
      <c r="B6" s="68"/>
      <c r="C6" s="68"/>
      <c r="D6" s="68"/>
      <c r="E6" s="68"/>
      <c r="F6" s="68"/>
      <c r="G6" s="68" t="s">
        <v>60</v>
      </c>
      <c r="H6" s="8">
        <f>IF(H5&gt;1,1,H5)</f>
        <v>1</v>
      </c>
      <c r="I6" s="68"/>
      <c r="J6" s="68"/>
      <c r="K6" s="68"/>
      <c r="L6" s="68"/>
      <c r="M6" s="106"/>
    </row>
    <row r="7" spans="1:13" x14ac:dyDescent="0.15">
      <c r="A7" s="68"/>
      <c r="B7" s="68"/>
      <c r="C7" s="68"/>
      <c r="D7" s="68"/>
      <c r="E7" s="68"/>
      <c r="F7" s="68"/>
      <c r="G7" s="68" t="s">
        <v>61</v>
      </c>
      <c r="H7" s="10">
        <f>massHE</f>
        <v>700.2062625599998</v>
      </c>
      <c r="I7" s="68"/>
      <c r="J7" s="68"/>
      <c r="K7" s="68"/>
      <c r="L7" s="68"/>
      <c r="M7" s="106"/>
    </row>
    <row r="8" spans="1:13" x14ac:dyDescent="0.15">
      <c r="A8" s="68"/>
      <c r="B8" s="68"/>
      <c r="C8" s="68"/>
      <c r="D8" s="68"/>
      <c r="E8" s="68"/>
      <c r="F8" s="68"/>
      <c r="G8" s="68" t="s">
        <v>62</v>
      </c>
      <c r="H8" s="68"/>
      <c r="I8" s="68"/>
      <c r="J8" s="10">
        <f>1.19*H7*(1+H5*(1-H6))/(1+H5)</f>
        <v>339.80813682299885</v>
      </c>
      <c r="K8" s="68" t="s">
        <v>40</v>
      </c>
      <c r="L8" s="68"/>
      <c r="M8" s="106"/>
    </row>
    <row r="9" spans="1:13" x14ac:dyDescent="0.15">
      <c r="A9" s="68" t="s">
        <v>14</v>
      </c>
      <c r="B9" s="68"/>
      <c r="C9" s="68"/>
      <c r="D9" s="7" t="str">
        <f>'static warhead'!B17</f>
        <v>PBXN-109</v>
      </c>
      <c r="E9" s="68"/>
      <c r="F9" s="68"/>
      <c r="G9" s="68"/>
      <c r="H9" s="68"/>
      <c r="I9" s="68"/>
      <c r="J9" s="68"/>
      <c r="K9" s="68"/>
      <c r="L9" s="68"/>
      <c r="M9" s="106"/>
    </row>
    <row r="10" spans="1:13" x14ac:dyDescent="0.15">
      <c r="A10" s="68" t="s">
        <v>63</v>
      </c>
      <c r="B10" s="68"/>
      <c r="C10" s="68"/>
      <c r="D10" s="7">
        <f ca="1">INDEX(INDIRECT("Explosive_List"),MATCH('static warhead'!B17,INDIRECT("Explosive_List[Explosive]"),0),5)</f>
        <v>1.66</v>
      </c>
      <c r="E10" s="68"/>
      <c r="F10" s="68"/>
      <c r="G10" s="68"/>
      <c r="H10" s="68"/>
      <c r="I10" s="68"/>
      <c r="J10" s="68"/>
      <c r="K10" s="68"/>
      <c r="L10" s="68"/>
      <c r="M10" s="106"/>
    </row>
    <row r="11" spans="1:13" x14ac:dyDescent="0.15">
      <c r="A11" s="68" t="s">
        <v>64</v>
      </c>
      <c r="B11" s="68"/>
      <c r="C11" s="68"/>
      <c r="D11" s="10">
        <f ca="1">D10*J8</f>
        <v>564.08150712617805</v>
      </c>
      <c r="E11" s="68" t="s">
        <v>40</v>
      </c>
      <c r="F11" s="68"/>
      <c r="G11" s="68"/>
      <c r="H11" s="68"/>
      <c r="I11" s="68"/>
      <c r="J11" s="68"/>
      <c r="K11" s="68"/>
      <c r="L11" s="68"/>
      <c r="M11" s="106"/>
    </row>
    <row r="12" spans="1:13" x14ac:dyDescent="0.1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106"/>
    </row>
    <row r="13" spans="1:13" x14ac:dyDescent="0.15">
      <c r="A13" s="74" t="s">
        <v>65</v>
      </c>
      <c r="B13" s="75">
        <f>J3</f>
        <v>249</v>
      </c>
      <c r="C13" s="68" t="s">
        <v>66</v>
      </c>
      <c r="D13" s="68"/>
      <c r="E13" s="68"/>
      <c r="F13" s="68"/>
      <c r="G13" s="3">
        <f ca="1">833.48*(B13/D11^0.3333)^-1.8492</f>
        <v>1.5332073108442357</v>
      </c>
      <c r="H13" s="68" t="s">
        <v>54</v>
      </c>
      <c r="I13" s="68"/>
      <c r="J13" s="68"/>
      <c r="K13" s="68"/>
      <c r="L13" s="68"/>
      <c r="M13" s="106"/>
    </row>
    <row r="14" spans="1:13" x14ac:dyDescent="0.15">
      <c r="A14" s="68" t="s">
        <v>67</v>
      </c>
      <c r="B14" s="68"/>
      <c r="C14" s="105">
        <f>J2</f>
        <v>1.45038</v>
      </c>
      <c r="D14" s="68" t="s">
        <v>54</v>
      </c>
      <c r="E14" s="68" t="s">
        <v>68</v>
      </c>
      <c r="F14" s="68"/>
      <c r="G14" s="3">
        <f ca="1">36.793*C14^-0.5344*D11^0.3333</f>
        <v>249.16759930323511</v>
      </c>
      <c r="H14" s="68" t="s">
        <v>57</v>
      </c>
      <c r="I14" s="68"/>
      <c r="J14" s="68"/>
      <c r="K14" s="68"/>
      <c r="L14" s="68"/>
      <c r="M14" s="106"/>
    </row>
    <row r="15" spans="1:13" x14ac:dyDescent="0.1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106"/>
    </row>
    <row r="16" spans="1:13" x14ac:dyDescent="0.1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106"/>
    </row>
    <row r="17" spans="1:13" x14ac:dyDescent="0.15">
      <c r="A17" s="68" t="s">
        <v>69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106"/>
    </row>
    <row r="18" spans="1:13" x14ac:dyDescent="0.15">
      <c r="A18" s="68" t="s">
        <v>70</v>
      </c>
      <c r="B18" s="8">
        <f>36.793*J2^-0.5344</f>
        <v>30.16263823126118</v>
      </c>
      <c r="C18" s="68" t="s">
        <v>71</v>
      </c>
      <c r="D18" s="68"/>
      <c r="E18" s="68"/>
      <c r="F18" s="68"/>
      <c r="G18" s="68"/>
      <c r="H18" s="68"/>
      <c r="I18" s="68"/>
      <c r="J18" s="68"/>
      <c r="K18" s="68"/>
      <c r="L18" s="68"/>
      <c r="M18" s="106"/>
    </row>
    <row r="19" spans="1:13" x14ac:dyDescent="0.1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106"/>
    </row>
    <row r="20" spans="1:13" x14ac:dyDescent="0.15">
      <c r="A20" s="68" t="s">
        <v>72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106"/>
    </row>
    <row r="21" spans="1:13" x14ac:dyDescent="0.15">
      <c r="A21" s="68" t="s">
        <v>73</v>
      </c>
      <c r="B21" s="10">
        <f>(J3/B18)^3</f>
        <v>562.58748333689903</v>
      </c>
      <c r="C21" s="68" t="s">
        <v>74</v>
      </c>
      <c r="D21" s="68"/>
      <c r="E21" s="68"/>
      <c r="F21" s="68"/>
      <c r="G21" s="68"/>
      <c r="H21" s="68"/>
      <c r="I21" s="68"/>
      <c r="J21" s="68"/>
      <c r="K21" s="68"/>
      <c r="L21" s="68"/>
      <c r="M21" s="106"/>
    </row>
    <row r="22" spans="1:13" x14ac:dyDescent="0.1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106"/>
    </row>
    <row r="23" spans="1:13" x14ac:dyDescent="0.15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106"/>
    </row>
  </sheetData>
  <phoneticPr fontId="0" type="noConversion"/>
  <pageMargins left="0.75" right="0.75" top="1" bottom="1" header="0.5" footer="0.5"/>
  <pageSetup paperSize="9" orientation="portrait" horizontalDpi="0" verticalDpi="0"/>
  <headerFooter alignWithMargins="0"/>
  <drawing r:id="rId1"/>
  <legacyDrawing r:id="rId2"/>
  <oleObjects>
    <mc:AlternateContent xmlns:mc="http://schemas.openxmlformats.org/markup-compatibility/2006">
      <mc:Choice Requires="x14">
        <oleObject progId="Equation.3" shapeId="8193" r:id="rId3">
          <objectPr defaultSize="0" autoPict="0" r:id="rId4">
            <anchor moveWithCells="1">
              <from>
                <xdr:col>2</xdr:col>
                <xdr:colOff>76200</xdr:colOff>
                <xdr:row>4</xdr:row>
                <xdr:rowOff>0</xdr:rowOff>
              </from>
              <to>
                <xdr:col>4</xdr:col>
                <xdr:colOff>177800</xdr:colOff>
                <xdr:row>6</xdr:row>
                <xdr:rowOff>152400</xdr:rowOff>
              </to>
            </anchor>
          </objectPr>
        </oleObject>
      </mc:Choice>
      <mc:Fallback>
        <oleObject progId="Equation.3" shapeId="8193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S65"/>
  <sheetViews>
    <sheetView tabSelected="1" zoomScale="85" zoomScaleNormal="85" workbookViewId="0">
      <selection activeCell="H29" sqref="H29"/>
    </sheetView>
  </sheetViews>
  <sheetFormatPr baseColWidth="10" defaultColWidth="8.83203125" defaultRowHeight="13" x14ac:dyDescent="0.15"/>
  <cols>
    <col min="1" max="1" width="8.83203125" customWidth="1"/>
    <col min="2" max="2" width="19.5" customWidth="1"/>
    <col min="3" max="3" width="17.83203125" customWidth="1"/>
    <col min="4" max="4" width="8.83203125" customWidth="1"/>
    <col min="5" max="5" width="18.33203125" customWidth="1"/>
    <col min="6" max="6" width="18.1640625" customWidth="1"/>
    <col min="7" max="7" width="11.5" customWidth="1"/>
    <col min="8" max="8" width="14.5" customWidth="1"/>
    <col min="9" max="9" width="12" customWidth="1"/>
    <col min="10" max="10" width="8.6640625" customWidth="1"/>
    <col min="11" max="11" width="18.6640625" bestFit="1" customWidth="1"/>
    <col min="12" max="12" width="5.33203125" customWidth="1"/>
    <col min="13" max="13" width="8.6640625" customWidth="1"/>
    <col min="14" max="14" width="12.5" bestFit="1" customWidth="1"/>
    <col min="15" max="15" width="17.83203125" customWidth="1"/>
    <col min="16" max="16" width="8.6640625" customWidth="1"/>
    <col min="17" max="17" width="16.5" bestFit="1" customWidth="1"/>
    <col min="19" max="19" width="17.33203125" bestFit="1" customWidth="1"/>
  </cols>
  <sheetData>
    <row r="1" spans="1:19" x14ac:dyDescent="0.15">
      <c r="A1" s="1" t="s">
        <v>75</v>
      </c>
      <c r="B1">
        <f ca="1">MATCH('static warhead'!B14,INDIRECT("Fragment_Material[Fragment Material]"),0)</f>
        <v>3</v>
      </c>
      <c r="E1" s="97">
        <f ca="1">MATCH('static warhead'!B17,INDIRECT("Explosive_List[Explosive]"),0)</f>
        <v>12</v>
      </c>
      <c r="K1" s="97">
        <f ca="1">MATCH('Fragment Effectiveness'!H4,INDIRECT("Fragment_Shape[Fragment Shape]"),0)</f>
        <v>3</v>
      </c>
      <c r="L1" s="97"/>
      <c r="N1">
        <f ca="1">MATCH(Final!H3,INDIRECT("Medium_List[Medium]"),0)</f>
        <v>3</v>
      </c>
    </row>
    <row r="2" spans="1:19" x14ac:dyDescent="0.15">
      <c r="B2" s="99" t="s">
        <v>161</v>
      </c>
      <c r="C2" s="4" t="s">
        <v>163</v>
      </c>
      <c r="E2" s="4" t="s">
        <v>14</v>
      </c>
      <c r="F2" s="96" t="s">
        <v>164</v>
      </c>
      <c r="G2" s="96" t="s">
        <v>165</v>
      </c>
      <c r="H2" s="96" t="s">
        <v>166</v>
      </c>
      <c r="I2" s="4" t="s">
        <v>90</v>
      </c>
      <c r="K2" s="4" t="s">
        <v>162</v>
      </c>
      <c r="L2" s="4" t="s">
        <v>82</v>
      </c>
      <c r="N2" s="4" t="s">
        <v>76</v>
      </c>
      <c r="O2" s="4" t="s">
        <v>163</v>
      </c>
      <c r="Q2" s="4" t="s">
        <v>169</v>
      </c>
      <c r="S2" s="4" t="s">
        <v>88</v>
      </c>
    </row>
    <row r="3" spans="1:19" x14ac:dyDescent="0.15">
      <c r="B3" s="100" t="s">
        <v>167</v>
      </c>
      <c r="C3" s="97">
        <v>2700</v>
      </c>
      <c r="E3" s="103" t="s">
        <v>175</v>
      </c>
      <c r="F3" s="5">
        <v>1500</v>
      </c>
      <c r="G3" s="5">
        <v>6290</v>
      </c>
      <c r="H3" s="5">
        <v>2117</v>
      </c>
      <c r="I3">
        <v>0.91</v>
      </c>
      <c r="K3" t="s">
        <v>84</v>
      </c>
      <c r="L3">
        <v>0.9</v>
      </c>
      <c r="N3" t="s">
        <v>77</v>
      </c>
      <c r="O3">
        <v>1.206</v>
      </c>
      <c r="Q3">
        <v>1</v>
      </c>
      <c r="S3" s="9">
        <v>1</v>
      </c>
    </row>
    <row r="4" spans="1:19" x14ac:dyDescent="0.15">
      <c r="B4" s="101" t="s">
        <v>184</v>
      </c>
      <c r="C4" s="97">
        <v>7860</v>
      </c>
      <c r="E4" s="103" t="s">
        <v>176</v>
      </c>
      <c r="F4" s="5">
        <v>1550</v>
      </c>
      <c r="G4" s="5">
        <v>6570</v>
      </c>
      <c r="H4" s="5">
        <v>2212</v>
      </c>
      <c r="I4">
        <v>1.1000000000000001</v>
      </c>
      <c r="K4" t="s">
        <v>86</v>
      </c>
      <c r="L4">
        <v>1.6</v>
      </c>
      <c r="N4" t="s">
        <v>78</v>
      </c>
      <c r="O4">
        <v>1.0980000000000001</v>
      </c>
      <c r="Q4" t="s">
        <v>97</v>
      </c>
      <c r="S4" t="s">
        <v>91</v>
      </c>
    </row>
    <row r="5" spans="1:19" x14ac:dyDescent="0.15">
      <c r="B5" s="98" t="s">
        <v>168</v>
      </c>
      <c r="C5" s="97">
        <v>19280</v>
      </c>
      <c r="E5" s="103" t="s">
        <v>177</v>
      </c>
      <c r="F5" s="5">
        <v>920</v>
      </c>
      <c r="G5" s="5">
        <v>4200</v>
      </c>
      <c r="H5" s="5">
        <v>1414</v>
      </c>
      <c r="I5">
        <v>0.74</v>
      </c>
      <c r="K5" t="s">
        <v>87</v>
      </c>
      <c r="L5">
        <v>1.1000000000000001</v>
      </c>
      <c r="N5" t="s">
        <v>79</v>
      </c>
      <c r="O5">
        <v>0.746</v>
      </c>
      <c r="Q5" t="s">
        <v>99</v>
      </c>
      <c r="S5" t="s">
        <v>93</v>
      </c>
    </row>
    <row r="6" spans="1:19" x14ac:dyDescent="0.15">
      <c r="B6" s="97" t="s">
        <v>185</v>
      </c>
      <c r="C6" s="97">
        <v>17000</v>
      </c>
      <c r="E6" s="57" t="s">
        <v>102</v>
      </c>
      <c r="F6" s="5">
        <v>1600</v>
      </c>
      <c r="G6" s="5">
        <v>8180</v>
      </c>
      <c r="H6" s="62">
        <f>G6/2.97</f>
        <v>2754.2087542087538</v>
      </c>
      <c r="I6" s="69">
        <v>1.1399999999999999</v>
      </c>
      <c r="N6" t="s">
        <v>80</v>
      </c>
      <c r="O6">
        <v>0.42499999999999999</v>
      </c>
      <c r="Q6" t="s">
        <v>101</v>
      </c>
    </row>
    <row r="7" spans="1:19" x14ac:dyDescent="0.15">
      <c r="B7" t="s">
        <v>186</v>
      </c>
      <c r="C7" s="97">
        <v>19050</v>
      </c>
      <c r="E7" s="57" t="s">
        <v>103</v>
      </c>
      <c r="F7" s="5">
        <v>1720</v>
      </c>
      <c r="G7" s="5">
        <v>7980</v>
      </c>
      <c r="H7" s="5">
        <v>2720</v>
      </c>
      <c r="I7">
        <v>1.1299999999999999</v>
      </c>
      <c r="N7" t="s">
        <v>81</v>
      </c>
      <c r="O7">
        <v>9.1999999999999998E-2</v>
      </c>
    </row>
    <row r="8" spans="1:19" x14ac:dyDescent="0.15">
      <c r="B8" s="97" t="s">
        <v>187</v>
      </c>
      <c r="C8" s="97">
        <v>4510</v>
      </c>
      <c r="E8" s="103" t="s">
        <v>178</v>
      </c>
      <c r="F8" s="5">
        <v>1890</v>
      </c>
      <c r="G8" s="5">
        <v>9110</v>
      </c>
      <c r="H8" s="5">
        <v>2800</v>
      </c>
      <c r="I8">
        <v>1.45</v>
      </c>
      <c r="N8" t="s">
        <v>83</v>
      </c>
      <c r="O8">
        <v>1.9E-2</v>
      </c>
    </row>
    <row r="9" spans="1:19" x14ac:dyDescent="0.15">
      <c r="B9" s="97" t="s">
        <v>188</v>
      </c>
      <c r="C9" s="97">
        <v>7100</v>
      </c>
      <c r="E9" t="s">
        <v>95</v>
      </c>
      <c r="F9" s="5">
        <v>1900</v>
      </c>
      <c r="G9" s="5">
        <v>8400</v>
      </c>
      <c r="H9" s="5">
        <v>2820</v>
      </c>
      <c r="I9" s="69">
        <v>1.1499999999999999</v>
      </c>
      <c r="N9" t="s">
        <v>85</v>
      </c>
      <c r="O9">
        <v>1000</v>
      </c>
    </row>
    <row r="10" spans="1:19" x14ac:dyDescent="0.15">
      <c r="B10" s="97" t="s">
        <v>189</v>
      </c>
      <c r="C10" s="97">
        <v>2790</v>
      </c>
      <c r="E10" t="s">
        <v>98</v>
      </c>
      <c r="F10" s="5">
        <v>1850</v>
      </c>
      <c r="G10" s="5">
        <v>8000</v>
      </c>
      <c r="H10" s="5">
        <v>2960</v>
      </c>
      <c r="I10" s="69">
        <v>1.1299999999999999</v>
      </c>
    </row>
    <row r="11" spans="1:19" x14ac:dyDescent="0.15">
      <c r="E11" s="103" t="s">
        <v>179</v>
      </c>
      <c r="F11" s="5">
        <v>1835</v>
      </c>
      <c r="G11" s="5">
        <v>8650</v>
      </c>
      <c r="H11" s="5">
        <v>2970</v>
      </c>
      <c r="I11">
        <v>1.25</v>
      </c>
    </row>
    <row r="12" spans="1:19" x14ac:dyDescent="0.15">
      <c r="E12" s="103" t="s">
        <v>180</v>
      </c>
      <c r="F12" s="5">
        <v>1840</v>
      </c>
      <c r="G12" s="5">
        <v>8800</v>
      </c>
      <c r="H12" s="5">
        <v>2900</v>
      </c>
      <c r="I12">
        <v>1.82</v>
      </c>
    </row>
    <row r="13" spans="1:19" x14ac:dyDescent="0.15">
      <c r="E13" s="103" t="s">
        <v>181</v>
      </c>
      <c r="F13" s="5">
        <v>1885</v>
      </c>
      <c r="G13" s="5">
        <v>7670</v>
      </c>
      <c r="H13" s="5">
        <v>2377</v>
      </c>
      <c r="I13">
        <v>1.1100000000000001</v>
      </c>
    </row>
    <row r="14" spans="1:19" x14ac:dyDescent="0.15">
      <c r="E14" s="57" t="s">
        <v>105</v>
      </c>
      <c r="F14" s="5">
        <v>1700</v>
      </c>
      <c r="G14" s="5">
        <v>7480</v>
      </c>
      <c r="H14" s="5">
        <v>2560</v>
      </c>
      <c r="I14" s="69">
        <v>1.66</v>
      </c>
    </row>
    <row r="15" spans="1:19" x14ac:dyDescent="0.15">
      <c r="E15" s="103" t="s">
        <v>182</v>
      </c>
      <c r="F15" s="5">
        <v>1810</v>
      </c>
      <c r="G15" s="5">
        <v>8720</v>
      </c>
      <c r="H15" s="5">
        <v>2936</v>
      </c>
      <c r="I15">
        <v>1.6</v>
      </c>
    </row>
    <row r="16" spans="1:19" x14ac:dyDescent="0.15">
      <c r="E16" s="103" t="s">
        <v>183</v>
      </c>
      <c r="F16" s="5">
        <v>1660</v>
      </c>
      <c r="G16" s="5">
        <v>7520</v>
      </c>
      <c r="H16" s="5">
        <v>2531</v>
      </c>
      <c r="I16">
        <v>1.33</v>
      </c>
    </row>
    <row r="17" spans="5:9" x14ac:dyDescent="0.15">
      <c r="E17" t="s">
        <v>94</v>
      </c>
      <c r="F17" s="5">
        <v>1750</v>
      </c>
      <c r="G17" s="5">
        <v>7500</v>
      </c>
      <c r="H17" s="5">
        <v>2800</v>
      </c>
      <c r="I17">
        <v>1.1299999999999999</v>
      </c>
    </row>
    <row r="18" spans="5:9" x14ac:dyDescent="0.15">
      <c r="E18" t="s">
        <v>96</v>
      </c>
      <c r="F18" s="5">
        <v>1800</v>
      </c>
      <c r="G18" s="5">
        <v>7900</v>
      </c>
      <c r="H18" s="5">
        <v>2950</v>
      </c>
      <c r="I18" s="69">
        <v>1.1399999999999999</v>
      </c>
    </row>
    <row r="19" spans="5:9" x14ac:dyDescent="0.15">
      <c r="E19" t="s">
        <v>100</v>
      </c>
      <c r="F19" s="5">
        <v>1750</v>
      </c>
      <c r="G19" s="5">
        <v>8100</v>
      </c>
      <c r="H19" s="5">
        <v>3000</v>
      </c>
      <c r="I19" s="69">
        <v>1.25</v>
      </c>
    </row>
    <row r="20" spans="5:9" x14ac:dyDescent="0.15">
      <c r="E20" t="s">
        <v>92</v>
      </c>
      <c r="F20" s="5">
        <v>1700</v>
      </c>
      <c r="G20" s="5">
        <v>7000</v>
      </c>
      <c r="H20" s="5">
        <v>2600</v>
      </c>
      <c r="I20">
        <v>1</v>
      </c>
    </row>
    <row r="21" spans="5:9" x14ac:dyDescent="0.15">
      <c r="E21" t="s">
        <v>106</v>
      </c>
      <c r="F21" s="70">
        <v>1900</v>
      </c>
      <c r="G21" s="70">
        <v>7400</v>
      </c>
      <c r="H21" s="71">
        <f>G21/2.97</f>
        <v>2491.5824915824915</v>
      </c>
      <c r="I21">
        <v>1.3</v>
      </c>
    </row>
    <row r="22" spans="5:9" x14ac:dyDescent="0.15">
      <c r="E22" s="57" t="s">
        <v>104</v>
      </c>
      <c r="F22" s="5">
        <v>1720</v>
      </c>
      <c r="G22" s="5">
        <v>6520</v>
      </c>
      <c r="H22" s="5">
        <v>2320</v>
      </c>
      <c r="I22">
        <v>0.9</v>
      </c>
    </row>
    <row r="23" spans="5:9" x14ac:dyDescent="0.15">
      <c r="E23" s="103" t="s">
        <v>192</v>
      </c>
      <c r="F23" s="5">
        <v>1730</v>
      </c>
      <c r="G23" s="5">
        <v>7300</v>
      </c>
      <c r="H23" s="5">
        <v>2290</v>
      </c>
    </row>
    <row r="24" spans="5:9" x14ac:dyDescent="0.15">
      <c r="E24" s="103" t="s">
        <v>191</v>
      </c>
      <c r="F24" s="5">
        <v>1750</v>
      </c>
      <c r="G24" s="5">
        <v>7215</v>
      </c>
      <c r="H24" s="62">
        <f>Explosive_List[[#This Row],[VoD (m/s)]]/2.97</f>
        <v>2429.2929292929293</v>
      </c>
    </row>
    <row r="25" spans="5:9" x14ac:dyDescent="0.15">
      <c r="E25" s="103" t="s">
        <v>193</v>
      </c>
      <c r="F25" s="5">
        <v>1750</v>
      </c>
      <c r="G25" s="5">
        <v>6976</v>
      </c>
      <c r="H25" s="62">
        <f>Explosive_List[[#This Row],[VoD (m/s)]]/2.97</f>
        <v>2348.8215488215487</v>
      </c>
    </row>
    <row r="27" spans="5:9" x14ac:dyDescent="0.15">
      <c r="G27" s="97"/>
    </row>
    <row r="34" spans="1:6" x14ac:dyDescent="0.15">
      <c r="A34" t="s">
        <v>107</v>
      </c>
      <c r="B34" t="s">
        <v>108</v>
      </c>
      <c r="D34">
        <f>0.4535*50</f>
        <v>22.675000000000001</v>
      </c>
      <c r="E34" t="s">
        <v>74</v>
      </c>
      <c r="F34" t="s">
        <v>109</v>
      </c>
    </row>
    <row r="35" spans="1:6" x14ac:dyDescent="0.15">
      <c r="A35" t="s">
        <v>110</v>
      </c>
      <c r="B35" t="s">
        <v>111</v>
      </c>
      <c r="D35" s="5" t="s">
        <v>54</v>
      </c>
      <c r="E35" s="5" t="s">
        <v>57</v>
      </c>
    </row>
    <row r="36" spans="1:6" x14ac:dyDescent="0.15">
      <c r="A36">
        <v>800</v>
      </c>
      <c r="B36">
        <v>3.75</v>
      </c>
      <c r="D36" s="73">
        <f>6.8948*A36</f>
        <v>5515.84</v>
      </c>
      <c r="E36" s="76">
        <f>0.3048*B36</f>
        <v>1.143</v>
      </c>
      <c r="F36" s="77">
        <f>E36/$D$34^0.3333</f>
        <v>0.40387067172831864</v>
      </c>
    </row>
    <row r="37" spans="1:6" x14ac:dyDescent="0.15">
      <c r="A37">
        <v>600</v>
      </c>
      <c r="B37">
        <v>4.4020000000000001</v>
      </c>
      <c r="D37" s="73">
        <f t="shared" ref="D37:D65" si="0">6.8948*A37</f>
        <v>4136.88</v>
      </c>
      <c r="E37" s="76">
        <f t="shared" ref="E37:E65" si="1">0.3048*B37</f>
        <v>1.3417296000000001</v>
      </c>
      <c r="F37" s="77">
        <f t="shared" ref="F37:F65" si="2">E37/$D$34^0.3333</f>
        <v>0.47409031918614897</v>
      </c>
    </row>
    <row r="38" spans="1:6" x14ac:dyDescent="0.15">
      <c r="A38">
        <v>500</v>
      </c>
      <c r="B38">
        <v>4.8479999999999999</v>
      </c>
      <c r="D38" s="73">
        <f t="shared" si="0"/>
        <v>3447.4</v>
      </c>
      <c r="E38" s="76">
        <f t="shared" si="1"/>
        <v>1.4776704000000001</v>
      </c>
      <c r="F38" s="77">
        <f t="shared" si="2"/>
        <v>0.52212400441037032</v>
      </c>
    </row>
    <row r="39" spans="1:6" x14ac:dyDescent="0.15">
      <c r="A39">
        <v>400</v>
      </c>
      <c r="B39">
        <v>5.4379999999999997</v>
      </c>
      <c r="D39" s="73">
        <f t="shared" si="0"/>
        <v>2757.92</v>
      </c>
      <c r="E39" s="76">
        <f t="shared" si="1"/>
        <v>1.6575024</v>
      </c>
      <c r="F39" s="77">
        <f t="shared" si="2"/>
        <v>0.58566632342895908</v>
      </c>
    </row>
    <row r="40" spans="1:6" x14ac:dyDescent="0.15">
      <c r="A40">
        <v>300</v>
      </c>
      <c r="B40">
        <v>6.2889999999999997</v>
      </c>
      <c r="D40" s="73">
        <f t="shared" si="0"/>
        <v>2068.44</v>
      </c>
      <c r="E40" s="76">
        <f t="shared" si="1"/>
        <v>1.9168871999999999</v>
      </c>
      <c r="F40" s="77">
        <f t="shared" si="2"/>
        <v>0.67731804119983885</v>
      </c>
    </row>
    <row r="41" spans="1:6" x14ac:dyDescent="0.15">
      <c r="A41">
        <v>250</v>
      </c>
      <c r="B41">
        <v>6.8819999999999997</v>
      </c>
      <c r="D41" s="73">
        <f t="shared" si="0"/>
        <v>1723.7</v>
      </c>
      <c r="E41" s="76">
        <f t="shared" si="1"/>
        <v>2.0976336</v>
      </c>
      <c r="F41" s="77">
        <f t="shared" si="2"/>
        <v>0.74118345675581032</v>
      </c>
    </row>
    <row r="42" spans="1:6" x14ac:dyDescent="0.15">
      <c r="A42">
        <v>200</v>
      </c>
      <c r="B42">
        <v>7.6779999999999999</v>
      </c>
      <c r="D42" s="73">
        <f t="shared" si="0"/>
        <v>1378.96</v>
      </c>
      <c r="E42" s="76">
        <f t="shared" si="1"/>
        <v>2.3402544000000001</v>
      </c>
      <c r="F42" s="77">
        <f t="shared" si="2"/>
        <v>0.8269117380080081</v>
      </c>
    </row>
    <row r="43" spans="1:6" x14ac:dyDescent="0.15">
      <c r="A43">
        <v>150</v>
      </c>
      <c r="B43">
        <v>8.8160000000000007</v>
      </c>
      <c r="D43" s="73">
        <f t="shared" si="0"/>
        <v>1034.22</v>
      </c>
      <c r="E43" s="76">
        <f t="shared" si="1"/>
        <v>2.6871168000000005</v>
      </c>
      <c r="F43" s="77">
        <f t="shared" si="2"/>
        <v>0.94947302452182869</v>
      </c>
    </row>
    <row r="44" spans="1:6" x14ac:dyDescent="0.15">
      <c r="A44">
        <v>100</v>
      </c>
      <c r="B44">
        <v>10.64</v>
      </c>
      <c r="D44" s="73">
        <f t="shared" si="0"/>
        <v>689.48</v>
      </c>
      <c r="E44" s="76">
        <f t="shared" si="1"/>
        <v>3.2430720000000002</v>
      </c>
      <c r="F44" s="77">
        <f t="shared" si="2"/>
        <v>1.1459157192504827</v>
      </c>
    </row>
    <row r="45" spans="1:6" x14ac:dyDescent="0.15">
      <c r="A45">
        <v>80</v>
      </c>
      <c r="B45">
        <v>11.75</v>
      </c>
      <c r="D45" s="73">
        <f t="shared" si="0"/>
        <v>551.58400000000006</v>
      </c>
      <c r="E45" s="76">
        <f t="shared" si="1"/>
        <v>3.5814000000000004</v>
      </c>
      <c r="F45" s="77">
        <f t="shared" si="2"/>
        <v>1.265461438082065</v>
      </c>
    </row>
    <row r="46" spans="1:6" x14ac:dyDescent="0.15">
      <c r="A46">
        <v>60</v>
      </c>
      <c r="B46">
        <v>13.28</v>
      </c>
      <c r="D46" s="73">
        <f t="shared" si="0"/>
        <v>413.68799999999999</v>
      </c>
      <c r="E46" s="76">
        <f t="shared" si="1"/>
        <v>4.0477439999999998</v>
      </c>
      <c r="F46" s="77">
        <f t="shared" si="2"/>
        <v>1.4302406721472189</v>
      </c>
    </row>
    <row r="47" spans="1:6" x14ac:dyDescent="0.15">
      <c r="A47">
        <v>50</v>
      </c>
      <c r="B47">
        <v>14.31</v>
      </c>
      <c r="D47" s="73">
        <f t="shared" si="0"/>
        <v>344.74</v>
      </c>
      <c r="E47" s="76">
        <f t="shared" si="1"/>
        <v>4.361688</v>
      </c>
      <c r="F47" s="77">
        <f t="shared" si="2"/>
        <v>1.5411704833152637</v>
      </c>
    </row>
    <row r="48" spans="1:6" x14ac:dyDescent="0.15">
      <c r="A48">
        <v>40</v>
      </c>
      <c r="B48">
        <v>15.87</v>
      </c>
      <c r="D48" s="73">
        <f t="shared" si="0"/>
        <v>275.79200000000003</v>
      </c>
      <c r="E48" s="76">
        <f t="shared" si="1"/>
        <v>4.8371760000000004</v>
      </c>
      <c r="F48" s="77">
        <f t="shared" si="2"/>
        <v>1.7091806827542444</v>
      </c>
    </row>
    <row r="49" spans="1:6" x14ac:dyDescent="0.15">
      <c r="A49">
        <v>30</v>
      </c>
      <c r="B49">
        <v>18.190000000000001</v>
      </c>
      <c r="D49" s="73">
        <f t="shared" si="0"/>
        <v>206.84399999999999</v>
      </c>
      <c r="E49" s="76">
        <f t="shared" si="1"/>
        <v>5.5443120000000006</v>
      </c>
      <c r="F49" s="77">
        <f t="shared" si="2"/>
        <v>1.9590420049968311</v>
      </c>
    </row>
    <row r="50" spans="1:6" x14ac:dyDescent="0.15">
      <c r="A50">
        <v>25</v>
      </c>
      <c r="B50">
        <v>19.68</v>
      </c>
      <c r="D50" s="73">
        <f t="shared" si="0"/>
        <v>172.37</v>
      </c>
      <c r="E50" s="76">
        <f t="shared" si="1"/>
        <v>5.9984640000000002</v>
      </c>
      <c r="F50" s="77">
        <f t="shared" si="2"/>
        <v>2.1195132852302163</v>
      </c>
    </row>
    <row r="51" spans="1:6" x14ac:dyDescent="0.15">
      <c r="A51">
        <v>20</v>
      </c>
      <c r="B51">
        <v>21.68</v>
      </c>
      <c r="D51" s="73">
        <f t="shared" si="0"/>
        <v>137.89600000000002</v>
      </c>
      <c r="E51" s="76">
        <f t="shared" si="1"/>
        <v>6.6080640000000006</v>
      </c>
      <c r="F51" s="77">
        <f t="shared" si="2"/>
        <v>2.3349109768186529</v>
      </c>
    </row>
    <row r="52" spans="1:6" x14ac:dyDescent="0.15">
      <c r="A52">
        <v>15</v>
      </c>
      <c r="B52">
        <v>24.68</v>
      </c>
      <c r="D52" s="73">
        <f t="shared" si="0"/>
        <v>103.422</v>
      </c>
      <c r="E52" s="76">
        <f t="shared" si="1"/>
        <v>7.5224640000000003</v>
      </c>
      <c r="F52" s="77">
        <f t="shared" si="2"/>
        <v>2.6580075142013078</v>
      </c>
    </row>
    <row r="53" spans="1:6" x14ac:dyDescent="0.15">
      <c r="A53">
        <v>10</v>
      </c>
      <c r="B53">
        <v>30</v>
      </c>
      <c r="D53" s="73">
        <f t="shared" si="0"/>
        <v>68.948000000000008</v>
      </c>
      <c r="E53" s="76">
        <f t="shared" si="1"/>
        <v>9.1440000000000001</v>
      </c>
      <c r="F53" s="77">
        <f t="shared" si="2"/>
        <v>3.2309653738265491</v>
      </c>
    </row>
    <row r="54" spans="1:6" x14ac:dyDescent="0.15">
      <c r="A54">
        <v>8</v>
      </c>
      <c r="B54">
        <v>33.68</v>
      </c>
      <c r="D54" s="73">
        <f t="shared" si="0"/>
        <v>55.1584</v>
      </c>
      <c r="E54" s="76">
        <f t="shared" si="1"/>
        <v>10.265664000000001</v>
      </c>
      <c r="F54" s="77">
        <f t="shared" si="2"/>
        <v>3.6272971263492724</v>
      </c>
    </row>
    <row r="55" spans="1:6" x14ac:dyDescent="0.15">
      <c r="A55">
        <v>6</v>
      </c>
      <c r="B55">
        <v>39.46</v>
      </c>
      <c r="D55" s="73">
        <f t="shared" si="0"/>
        <v>41.3688</v>
      </c>
      <c r="E55" s="76">
        <f t="shared" si="1"/>
        <v>12.027408000000001</v>
      </c>
      <c r="F55" s="77">
        <f t="shared" si="2"/>
        <v>4.2497964550398546</v>
      </c>
    </row>
    <row r="56" spans="1:6" x14ac:dyDescent="0.15">
      <c r="A56">
        <v>5</v>
      </c>
      <c r="B56">
        <v>43.91</v>
      </c>
      <c r="D56" s="73">
        <f t="shared" si="0"/>
        <v>34.474000000000004</v>
      </c>
      <c r="E56" s="76">
        <f t="shared" si="1"/>
        <v>13.383768</v>
      </c>
      <c r="F56" s="77">
        <f t="shared" si="2"/>
        <v>4.7290563188241252</v>
      </c>
    </row>
    <row r="57" spans="1:6" x14ac:dyDescent="0.15">
      <c r="A57">
        <v>4</v>
      </c>
      <c r="B57">
        <v>50.4</v>
      </c>
      <c r="D57" s="73">
        <f t="shared" si="0"/>
        <v>27.5792</v>
      </c>
      <c r="E57" s="76">
        <f t="shared" si="1"/>
        <v>15.36192</v>
      </c>
      <c r="F57" s="77">
        <f t="shared" si="2"/>
        <v>5.4280218280286023</v>
      </c>
    </row>
    <row r="58" spans="1:6" x14ac:dyDescent="0.15">
      <c r="A58">
        <v>3</v>
      </c>
      <c r="B58">
        <v>60.9</v>
      </c>
      <c r="D58" s="73">
        <f t="shared" si="0"/>
        <v>20.6844</v>
      </c>
      <c r="E58" s="76">
        <f t="shared" si="1"/>
        <v>18.56232</v>
      </c>
      <c r="F58" s="77">
        <f t="shared" si="2"/>
        <v>6.5588597088678942</v>
      </c>
    </row>
    <row r="59" spans="1:6" x14ac:dyDescent="0.15">
      <c r="A59">
        <v>2.5</v>
      </c>
      <c r="B59">
        <v>69.11</v>
      </c>
      <c r="D59" s="73">
        <f t="shared" si="0"/>
        <v>17.237000000000002</v>
      </c>
      <c r="E59" s="76">
        <f t="shared" si="1"/>
        <v>21.064728000000002</v>
      </c>
      <c r="F59" s="77">
        <f t="shared" si="2"/>
        <v>7.4430672328384269</v>
      </c>
    </row>
    <row r="60" spans="1:6" x14ac:dyDescent="0.15">
      <c r="A60">
        <v>2</v>
      </c>
      <c r="B60">
        <v>81.2</v>
      </c>
      <c r="D60" s="73">
        <f t="shared" si="0"/>
        <v>13.7896</v>
      </c>
      <c r="E60" s="76">
        <f t="shared" si="1"/>
        <v>24.749760000000002</v>
      </c>
      <c r="F60" s="77">
        <f t="shared" si="2"/>
        <v>8.7451462784905267</v>
      </c>
    </row>
    <row r="61" spans="1:6" x14ac:dyDescent="0.15">
      <c r="A61">
        <v>1.5</v>
      </c>
      <c r="B61">
        <v>100.9</v>
      </c>
      <c r="D61" s="73">
        <f t="shared" si="0"/>
        <v>10.3422</v>
      </c>
      <c r="E61" s="76">
        <f t="shared" si="1"/>
        <v>30.754320000000003</v>
      </c>
      <c r="F61" s="77">
        <f t="shared" si="2"/>
        <v>10.866813540636628</v>
      </c>
    </row>
    <row r="62" spans="1:6" x14ac:dyDescent="0.15">
      <c r="A62">
        <v>1</v>
      </c>
      <c r="B62">
        <v>138.9</v>
      </c>
      <c r="D62" s="73">
        <f t="shared" si="0"/>
        <v>6.8948</v>
      </c>
      <c r="E62" s="76">
        <f t="shared" si="1"/>
        <v>42.336720000000007</v>
      </c>
      <c r="F62" s="77">
        <f t="shared" si="2"/>
        <v>14.959369680816923</v>
      </c>
    </row>
    <row r="63" spans="1:6" x14ac:dyDescent="0.15">
      <c r="A63">
        <v>0.8</v>
      </c>
      <c r="B63">
        <v>166.2</v>
      </c>
      <c r="D63" s="73">
        <f t="shared" si="0"/>
        <v>5.5158400000000007</v>
      </c>
      <c r="E63" s="76">
        <f t="shared" si="1"/>
        <v>50.657759999999996</v>
      </c>
      <c r="F63" s="77">
        <f t="shared" si="2"/>
        <v>17.899548170999079</v>
      </c>
    </row>
    <row r="64" spans="1:6" x14ac:dyDescent="0.15">
      <c r="A64">
        <v>0.6</v>
      </c>
      <c r="B64">
        <v>209.9</v>
      </c>
      <c r="D64" s="73">
        <f t="shared" si="0"/>
        <v>4.1368799999999997</v>
      </c>
      <c r="E64" s="76">
        <f t="shared" si="1"/>
        <v>63.977520000000005</v>
      </c>
      <c r="F64" s="77">
        <f t="shared" si="2"/>
        <v>22.605987732206422</v>
      </c>
    </row>
    <row r="65" spans="1:6" x14ac:dyDescent="0.15">
      <c r="A65">
        <v>0.5</v>
      </c>
      <c r="B65">
        <v>243.3</v>
      </c>
      <c r="D65" s="73">
        <f t="shared" si="0"/>
        <v>3.4474</v>
      </c>
      <c r="E65" s="76">
        <f t="shared" si="1"/>
        <v>74.157840000000007</v>
      </c>
      <c r="F65" s="77">
        <f t="shared" si="2"/>
        <v>26.203129181733313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O33"/>
  <sheetViews>
    <sheetView zoomScale="132" workbookViewId="0">
      <selection activeCell="O6" sqref="O6"/>
    </sheetView>
  </sheetViews>
  <sheetFormatPr baseColWidth="10" defaultColWidth="8.83203125" defaultRowHeight="13" x14ac:dyDescent="0.15"/>
  <cols>
    <col min="1" max="1" width="8.83203125" customWidth="1"/>
    <col min="2" max="2" width="12.5" customWidth="1"/>
    <col min="3" max="4" width="8.83203125" customWidth="1"/>
    <col min="5" max="5" width="6.6640625" customWidth="1"/>
    <col min="6" max="6" width="8.83203125" customWidth="1"/>
    <col min="7" max="7" width="11.83203125" customWidth="1"/>
    <col min="8" max="9" width="8.83203125" customWidth="1"/>
    <col min="10" max="10" width="6.6640625" customWidth="1"/>
    <col min="11" max="11" width="8.83203125" customWidth="1"/>
    <col min="12" max="12" width="11.83203125" customWidth="1"/>
    <col min="13" max="13" width="8.6640625" customWidth="1"/>
    <col min="14" max="14" width="8.1640625" customWidth="1"/>
  </cols>
  <sheetData>
    <row r="1" spans="1:15" x14ac:dyDescent="0.15">
      <c r="A1" s="37" t="s">
        <v>112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7" t="s">
        <v>113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9" t="s">
        <v>114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  <c r="O3" s="38"/>
    </row>
    <row r="4" spans="1:15" x14ac:dyDescent="0.15">
      <c r="A4" s="42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43"/>
      <c r="O4" s="38"/>
    </row>
    <row r="5" spans="1:15" x14ac:dyDescent="0.15">
      <c r="A5" s="44" t="s">
        <v>115</v>
      </c>
      <c r="B5" s="38"/>
      <c r="C5" s="53">
        <v>0.61199999999999999</v>
      </c>
      <c r="D5" s="38" t="s">
        <v>116</v>
      </c>
      <c r="E5" s="38"/>
      <c r="F5" s="46" t="s">
        <v>117</v>
      </c>
      <c r="G5" s="38"/>
      <c r="H5" s="45" t="str">
        <f>'static warhead'!B14</f>
        <v>Tungsten</v>
      </c>
      <c r="I5" s="38"/>
      <c r="J5" s="38"/>
      <c r="K5" s="38"/>
      <c r="L5" s="38"/>
      <c r="M5" s="38"/>
      <c r="N5" s="43"/>
      <c r="O5" s="38"/>
    </row>
    <row r="6" spans="1:15" x14ac:dyDescent="0.15">
      <c r="A6" s="44" t="s">
        <v>118</v>
      </c>
      <c r="B6" s="38"/>
      <c r="C6" s="53">
        <f>caseThickness</f>
        <v>1.9E-2</v>
      </c>
      <c r="D6" s="38" t="s">
        <v>116</v>
      </c>
      <c r="E6" s="38"/>
      <c r="F6" s="46" t="s">
        <v>119</v>
      </c>
      <c r="G6" s="38"/>
      <c r="H6" s="84">
        <f ca="1">fragmentMaterialDensity</f>
        <v>19280</v>
      </c>
      <c r="I6" s="38" t="s">
        <v>44</v>
      </c>
      <c r="J6" s="38"/>
      <c r="K6" s="38"/>
      <c r="L6" s="38"/>
      <c r="M6" s="38"/>
      <c r="N6" s="43"/>
      <c r="O6" s="38"/>
    </row>
    <row r="7" spans="1:15" x14ac:dyDescent="0.15">
      <c r="A7" s="44" t="s">
        <v>120</v>
      </c>
      <c r="B7" s="38"/>
      <c r="C7" s="53">
        <v>0.65</v>
      </c>
      <c r="D7" s="38" t="s">
        <v>116</v>
      </c>
      <c r="E7" s="38"/>
      <c r="F7" s="46" t="s">
        <v>14</v>
      </c>
      <c r="G7" s="38"/>
      <c r="H7" s="78" t="str">
        <f>'static warhead'!B17</f>
        <v>PBXN-109</v>
      </c>
      <c r="I7" s="78"/>
      <c r="J7" s="38"/>
      <c r="K7" s="46" t="s">
        <v>89</v>
      </c>
      <c r="L7" s="38"/>
      <c r="M7" s="84">
        <f ca="1">VoD</f>
        <v>7480</v>
      </c>
      <c r="N7" s="43" t="s">
        <v>27</v>
      </c>
      <c r="O7" s="38"/>
    </row>
    <row r="8" spans="1:15" x14ac:dyDescent="0.15">
      <c r="A8" s="44" t="s">
        <v>121</v>
      </c>
      <c r="B8" s="38"/>
      <c r="C8" s="53">
        <f>WHlength</f>
        <v>1.4</v>
      </c>
      <c r="D8" s="38" t="s">
        <v>116</v>
      </c>
      <c r="E8" s="38"/>
      <c r="F8" s="46" t="s">
        <v>122</v>
      </c>
      <c r="G8" s="38"/>
      <c r="H8" s="84">
        <f ca="1">HEdensity</f>
        <v>1700</v>
      </c>
      <c r="I8" s="38" t="s">
        <v>44</v>
      </c>
      <c r="J8" s="38"/>
      <c r="K8" s="46" t="s">
        <v>123</v>
      </c>
      <c r="L8" s="38"/>
      <c r="M8" s="84">
        <f ca="1">GurneyConstant</f>
        <v>2560</v>
      </c>
      <c r="N8" s="43" t="s">
        <v>27</v>
      </c>
      <c r="O8" s="38"/>
    </row>
    <row r="9" spans="1:15" x14ac:dyDescent="0.15">
      <c r="A9" s="44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43"/>
      <c r="O9" s="38"/>
    </row>
    <row r="10" spans="1:15" x14ac:dyDescent="0.15">
      <c r="A10" s="42"/>
      <c r="B10" s="38"/>
      <c r="C10" s="38"/>
      <c r="D10" s="38"/>
      <c r="E10" s="38"/>
      <c r="F10" s="46" t="s">
        <v>124</v>
      </c>
      <c r="G10" s="38"/>
      <c r="H10" s="85">
        <f>massHE</f>
        <v>700.2062625599998</v>
      </c>
      <c r="I10" s="38" t="s">
        <v>40</v>
      </c>
      <c r="J10" s="38"/>
      <c r="K10" s="38"/>
      <c r="L10" s="38"/>
      <c r="M10" s="38"/>
      <c r="N10" s="43"/>
      <c r="O10" s="38"/>
    </row>
    <row r="11" spans="1:15" x14ac:dyDescent="0.15">
      <c r="A11" s="42"/>
      <c r="B11" s="38"/>
      <c r="C11" s="38"/>
      <c r="D11" s="38"/>
      <c r="E11" s="38"/>
      <c r="F11" s="46" t="s">
        <v>125</v>
      </c>
      <c r="G11" s="38"/>
      <c r="H11" s="85">
        <f>massCase</f>
        <v>1016.7734704960011</v>
      </c>
      <c r="I11" s="38" t="s">
        <v>40</v>
      </c>
      <c r="J11" s="38"/>
      <c r="K11" s="38"/>
      <c r="L11" s="38"/>
      <c r="M11" s="38"/>
      <c r="N11" s="43"/>
      <c r="O11" s="38"/>
    </row>
    <row r="12" spans="1:15" x14ac:dyDescent="0.15">
      <c r="A12" s="42"/>
      <c r="B12" s="38"/>
      <c r="C12" s="38"/>
      <c r="D12" s="38"/>
      <c r="E12" s="38"/>
      <c r="F12" s="46" t="s">
        <v>126</v>
      </c>
      <c r="G12" s="38"/>
      <c r="H12" s="85">
        <f>H10/H11</f>
        <v>0.68865512612010427</v>
      </c>
      <c r="I12" s="38"/>
      <c r="J12" s="38"/>
      <c r="K12" s="46" t="s">
        <v>127</v>
      </c>
      <c r="L12" s="38"/>
      <c r="M12" s="85">
        <f>H10+H11</f>
        <v>1716.9797330560009</v>
      </c>
      <c r="N12" s="43" t="s">
        <v>40</v>
      </c>
      <c r="O12" s="38"/>
    </row>
    <row r="13" spans="1:15" x14ac:dyDescent="0.15">
      <c r="A13" s="47" t="s">
        <v>128</v>
      </c>
      <c r="B13" s="48"/>
      <c r="C13" s="48" t="str">
        <f>INDEX(initPosition,initiationPosition)</f>
        <v>centre face rear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36"/>
      <c r="O13" s="38"/>
    </row>
    <row r="14" spans="1:15" x14ac:dyDescent="0.1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x14ac:dyDescent="0.15">
      <c r="A15" s="39" t="s">
        <v>0</v>
      </c>
      <c r="B15" s="40"/>
      <c r="C15" s="40"/>
      <c r="D15" s="40"/>
      <c r="E15" s="40"/>
      <c r="F15" s="56" t="s">
        <v>21</v>
      </c>
      <c r="G15" s="40"/>
      <c r="H15" s="40"/>
      <c r="I15" s="40"/>
      <c r="J15" s="40"/>
      <c r="K15" s="40"/>
      <c r="L15" s="40"/>
      <c r="M15" s="40"/>
      <c r="N15" s="41"/>
      <c r="O15" s="38"/>
    </row>
    <row r="16" spans="1:15" x14ac:dyDescent="0.15">
      <c r="A16" s="44" t="s">
        <v>129</v>
      </c>
      <c r="B16" s="38"/>
      <c r="C16" s="89">
        <f>fragVelocity</f>
        <v>1832.265085426905</v>
      </c>
      <c r="D16" s="38" t="s">
        <v>27</v>
      </c>
      <c r="E16" s="38"/>
      <c r="F16" s="46" t="s">
        <v>130</v>
      </c>
      <c r="G16" s="38"/>
      <c r="H16" s="86">
        <f>WHvelocity</f>
        <v>300</v>
      </c>
      <c r="I16" s="38" t="s">
        <v>27</v>
      </c>
      <c r="J16" s="38"/>
      <c r="K16" s="38"/>
      <c r="L16" s="38"/>
      <c r="M16" s="38"/>
      <c r="N16" s="43"/>
      <c r="O16" s="38"/>
    </row>
    <row r="17" spans="1:15" x14ac:dyDescent="0.15">
      <c r="A17" s="44" t="s">
        <v>131</v>
      </c>
      <c r="B17" s="38"/>
      <c r="C17" s="86">
        <f>TaylorFront</f>
        <v>6.8511112795363829</v>
      </c>
      <c r="D17" s="38" t="s">
        <v>28</v>
      </c>
      <c r="E17" s="38"/>
      <c r="F17" s="46" t="s">
        <v>132</v>
      </c>
      <c r="G17" s="38"/>
      <c r="H17" s="86">
        <f>dynamFragFrontVel</f>
        <v>1891.7126611565645</v>
      </c>
      <c r="I17" s="38" t="s">
        <v>27</v>
      </c>
      <c r="J17" s="38"/>
      <c r="K17" s="46" t="s">
        <v>133</v>
      </c>
      <c r="L17" s="38"/>
      <c r="M17" s="86">
        <f>dynamFragFrontAngle</f>
        <v>15.908847818161657</v>
      </c>
      <c r="N17" s="43" t="s">
        <v>28</v>
      </c>
      <c r="O17" s="38"/>
    </row>
    <row r="18" spans="1:15" x14ac:dyDescent="0.15">
      <c r="A18" s="44" t="s">
        <v>134</v>
      </c>
      <c r="B18" s="38"/>
      <c r="C18" s="86">
        <f>TaylorRear</f>
        <v>0</v>
      </c>
      <c r="D18" s="38" t="s">
        <v>28</v>
      </c>
      <c r="E18" s="38"/>
      <c r="F18" s="46" t="s">
        <v>135</v>
      </c>
      <c r="G18" s="38"/>
      <c r="H18" s="86">
        <f>dynamFragRearVel</f>
        <v>1856.7227184624105</v>
      </c>
      <c r="I18" s="38" t="s">
        <v>27</v>
      </c>
      <c r="J18" s="38"/>
      <c r="K18" s="46" t="s">
        <v>136</v>
      </c>
      <c r="L18" s="38"/>
      <c r="M18" s="86">
        <f>dynamFragRearAngle</f>
        <v>9.2971218371004412</v>
      </c>
      <c r="N18" s="43" t="s">
        <v>28</v>
      </c>
      <c r="O18" s="38"/>
    </row>
    <row r="19" spans="1:15" x14ac:dyDescent="0.15">
      <c r="A19" s="47" t="s">
        <v>137</v>
      </c>
      <c r="B19" s="48"/>
      <c r="C19" s="87">
        <f>StaticBeamAngle</f>
        <v>6.8511112795363829</v>
      </c>
      <c r="D19" s="48" t="s">
        <v>28</v>
      </c>
      <c r="E19" s="48"/>
      <c r="F19" s="48"/>
      <c r="G19" s="48"/>
      <c r="H19" s="48"/>
      <c r="I19" s="48"/>
      <c r="J19" s="48"/>
      <c r="K19" s="51" t="s">
        <v>138</v>
      </c>
      <c r="L19" s="48"/>
      <c r="M19" s="87">
        <f>dynamBeamAngle</f>
        <v>6.6117259810612161</v>
      </c>
      <c r="N19" s="36" t="s">
        <v>28</v>
      </c>
      <c r="O19" s="38"/>
    </row>
    <row r="20" spans="1:15" x14ac:dyDescent="0.1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38"/>
    </row>
    <row r="21" spans="1:15" x14ac:dyDescent="0.15">
      <c r="A21" s="39" t="s">
        <v>139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1"/>
      <c r="O21" s="38"/>
    </row>
    <row r="22" spans="1:15" x14ac:dyDescent="0.15">
      <c r="A22" s="50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43"/>
      <c r="O22" s="38"/>
    </row>
    <row r="23" spans="1:15" x14ac:dyDescent="0.15">
      <c r="A23" s="44" t="s">
        <v>140</v>
      </c>
      <c r="B23" s="38"/>
      <c r="C23" s="90" t="str">
        <f ca="1">INDEX(dragCoefficient,geometryIndex)</f>
        <v>cube edge on</v>
      </c>
      <c r="D23" s="38"/>
      <c r="E23" s="38"/>
      <c r="F23" s="46" t="s">
        <v>141</v>
      </c>
      <c r="G23" s="38"/>
      <c r="H23" s="84">
        <f ca="1">Cd</f>
        <v>1.1000000000000001</v>
      </c>
      <c r="I23" s="38"/>
      <c r="J23" s="38"/>
      <c r="K23" s="38"/>
      <c r="L23" s="38"/>
      <c r="M23" s="38"/>
      <c r="N23" s="43"/>
      <c r="O23" s="38"/>
    </row>
    <row r="24" spans="1:15" x14ac:dyDescent="0.15">
      <c r="A24" s="44" t="s">
        <v>3</v>
      </c>
      <c r="B24" s="38"/>
      <c r="C24" s="91">
        <v>0.1</v>
      </c>
      <c r="D24" s="38" t="s">
        <v>57</v>
      </c>
      <c r="E24" s="38"/>
      <c r="F24" s="46" t="s">
        <v>76</v>
      </c>
      <c r="G24" s="38"/>
      <c r="H24" s="38" t="e">
        <f>INDEX(medium,data!#REF!)</f>
        <v>#REF!</v>
      </c>
      <c r="I24" s="38"/>
      <c r="J24" s="38"/>
      <c r="K24" s="38"/>
      <c r="L24" s="38"/>
      <c r="M24" s="38"/>
      <c r="N24" s="43"/>
      <c r="O24" s="38"/>
    </row>
    <row r="25" spans="1:15" x14ac:dyDescent="0.15">
      <c r="A25" s="44" t="s">
        <v>142</v>
      </c>
      <c r="B25" s="38"/>
      <c r="C25" s="55">
        <v>7.8550000000000009E-3</v>
      </c>
      <c r="D25" s="38" t="s">
        <v>143</v>
      </c>
      <c r="E25" s="38"/>
      <c r="F25" s="46" t="s">
        <v>144</v>
      </c>
      <c r="G25" s="38"/>
      <c r="H25" s="45">
        <f ca="1">medDensity</f>
        <v>0.746</v>
      </c>
      <c r="I25" s="38" t="s">
        <v>145</v>
      </c>
      <c r="J25" s="38"/>
      <c r="K25" s="38"/>
      <c r="L25" s="38"/>
      <c r="M25" s="38"/>
      <c r="N25" s="43"/>
      <c r="O25" s="38"/>
    </row>
    <row r="26" spans="1:15" x14ac:dyDescent="0.15">
      <c r="A26" s="44" t="s">
        <v>146</v>
      </c>
      <c r="B26" s="38"/>
      <c r="C26" s="55">
        <v>5.2366666666666675E-4</v>
      </c>
      <c r="D26" s="38" t="s">
        <v>147</v>
      </c>
      <c r="E26" s="38"/>
      <c r="F26" s="38"/>
      <c r="G26" s="38"/>
      <c r="H26" s="38"/>
      <c r="I26" s="38"/>
      <c r="J26" s="38"/>
      <c r="K26" s="38"/>
      <c r="L26" s="38"/>
      <c r="M26" s="38"/>
      <c r="N26" s="43"/>
      <c r="O26" s="38"/>
    </row>
    <row r="27" spans="1:15" x14ac:dyDescent="0.15">
      <c r="A27" s="44" t="s">
        <v>148</v>
      </c>
      <c r="B27" s="38"/>
      <c r="C27" s="55">
        <v>10.096293333333335</v>
      </c>
      <c r="D27" s="38" t="s">
        <v>40</v>
      </c>
      <c r="E27" s="38"/>
      <c r="F27" s="38"/>
      <c r="G27" s="38"/>
      <c r="H27" s="38"/>
      <c r="I27" s="38"/>
      <c r="J27" s="38"/>
      <c r="K27" s="38"/>
      <c r="L27" s="38"/>
      <c r="M27" s="38"/>
      <c r="N27" s="43"/>
      <c r="O27" s="38"/>
    </row>
    <row r="28" spans="1:15" x14ac:dyDescent="0.15">
      <c r="A28" s="44" t="s">
        <v>149</v>
      </c>
      <c r="B28" s="38"/>
      <c r="C28" s="52">
        <f>criticalED</f>
        <v>10</v>
      </c>
      <c r="D28" s="38" t="s">
        <v>150</v>
      </c>
      <c r="E28" s="38"/>
      <c r="F28" s="46" t="s">
        <v>151</v>
      </c>
      <c r="G28" s="38"/>
      <c r="H28" s="86">
        <v>406.78876004677085</v>
      </c>
      <c r="I28" s="38" t="s">
        <v>27</v>
      </c>
      <c r="J28" s="38"/>
      <c r="K28" s="46" t="s">
        <v>152</v>
      </c>
      <c r="L28" s="38"/>
      <c r="M28" s="86">
        <f>initialED</f>
        <v>38841434.893133499</v>
      </c>
      <c r="N28" s="43" t="s">
        <v>150</v>
      </c>
      <c r="O28" s="38"/>
    </row>
    <row r="29" spans="1:15" x14ac:dyDescent="0.15">
      <c r="A29" s="42"/>
      <c r="B29" s="38"/>
      <c r="C29" s="38"/>
      <c r="D29" s="38"/>
      <c r="E29" s="38"/>
      <c r="F29" s="46" t="s">
        <v>153</v>
      </c>
      <c r="G29" s="38"/>
      <c r="H29" s="86">
        <v>400</v>
      </c>
      <c r="I29" s="38" t="s">
        <v>27</v>
      </c>
      <c r="J29" s="38"/>
      <c r="K29" s="46" t="s">
        <v>154</v>
      </c>
      <c r="L29" s="38"/>
      <c r="M29" s="86">
        <f>finalED</f>
        <v>11.017142857142858</v>
      </c>
      <c r="N29" s="43" t="s">
        <v>150</v>
      </c>
      <c r="O29" s="38"/>
    </row>
    <row r="30" spans="1:15" x14ac:dyDescent="0.15">
      <c r="A30" s="49"/>
      <c r="B30" s="48"/>
      <c r="C30" s="48"/>
      <c r="D30" s="48"/>
      <c r="E30" s="48"/>
      <c r="F30" s="51" t="s">
        <v>155</v>
      </c>
      <c r="G30" s="48"/>
      <c r="H30" s="88">
        <v>2530</v>
      </c>
      <c r="I30" s="48" t="s">
        <v>57</v>
      </c>
      <c r="J30" s="48"/>
      <c r="K30" s="48"/>
      <c r="L30" s="48"/>
      <c r="M30" s="48"/>
      <c r="N30" s="36"/>
      <c r="O30" s="38"/>
    </row>
    <row r="31" spans="1:15" x14ac:dyDescent="0.1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</row>
    <row r="32" spans="1:15" x14ac:dyDescent="0.15">
      <c r="A32" s="79" t="s">
        <v>156</v>
      </c>
      <c r="B32" s="40"/>
      <c r="C32" s="40"/>
      <c r="D32" s="80">
        <f>blast!J8</f>
        <v>339.80813682299885</v>
      </c>
      <c r="E32" s="40" t="s">
        <v>40</v>
      </c>
      <c r="F32" s="40"/>
      <c r="G32" s="82">
        <f>blast!J2</f>
        <v>1.45038</v>
      </c>
      <c r="H32" s="95" t="s">
        <v>157</v>
      </c>
      <c r="I32" s="40"/>
      <c r="J32" s="40"/>
      <c r="K32" s="40"/>
      <c r="L32" s="82">
        <f ca="1">blast!G14</f>
        <v>249.16759930323511</v>
      </c>
      <c r="M32" s="40" t="s">
        <v>57</v>
      </c>
      <c r="N32" s="41"/>
      <c r="O32" s="38"/>
    </row>
    <row r="33" spans="1:15" x14ac:dyDescent="0.15">
      <c r="A33" s="47" t="s">
        <v>158</v>
      </c>
      <c r="B33" s="48"/>
      <c r="C33" s="48"/>
      <c r="D33" s="81">
        <f ca="1">blast!D11</f>
        <v>564.08150712617805</v>
      </c>
      <c r="E33" s="48" t="s">
        <v>40</v>
      </c>
      <c r="F33" s="48"/>
      <c r="G33" s="126" t="s">
        <v>159</v>
      </c>
      <c r="H33" s="126"/>
      <c r="I33" s="48">
        <f>blast!J3</f>
        <v>249</v>
      </c>
      <c r="J33" s="48" t="s">
        <v>160</v>
      </c>
      <c r="K33" s="48"/>
      <c r="L33" s="83">
        <f ca="1">blast!G13</f>
        <v>1.5332073108442357</v>
      </c>
      <c r="M33" s="48" t="s">
        <v>54</v>
      </c>
      <c r="N33" s="36"/>
      <c r="O33" s="38"/>
    </row>
  </sheetData>
  <mergeCells count="1">
    <mergeCell ref="G33:H33"/>
  </mergeCells>
  <phoneticPr fontId="0" type="noConversion"/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printButton">
              <controlPr defaultSize="0" print="0" autoFill="0" autoPict="0" macro="[0]!printButton_Click">
                <anchor moveWithCells="1">
                  <from>
                    <xdr:col>6</xdr:col>
                    <xdr:colOff>698500</xdr:colOff>
                    <xdr:row>0</xdr:row>
                    <xdr:rowOff>25400</xdr:rowOff>
                  </from>
                  <to>
                    <xdr:col>8</xdr:col>
                    <xdr:colOff>520700</xdr:colOff>
                    <xdr:row>1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54</vt:i4>
      </vt:variant>
    </vt:vector>
  </HeadingPairs>
  <TitlesOfParts>
    <vt:vector size="61" baseType="lpstr">
      <vt:lpstr>static warhead</vt:lpstr>
      <vt:lpstr>dynamic warhead</vt:lpstr>
      <vt:lpstr>Fragment Effectiveness</vt:lpstr>
      <vt:lpstr>Final</vt:lpstr>
      <vt:lpstr>blast</vt:lpstr>
      <vt:lpstr>data</vt:lpstr>
      <vt:lpstr>print</vt:lpstr>
      <vt:lpstr>calc</vt:lpstr>
      <vt:lpstr>caseThickness</vt:lpstr>
      <vt:lpstr>Cd</vt:lpstr>
      <vt:lpstr>characteristic</vt:lpstr>
      <vt:lpstr>chargeDiameter</vt:lpstr>
      <vt:lpstr>criticalED</vt:lpstr>
      <vt:lpstr>criticalV</vt:lpstr>
      <vt:lpstr>diamInput</vt:lpstr>
      <vt:lpstr>dragCoefficient</vt:lpstr>
      <vt:lpstr>dynamBeamAngle</vt:lpstr>
      <vt:lpstr>dynamFragFrontAngle</vt:lpstr>
      <vt:lpstr>dynamFragFrontVel</vt:lpstr>
      <vt:lpstr>dynamFragRearAngle</vt:lpstr>
      <vt:lpstr>dynamFragRearVel</vt:lpstr>
      <vt:lpstr>FED</vt:lpstr>
      <vt:lpstr>finalED</vt:lpstr>
      <vt:lpstr>finV</vt:lpstr>
      <vt:lpstr>fragChar</vt:lpstr>
      <vt:lpstr>fragmentArea</vt:lpstr>
      <vt:lpstr>FragmentCorrespondingCharacteristic</vt:lpstr>
      <vt:lpstr>FragmentInputCharacteristic</vt:lpstr>
      <vt:lpstr>fragmentMass</vt:lpstr>
      <vt:lpstr>fragmentMaterialDensity</vt:lpstr>
      <vt:lpstr>fragmentSize</vt:lpstr>
      <vt:lpstr>fragmentVolume</vt:lpstr>
      <vt:lpstr>fragVelocity</vt:lpstr>
      <vt:lpstr>geometryIndex</vt:lpstr>
      <vt:lpstr>GurneyConstant</vt:lpstr>
      <vt:lpstr>HEdensity</vt:lpstr>
      <vt:lpstr>IED</vt:lpstr>
      <vt:lpstr>initialED</vt:lpstr>
      <vt:lpstr>initiationPosition</vt:lpstr>
      <vt:lpstr>initPosition</vt:lpstr>
      <vt:lpstr>input1</vt:lpstr>
      <vt:lpstr>input2</vt:lpstr>
      <vt:lpstr>IV</vt:lpstr>
      <vt:lpstr>massCase</vt:lpstr>
      <vt:lpstr>massHE</vt:lpstr>
      <vt:lpstr>medDensity</vt:lpstr>
      <vt:lpstr>medium</vt:lpstr>
      <vt:lpstr>print!Print_Area</vt:lpstr>
      <vt:lpstr>result</vt:lpstr>
      <vt:lpstr>SR</vt:lpstr>
      <vt:lpstr>StaticBeamAngle</vt:lpstr>
      <vt:lpstr>TaylorFront</vt:lpstr>
      <vt:lpstr>TaylorRear</vt:lpstr>
      <vt:lpstr>thisisarea</vt:lpstr>
      <vt:lpstr>thisisCd</vt:lpstr>
      <vt:lpstr>thisismass</vt:lpstr>
      <vt:lpstr>VoD</vt:lpstr>
      <vt:lpstr>warheadDiameter</vt:lpstr>
      <vt:lpstr>WHdims</vt:lpstr>
      <vt:lpstr>WHlength</vt:lpstr>
      <vt:lpstr>WHvelocity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</dc:creator>
  <cp:lastModifiedBy>Microsoft Office User</cp:lastModifiedBy>
  <cp:lastPrinted>2022-09-29T10:27:16Z</cp:lastPrinted>
  <dcterms:created xsi:type="dcterms:W3CDTF">2001-07-20T10:49:42Z</dcterms:created>
  <dcterms:modified xsi:type="dcterms:W3CDTF">2022-09-29T20:54:32Z</dcterms:modified>
</cp:coreProperties>
</file>