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defaultThemeVersion="124226"/>
  <mc:AlternateContent xmlns:mc="http://schemas.openxmlformats.org/markup-compatibility/2006">
    <mc:Choice Requires="x15">
      <x15ac:absPath xmlns:x15ac="http://schemas.microsoft.com/office/spreadsheetml/2010/11/ac" url="E:\Data Acqusition &amp; Dynamics\"/>
    </mc:Choice>
  </mc:AlternateContent>
  <xr:revisionPtr revIDLastSave="0" documentId="13_ncr:1_{595EFED3-564D-4336-9BF1-C8B025301562}" xr6:coauthVersionLast="45" xr6:coauthVersionMax="45" xr10:uidLastSave="{00000000-0000-0000-0000-000000000000}"/>
  <bookViews>
    <workbookView xWindow="-120" yWindow="-120" windowWidth="20730" windowHeight="11160" activeTab="5" xr2:uid="{00000000-000D-0000-FFFF-FFFF00000000}"/>
  </bookViews>
  <sheets>
    <sheet name="Q1" sheetId="15" r:id="rId1"/>
    <sheet name="Q2" sheetId="16" r:id="rId2"/>
    <sheet name="Q3" sheetId="18" r:id="rId3"/>
    <sheet name="Q4" sheetId="9" r:id="rId4"/>
    <sheet name="Q5" sheetId="19" r:id="rId5"/>
    <sheet name="Q6" sheetId="20" r:id="rId6"/>
  </sheets>
  <definedNames>
    <definedName name="Left_front__corner_sprung_mass__kg" comment="FL" localSheetId="0">#REF!</definedName>
    <definedName name="Left_front__corner_sprung_mass__kg" comment="FL" localSheetId="1">#REF!</definedName>
    <definedName name="Left_front__corner_sprung_mass__kg" comment="FL" localSheetId="2">#REF!</definedName>
    <definedName name="Left_front__corner_sprung_mass__kg" comment="FL" localSheetId="3">#REF!</definedName>
    <definedName name="Left_front__corner_sprung_mass__kg" comment="FL" localSheetId="4">#REF!</definedName>
    <definedName name="Left_front__corner_sprung_mass__kg" comment="FL" localSheetId="5">#REF!</definedName>
    <definedName name="Left_front__corner_sprung_mass__kg" comment="F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4" i="20" l="1"/>
  <c r="G16" i="20"/>
  <c r="G20" i="20" s="1"/>
  <c r="J15" i="20"/>
  <c r="G15" i="20"/>
  <c r="G19" i="20" s="1"/>
  <c r="J14" i="20"/>
  <c r="G14" i="20"/>
  <c r="G18" i="20" s="1"/>
  <c r="G13" i="20"/>
  <c r="G17" i="20" s="1"/>
  <c r="G21" i="20" s="1"/>
  <c r="J4" i="20" s="1"/>
  <c r="G12" i="20"/>
  <c r="G7" i="20"/>
  <c r="G6" i="20"/>
  <c r="G5" i="20"/>
  <c r="G4" i="20"/>
  <c r="G24" i="19"/>
  <c r="G16" i="19"/>
  <c r="G20" i="19" s="1"/>
  <c r="J15" i="19"/>
  <c r="G15" i="19"/>
  <c r="G19" i="19" s="1"/>
  <c r="J14" i="19"/>
  <c r="G14" i="19"/>
  <c r="G18" i="19" s="1"/>
  <c r="G13" i="19"/>
  <c r="G17" i="19" s="1"/>
  <c r="G12" i="19"/>
  <c r="G7" i="19"/>
  <c r="G6" i="19"/>
  <c r="G9" i="19" s="1"/>
  <c r="G5" i="19"/>
  <c r="G4" i="19"/>
  <c r="G8" i="19" s="1"/>
  <c r="G24" i="18"/>
  <c r="G16" i="18"/>
  <c r="G20" i="18" s="1"/>
  <c r="J15" i="18"/>
  <c r="G15" i="18"/>
  <c r="G19" i="18" s="1"/>
  <c r="G22" i="18" s="1"/>
  <c r="J5" i="18" s="1"/>
  <c r="J14" i="18"/>
  <c r="G14" i="18"/>
  <c r="G18" i="18" s="1"/>
  <c r="G13" i="18"/>
  <c r="G17" i="18" s="1"/>
  <c r="G21" i="18" s="1"/>
  <c r="J4" i="18" s="1"/>
  <c r="J6" i="18" s="1"/>
  <c r="G12" i="18"/>
  <c r="G7" i="18"/>
  <c r="G9" i="18" s="1"/>
  <c r="G6" i="18"/>
  <c r="G5" i="18"/>
  <c r="G4" i="18"/>
  <c r="G8" i="18" s="1"/>
  <c r="G24" i="16"/>
  <c r="G16" i="16"/>
  <c r="G20" i="16" s="1"/>
  <c r="J15" i="16"/>
  <c r="G15" i="16"/>
  <c r="G19" i="16" s="1"/>
  <c r="G22" i="16" s="1"/>
  <c r="J5" i="16" s="1"/>
  <c r="J14" i="16"/>
  <c r="G14" i="16"/>
  <c r="G18" i="16" s="1"/>
  <c r="G13" i="16"/>
  <c r="G17" i="16" s="1"/>
  <c r="G21" i="16" s="1"/>
  <c r="J4" i="16" s="1"/>
  <c r="G12" i="16"/>
  <c r="G7" i="16"/>
  <c r="G6" i="16"/>
  <c r="G9" i="16" s="1"/>
  <c r="G5" i="16"/>
  <c r="G4" i="16"/>
  <c r="G8" i="16" s="1"/>
  <c r="G24" i="15"/>
  <c r="G16" i="15"/>
  <c r="G20" i="15" s="1"/>
  <c r="J15" i="15"/>
  <c r="G15" i="15"/>
  <c r="G19" i="15" s="1"/>
  <c r="J14" i="15"/>
  <c r="G14" i="15"/>
  <c r="G18" i="15" s="1"/>
  <c r="G13" i="15"/>
  <c r="G17" i="15" s="1"/>
  <c r="G12" i="15"/>
  <c r="G7" i="15"/>
  <c r="G9" i="15" s="1"/>
  <c r="G6" i="15"/>
  <c r="G5" i="15"/>
  <c r="G4" i="15"/>
  <c r="G8" i="15" s="1"/>
  <c r="G24" i="9"/>
  <c r="G16" i="9"/>
  <c r="G20" i="9" s="1"/>
  <c r="J15" i="9"/>
  <c r="G15" i="9"/>
  <c r="G19" i="9" s="1"/>
  <c r="J14" i="9"/>
  <c r="G14" i="9"/>
  <c r="G18" i="9" s="1"/>
  <c r="G13" i="9"/>
  <c r="G17" i="9" s="1"/>
  <c r="G12" i="9"/>
  <c r="G7" i="9"/>
  <c r="G6" i="9"/>
  <c r="G5" i="9"/>
  <c r="G4" i="9"/>
  <c r="G9" i="20" l="1"/>
  <c r="G8" i="20"/>
  <c r="G22" i="20"/>
  <c r="J5" i="20" s="1"/>
  <c r="J6" i="20" s="1"/>
  <c r="J12" i="20"/>
  <c r="J13" i="20"/>
  <c r="G22" i="19"/>
  <c r="J5" i="19" s="1"/>
  <c r="G21" i="19"/>
  <c r="J4" i="19" s="1"/>
  <c r="J12" i="19"/>
  <c r="G10" i="19"/>
  <c r="J13" i="19"/>
  <c r="G23" i="19"/>
  <c r="G25" i="19" s="1"/>
  <c r="J12" i="18"/>
  <c r="G10" i="18"/>
  <c r="G23" i="18"/>
  <c r="G25" i="18" s="1"/>
  <c r="J13" i="18"/>
  <c r="G8" i="9"/>
  <c r="J12" i="9" s="1"/>
  <c r="G21" i="9"/>
  <c r="J4" i="9" s="1"/>
  <c r="J12" i="16"/>
  <c r="G10" i="16"/>
  <c r="J6" i="16"/>
  <c r="G23" i="16"/>
  <c r="G25" i="16" s="1"/>
  <c r="J13" i="16"/>
  <c r="G22" i="9"/>
  <c r="J5" i="9" s="1"/>
  <c r="G9" i="9"/>
  <c r="J13" i="9" s="1"/>
  <c r="J13" i="15"/>
  <c r="J12" i="15"/>
  <c r="G10" i="15"/>
  <c r="G22" i="15"/>
  <c r="J5" i="15" s="1"/>
  <c r="G21" i="15"/>
  <c r="J4" i="15" s="1"/>
  <c r="G10" i="20" l="1"/>
  <c r="G23" i="20" s="1"/>
  <c r="G25" i="20" s="1"/>
  <c r="G27" i="20"/>
  <c r="J7" i="20" s="1"/>
  <c r="J8" i="20" s="1"/>
  <c r="G26" i="20"/>
  <c r="J6" i="19"/>
  <c r="G27" i="19"/>
  <c r="J7" i="19" s="1"/>
  <c r="G26" i="19"/>
  <c r="G11" i="19"/>
  <c r="G11" i="18"/>
  <c r="G26" i="18"/>
  <c r="G27" i="18"/>
  <c r="J7" i="18" s="1"/>
  <c r="J8" i="18" s="1"/>
  <c r="J6" i="9"/>
  <c r="G27" i="16"/>
  <c r="J7" i="16" s="1"/>
  <c r="J8" i="16" s="1"/>
  <c r="G26" i="16"/>
  <c r="G11" i="16"/>
  <c r="G10" i="9"/>
  <c r="G23" i="9" s="1"/>
  <c r="G25" i="9" s="1"/>
  <c r="G11" i="15"/>
  <c r="J6" i="15"/>
  <c r="G23" i="15"/>
  <c r="G25" i="15" s="1"/>
  <c r="G11" i="20" l="1"/>
  <c r="J9" i="20"/>
  <c r="J16" i="20" s="1"/>
  <c r="J10" i="20"/>
  <c r="J17" i="20" s="1"/>
  <c r="J27" i="20"/>
  <c r="J24" i="20"/>
  <c r="J8" i="19"/>
  <c r="J9" i="19" s="1"/>
  <c r="J16" i="19" s="1"/>
  <c r="J27" i="19"/>
  <c r="J24" i="19"/>
  <c r="J9" i="18"/>
  <c r="J16" i="18" s="1"/>
  <c r="J10" i="18"/>
  <c r="J17" i="18" s="1"/>
  <c r="J27" i="18"/>
  <c r="J24" i="18"/>
  <c r="J10" i="16"/>
  <c r="J17" i="16" s="1"/>
  <c r="J9" i="16"/>
  <c r="J16" i="16" s="1"/>
  <c r="J27" i="16"/>
  <c r="J24" i="16"/>
  <c r="G11" i="9"/>
  <c r="J27" i="9" s="1"/>
  <c r="J27" i="15"/>
  <c r="J24" i="15"/>
  <c r="G27" i="15"/>
  <c r="J7" i="15" s="1"/>
  <c r="J8" i="15" s="1"/>
  <c r="G26" i="15"/>
  <c r="G27" i="9"/>
  <c r="J7" i="9" s="1"/>
  <c r="J8" i="9" s="1"/>
  <c r="G26" i="9"/>
  <c r="J19" i="20" l="1"/>
  <c r="J20" i="20"/>
  <c r="J18" i="20"/>
  <c r="J21" i="20"/>
  <c r="J22" i="20"/>
  <c r="J10" i="19"/>
  <c r="J17" i="19" s="1"/>
  <c r="J22" i="19" s="1"/>
  <c r="J19" i="19"/>
  <c r="J20" i="19"/>
  <c r="J22" i="18"/>
  <c r="J21" i="18"/>
  <c r="J20" i="18"/>
  <c r="J18" i="18"/>
  <c r="J19" i="18"/>
  <c r="J20" i="16"/>
  <c r="J18" i="16"/>
  <c r="J19" i="16"/>
  <c r="J22" i="16"/>
  <c r="J21" i="16"/>
  <c r="J24" i="9"/>
  <c r="J9" i="15"/>
  <c r="J16" i="15" s="1"/>
  <c r="J10" i="15"/>
  <c r="J17" i="15" s="1"/>
  <c r="J9" i="9"/>
  <c r="J16" i="9" s="1"/>
  <c r="J10" i="9"/>
  <c r="J17" i="9" s="1"/>
  <c r="J23" i="20" l="1"/>
  <c r="J30" i="20"/>
  <c r="J31" i="20"/>
  <c r="J21" i="19"/>
  <c r="J23" i="19" s="1"/>
  <c r="J18" i="19"/>
  <c r="J30" i="19"/>
  <c r="J31" i="18"/>
  <c r="J33" i="18" s="1"/>
  <c r="J23" i="18"/>
  <c r="J30" i="18"/>
  <c r="J32" i="18" s="1"/>
  <c r="J23" i="16"/>
  <c r="J30" i="16"/>
  <c r="J32" i="16" s="1"/>
  <c r="J31" i="16"/>
  <c r="J20" i="15"/>
  <c r="J18" i="15"/>
  <c r="J19" i="15"/>
  <c r="J22" i="15"/>
  <c r="J21" i="15"/>
  <c r="J31" i="15" s="1"/>
  <c r="J22" i="9"/>
  <c r="J21" i="9"/>
  <c r="J20" i="9"/>
  <c r="J18" i="9"/>
  <c r="J19" i="9"/>
  <c r="J33" i="20" l="1"/>
  <c r="J32" i="20"/>
  <c r="J31" i="19"/>
  <c r="J33" i="19" s="1"/>
  <c r="J33" i="16"/>
  <c r="J31" i="9"/>
  <c r="J30" i="9"/>
  <c r="J33" i="15"/>
  <c r="J23" i="15"/>
  <c r="J30" i="15"/>
  <c r="J32" i="15" s="1"/>
  <c r="J23" i="9"/>
  <c r="J32" i="19" l="1"/>
  <c r="J32" i="9"/>
  <c r="J33" i="9"/>
</calcChain>
</file>

<file path=xl/sharedStrings.xml><?xml version="1.0" encoding="utf-8"?>
<sst xmlns="http://schemas.openxmlformats.org/spreadsheetml/2006/main" count="880" uniqueCount="157">
  <si>
    <t>Ms rr</t>
  </si>
  <si>
    <t>M rr</t>
  </si>
  <si>
    <t>Front Right corner sprung mass [kg]</t>
  </si>
  <si>
    <t>Total front sprung mass [kg]</t>
  </si>
  <si>
    <t>Total rear sprung mass  [kg]</t>
  </si>
  <si>
    <t>Mus rr</t>
  </si>
  <si>
    <t>Ms r</t>
  </si>
  <si>
    <t>Ms f</t>
  </si>
  <si>
    <t xml:space="preserve">Rear track </t>
  </si>
  <si>
    <t>Tf</t>
  </si>
  <si>
    <t>Tr</t>
  </si>
  <si>
    <t xml:space="preserve">Wheel base  </t>
  </si>
  <si>
    <t xml:space="preserve">L </t>
  </si>
  <si>
    <t>WTsf</t>
  </si>
  <si>
    <t>Measured Suspension  Data</t>
  </si>
  <si>
    <t xml:space="preserve">Calculated Suspension Data </t>
  </si>
  <si>
    <t>WTsr</t>
  </si>
  <si>
    <t xml:space="preserve">Results </t>
  </si>
  <si>
    <t xml:space="preserve">hf </t>
  </si>
  <si>
    <t xml:space="preserve">hr </t>
  </si>
  <si>
    <t>b</t>
  </si>
  <si>
    <t>hr -hf</t>
  </si>
  <si>
    <t>z</t>
  </si>
  <si>
    <t>z+hf</t>
  </si>
  <si>
    <t>Fz rr</t>
  </si>
  <si>
    <t>Kϕr</t>
  </si>
  <si>
    <t>Kϕt</t>
  </si>
  <si>
    <t>Depth  of triangle at CG [m]</t>
  </si>
  <si>
    <t>Height of roll axis at CG [m]</t>
  </si>
  <si>
    <t>Height of CG above roll axis [m]</t>
  </si>
  <si>
    <t>Rear -Front RC Height [m]</t>
  </si>
  <si>
    <t>Mot</t>
  </si>
  <si>
    <t>Overturning moment [Nm]</t>
  </si>
  <si>
    <t>Total Roll Stiffness [Nm/rad]</t>
  </si>
  <si>
    <t>Rear Roll Stiffness [Nm/rad]</t>
  </si>
  <si>
    <t>Front weight transfer due to spung mass [N]</t>
  </si>
  <si>
    <t>Rear  weight transfer due to spung mass [N]</t>
  </si>
  <si>
    <t>Left front  vertical force [N]</t>
  </si>
  <si>
    <t>Rear Left vertical force [N]</t>
  </si>
  <si>
    <t>Rear Right  vertical force [N]</t>
  </si>
  <si>
    <t>MR rr</t>
  </si>
  <si>
    <t>WTsrcf</t>
  </si>
  <si>
    <t>Wtusf</t>
  </si>
  <si>
    <t>Wtusr</t>
  </si>
  <si>
    <t>WTsrcr</t>
  </si>
  <si>
    <t xml:space="preserve">Hs </t>
  </si>
  <si>
    <t xml:space="preserve">Height of CG of sprung mass  above ground </t>
  </si>
  <si>
    <t xml:space="preserve">Height of CG of total mass above ground </t>
  </si>
  <si>
    <t>Kϕf</t>
  </si>
  <si>
    <t xml:space="preserve">WT </t>
  </si>
  <si>
    <t xml:space="preserve">Total WT calculated for 'solid' car </t>
  </si>
  <si>
    <t>Hsra</t>
  </si>
  <si>
    <t>Front Left   corner sprung mass [kg]</t>
  </si>
  <si>
    <t>Rear Right corner sprung  mass [kg]</t>
  </si>
  <si>
    <t>Rear Left   corner sprung mass [kg]</t>
  </si>
  <si>
    <t>Front Left Spring rate [N/mm]</t>
  </si>
  <si>
    <t>Front Right rspring rate [N/mm]</t>
  </si>
  <si>
    <t>Rear Left  Spring rate [N/mm]</t>
  </si>
  <si>
    <t>Rear Right  Spring Rate [N/mm]</t>
  </si>
  <si>
    <t>Front Left   wheel rate  [N/mm]</t>
  </si>
  <si>
    <t>Front Left total measured static corner mass [kg]</t>
  </si>
  <si>
    <t>Front Right  measured static corner mass [kg]</t>
  </si>
  <si>
    <t>Rear Left  total measured static corner mass [kg]</t>
  </si>
  <si>
    <t>Rear Right   total measured static corner mass [kg]</t>
  </si>
  <si>
    <t>Front Left  unsprung mass  [kg]</t>
  </si>
  <si>
    <t>Front Right total unsprung mass  [kg]</t>
  </si>
  <si>
    <t>Rear Left unsprung mass  [kg]</t>
  </si>
  <si>
    <t>Rear Right unsprung mass  [kg]</t>
  </si>
  <si>
    <t>MR fl</t>
  </si>
  <si>
    <t>MR fr</t>
  </si>
  <si>
    <t>MR rl</t>
  </si>
  <si>
    <t>M fl</t>
  </si>
  <si>
    <t>M fr</t>
  </si>
  <si>
    <t>M rl</t>
  </si>
  <si>
    <t>Mus fl</t>
  </si>
  <si>
    <t>Mus fr</t>
  </si>
  <si>
    <t>Mus rl</t>
  </si>
  <si>
    <t>Ms fl</t>
  </si>
  <si>
    <t>Ms fr</t>
  </si>
  <si>
    <t>Ms rl</t>
  </si>
  <si>
    <t>Ks rl</t>
  </si>
  <si>
    <t>Ks rr</t>
  </si>
  <si>
    <t>Kw fl</t>
  </si>
  <si>
    <t>Kw fr</t>
  </si>
  <si>
    <t>Front Right wheel rate  [N/mm]</t>
  </si>
  <si>
    <t>Fz fl</t>
  </si>
  <si>
    <t xml:space="preserve">Ks fl  </t>
  </si>
  <si>
    <t xml:space="preserve">Ks fr </t>
  </si>
  <si>
    <t>Front Left Spring rate [lb/in]</t>
  </si>
  <si>
    <t>Front Right Spring rate [lb/in]</t>
  </si>
  <si>
    <t>Rear Left   Spring rate [lb/in]</t>
  </si>
  <si>
    <t>Rear Right  Spring rate [lb/in]</t>
  </si>
  <si>
    <t>Fz rl</t>
  </si>
  <si>
    <t>Ks fl</t>
  </si>
  <si>
    <t>Ks fr</t>
  </si>
  <si>
    <t>Fz fr</t>
  </si>
  <si>
    <t xml:space="preserve">Lateral Acceleration </t>
  </si>
  <si>
    <t>distance of cg of sprung mass from front axle [m]</t>
  </si>
  <si>
    <t xml:space="preserve">Total  sprung mass </t>
  </si>
  <si>
    <t xml:space="preserve">Total Mass </t>
  </si>
  <si>
    <t>Mstot</t>
  </si>
  <si>
    <t>Front Roll Stiffness [Nm/rad]</t>
  </si>
  <si>
    <t>ϕ</t>
  </si>
  <si>
    <t>Total unsprung mass</t>
  </si>
  <si>
    <t>Roll angle  (Radians)</t>
  </si>
  <si>
    <t>Rolling  Radius front</t>
  </si>
  <si>
    <t>Rrr</t>
  </si>
  <si>
    <t>Rrf</t>
  </si>
  <si>
    <t>Rolling Radius rear</t>
  </si>
  <si>
    <t xml:space="preserve">Front Split </t>
  </si>
  <si>
    <t>Front WT due to sprung mass at RC Height</t>
  </si>
  <si>
    <t>Rear WT due to sprung mass at RC Height</t>
  </si>
  <si>
    <t>Front WT due to Unsprung mass at wheel centre height</t>
  </si>
  <si>
    <t>Rear WT due to Unsprung mass at wheel centre height</t>
  </si>
  <si>
    <t xml:space="preserve">Total front WT </t>
  </si>
  <si>
    <t>Total Rear WT</t>
  </si>
  <si>
    <t xml:space="preserve">Total wheel loads  by individual wheel load check </t>
  </si>
  <si>
    <t xml:space="preserve">Total  wheel load  by static corner weight check </t>
  </si>
  <si>
    <t>Rear Left Wheel Rate [N/mm]</t>
  </si>
  <si>
    <t>Rear  Right wheel  rate [N/mm]</t>
  </si>
  <si>
    <t>Kw rl</t>
  </si>
  <si>
    <t>Kw rr</t>
  </si>
  <si>
    <t xml:space="preserve">Height of Front roll centre above ground  </t>
  </si>
  <si>
    <t xml:space="preserve">Height of Rear roll centre above ground  </t>
  </si>
  <si>
    <t>Motion Ratio front left</t>
  </si>
  <si>
    <t>Motion Ratio front right</t>
  </si>
  <si>
    <t xml:space="preserve">Motion Ratio rear left </t>
  </si>
  <si>
    <t xml:space="preserve">Motion Ratio rear right </t>
  </si>
  <si>
    <t>Average Front wheel rate [N/m]</t>
  </si>
  <si>
    <t>Average Rear wheel rate [N/m]</t>
  </si>
  <si>
    <t xml:space="preserve">Total WT calculated by adding all Weight Transfers </t>
  </si>
  <si>
    <t>Front Right vertical force  [N]</t>
  </si>
  <si>
    <t>Front Track</t>
  </si>
  <si>
    <t>Htot</t>
  </si>
  <si>
    <t>Kwf</t>
  </si>
  <si>
    <t>Kwr</t>
  </si>
  <si>
    <t>M tot</t>
  </si>
  <si>
    <t>Mus tot</t>
  </si>
  <si>
    <t>Rear Split</t>
  </si>
  <si>
    <t>FRLSD</t>
  </si>
  <si>
    <t>Rear WT Percentage %</t>
  </si>
  <si>
    <t>This car would be expected to understeer less with this current setup.</t>
  </si>
  <si>
    <t>(ii)</t>
  </si>
  <si>
    <t>(i)</t>
  </si>
  <si>
    <t>(iii)</t>
  </si>
  <si>
    <t>Q3</t>
  </si>
  <si>
    <t>This is primarily due to the slight increase in the total load split difference between the front and rear axles, as a greater rear load split will always produce a car with handling balance biased towards Oversteer.</t>
  </si>
  <si>
    <t xml:space="preserve">Changing this value would affect the diagonal wheel load distribution or 'wedge.' This would result in a handling balance that is far more direction dependent. This will create a car that will differing levels of total grip in different directions, therefore far more suited to oval racing, where only one cornering direction used. </t>
  </si>
  <si>
    <t>All areas shaded in this colour are directly affected by the Rear Motion Ratio values, howver the only 2 values that feature these values in the eqaution are Kw rl and Kw rr.</t>
  </si>
  <si>
    <t>Q4</t>
  </si>
  <si>
    <t>(iv)</t>
  </si>
  <si>
    <t xml:space="preserve">By reducing the Rear Motion Ratio values, the weight transfer at the rear has increased, whereas on the front axle, it has had the opposite effect . Total roll stifness has also significantly decreased. This also has an effect on the load splits, which consequently increased even further. This would create a vehcile with heavy oversteer characteristics, and therefore ideally would not be suited for competition use. </t>
  </si>
  <si>
    <t>(With previous corner mass values)</t>
  </si>
  <si>
    <t>Q6</t>
  </si>
  <si>
    <t xml:space="preserve">The FRLSD has not changed by a significant amount in terms of value, however the direction is now different, with the front load split being significantly higher than the previous results. Now with the corner weights changed, the car will be far more biased towards understeer, creating more stable handling, at the expense of overall front grip. In a racing application, typically the car is ever so slighly balanced towards understeer to create a car with an almost neutral handling balance with a good combination of grip and lack of slip, giving the driver confidence to push the car hard without experiencing sudden oversteer. </t>
  </si>
  <si>
    <t>(double click the cells below to see full answers)</t>
  </si>
  <si>
    <t xml:space="preserve">As previously mentioned, a single direction corner setup (as used in oval racing) is typically dictated by the diagonal wheel load distribution 'wedge.' with changes in corner mass values and spring rates, the 'wedge' can be altered to suit certain directional cornering characteristics, therefore a setup that is used on an oval racing application will always be biased towards the constant turning direction, to generate the maximum lateral forces, with the most stable handling.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</si>
</sst>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00"/>
    <numFmt numFmtId="166" formatCode="0.0"/>
  </numFmts>
  <fonts count="12" x14ac:knownFonts="1">
    <font>
      <sz val="10"/>
      <name val="Arial"/>
    </font>
    <font>
      <sz val="11"/>
      <color theme="1"/>
      <name val="Calibri"/>
      <family val="2"/>
      <scheme val="minor"/>
    </font>
    <font>
      <b/>
      <sz val="10"/>
      <color rgb="FFFF0000"/>
      <name val="Arial"/>
      <family val="2"/>
    </font>
    <font>
      <b/>
      <sz val="10"/>
      <name val="Arial"/>
      <family val="2"/>
    </font>
    <font>
      <b/>
      <sz val="12"/>
      <name val="Arial"/>
      <family val="2"/>
    </font>
    <font>
      <sz val="10"/>
      <name val="Arial"/>
      <family val="2"/>
    </font>
    <font>
      <sz val="14"/>
      <name val="Arial"/>
      <family val="2"/>
    </font>
    <font>
      <sz val="11"/>
      <color rgb="FF000000"/>
      <name val="Calibri"/>
      <family val="2"/>
    </font>
    <font>
      <sz val="11"/>
      <name val="Arial"/>
      <family val="2"/>
    </font>
    <font>
      <sz val="10"/>
      <color theme="1"/>
      <name val="Arial"/>
      <family val="2"/>
    </font>
    <font>
      <sz val="10"/>
      <color theme="1"/>
      <name val="Calibri"/>
      <family val="2"/>
    </font>
    <font>
      <b/>
      <sz val="10"/>
      <color theme="1"/>
      <name val="Arial"/>
      <family val="2"/>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theme="4" tint="0.59999389629810485"/>
        <bgColor indexed="65"/>
      </patternFill>
    </fill>
    <fill>
      <patternFill patternType="solid">
        <fgColor theme="6" tint="0.79998168889431442"/>
        <bgColor indexed="65"/>
      </patternFill>
    </fill>
  </fills>
  <borders count="22">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1" fillId="5" borderId="0" applyNumberFormat="0" applyBorder="0" applyAlignment="0" applyProtection="0"/>
    <xf numFmtId="0" fontId="1" fillId="6" borderId="0" applyNumberFormat="0" applyBorder="0" applyAlignment="0" applyProtection="0"/>
  </cellStyleXfs>
  <cellXfs count="124">
    <xf numFmtId="0" fontId="0" fillId="0" borderId="0" xfId="0"/>
    <xf numFmtId="0" fontId="0" fillId="0" borderId="2" xfId="0" applyBorder="1"/>
    <xf numFmtId="0" fontId="2" fillId="0" borderId="2" xfId="0" applyFont="1" applyBorder="1"/>
    <xf numFmtId="0" fontId="5" fillId="0" borderId="2" xfId="0" applyFont="1" applyBorder="1"/>
    <xf numFmtId="0" fontId="6" fillId="2" borderId="4" xfId="0" applyFont="1" applyFill="1" applyBorder="1"/>
    <xf numFmtId="0" fontId="0" fillId="0" borderId="2" xfId="0" applyBorder="1" applyAlignment="1">
      <alignment horizontal="center" vertical="center"/>
    </xf>
    <xf numFmtId="2" fontId="0" fillId="3" borderId="1" xfId="0" applyNumberFormat="1" applyFill="1" applyBorder="1" applyAlignment="1" applyProtection="1">
      <alignment horizontal="center"/>
    </xf>
    <xf numFmtId="0" fontId="4" fillId="0" borderId="6" xfId="0" applyFont="1" applyBorder="1"/>
    <xf numFmtId="0" fontId="4" fillId="0" borderId="7" xfId="0" applyFont="1" applyBorder="1"/>
    <xf numFmtId="0" fontId="8" fillId="0" borderId="0" xfId="0" applyFont="1"/>
    <xf numFmtId="0" fontId="7" fillId="0" borderId="0" xfId="0" applyFont="1"/>
    <xf numFmtId="0" fontId="0" fillId="0" borderId="0" xfId="0" applyAlignment="1"/>
    <xf numFmtId="0" fontId="0" fillId="3" borderId="2" xfId="0" applyFill="1" applyBorder="1" applyAlignment="1">
      <alignment horizontal="center" vertical="center"/>
    </xf>
    <xf numFmtId="0" fontId="6" fillId="2" borderId="4" xfId="0" applyFont="1" applyFill="1" applyBorder="1" applyAlignment="1">
      <alignment horizontal="left"/>
    </xf>
    <xf numFmtId="166" fontId="0" fillId="0" borderId="1" xfId="0" applyNumberFormat="1" applyBorder="1" applyAlignment="1">
      <alignment horizontal="center" vertical="center"/>
    </xf>
    <xf numFmtId="166" fontId="2" fillId="0" borderId="1" xfId="0" applyNumberFormat="1" applyFont="1" applyBorder="1" applyAlignment="1">
      <alignment horizontal="center" vertical="center"/>
    </xf>
    <xf numFmtId="0" fontId="0" fillId="0" borderId="8" xfId="0" applyBorder="1"/>
    <xf numFmtId="0" fontId="5" fillId="0" borderId="8" xfId="0" applyFont="1" applyBorder="1"/>
    <xf numFmtId="0" fontId="0" fillId="0" borderId="10" xfId="0" applyBorder="1"/>
    <xf numFmtId="0" fontId="0" fillId="0" borderId="3" xfId="0" applyBorder="1"/>
    <xf numFmtId="2" fontId="0" fillId="3" borderId="8" xfId="0" applyNumberFormat="1" applyFill="1" applyBorder="1" applyAlignment="1" applyProtection="1">
      <alignment horizontal="center"/>
    </xf>
    <xf numFmtId="0" fontId="5" fillId="0" borderId="9" xfId="0" applyFont="1" applyFill="1" applyBorder="1"/>
    <xf numFmtId="0" fontId="5" fillId="3" borderId="10" xfId="0" applyFont="1" applyFill="1" applyBorder="1"/>
    <xf numFmtId="0" fontId="5" fillId="3" borderId="2" xfId="0" applyFont="1" applyFill="1" applyBorder="1"/>
    <xf numFmtId="0" fontId="0" fillId="3" borderId="11" xfId="0" applyFont="1" applyFill="1" applyBorder="1"/>
    <xf numFmtId="0" fontId="5" fillId="3" borderId="5" xfId="0" applyFont="1" applyFill="1" applyBorder="1"/>
    <xf numFmtId="0" fontId="0" fillId="3" borderId="2" xfId="0" applyFill="1" applyBorder="1" applyAlignment="1">
      <alignment horizontal="center"/>
    </xf>
    <xf numFmtId="0" fontId="0" fillId="3" borderId="2" xfId="0" applyFill="1" applyBorder="1"/>
    <xf numFmtId="0" fontId="5" fillId="3" borderId="8" xfId="0" applyFont="1" applyFill="1" applyBorder="1"/>
    <xf numFmtId="166" fontId="0" fillId="3" borderId="1" xfId="0" applyNumberFormat="1" applyFill="1" applyBorder="1" applyAlignment="1">
      <alignment horizontal="center"/>
    </xf>
    <xf numFmtId="166" fontId="0" fillId="3" borderId="14" xfId="0" applyNumberFormat="1" applyFill="1" applyBorder="1" applyAlignment="1">
      <alignment horizontal="center"/>
    </xf>
    <xf numFmtId="0" fontId="4" fillId="0" borderId="16" xfId="0" applyFont="1" applyBorder="1"/>
    <xf numFmtId="0" fontId="0" fillId="0" borderId="17" xfId="0" applyBorder="1"/>
    <xf numFmtId="0" fontId="0" fillId="0" borderId="18" xfId="0" applyBorder="1"/>
    <xf numFmtId="0" fontId="0" fillId="0" borderId="18" xfId="0" applyBorder="1" applyAlignment="1">
      <alignment horizontal="center" vertical="center"/>
    </xf>
    <xf numFmtId="0" fontId="5" fillId="0" borderId="18" xfId="0" applyFont="1" applyBorder="1"/>
    <xf numFmtId="166" fontId="0" fillId="0" borderId="19" xfId="0" applyNumberFormat="1" applyBorder="1" applyAlignment="1">
      <alignment horizontal="center" vertical="center"/>
    </xf>
    <xf numFmtId="0" fontId="0" fillId="0" borderId="20" xfId="0" applyBorder="1"/>
    <xf numFmtId="0" fontId="5" fillId="0" borderId="10" xfId="0" applyFont="1" applyBorder="1"/>
    <xf numFmtId="0" fontId="5" fillId="0" borderId="3" xfId="0" applyFont="1" applyBorder="1"/>
    <xf numFmtId="0" fontId="0" fillId="0" borderId="5" xfId="0" applyFill="1" applyBorder="1"/>
    <xf numFmtId="2" fontId="0" fillId="0" borderId="5" xfId="0" applyNumberFormat="1" applyFill="1" applyBorder="1" applyAlignment="1">
      <alignment horizontal="center" vertical="center"/>
    </xf>
    <xf numFmtId="165" fontId="0" fillId="2" borderId="2" xfId="0" applyNumberFormat="1" applyFill="1" applyBorder="1" applyAlignment="1">
      <alignment horizontal="center" vertical="center"/>
    </xf>
    <xf numFmtId="164" fontId="0" fillId="0" borderId="1" xfId="0" applyNumberFormat="1" applyBorder="1" applyAlignment="1">
      <alignment horizontal="center" vertical="center"/>
    </xf>
    <xf numFmtId="0" fontId="10" fillId="3" borderId="2" xfId="0" applyFont="1" applyFill="1" applyBorder="1"/>
    <xf numFmtId="0" fontId="9" fillId="0" borderId="2" xfId="0" applyFont="1" applyBorder="1"/>
    <xf numFmtId="0" fontId="11" fillId="0" borderId="2" xfId="0" applyFont="1" applyBorder="1"/>
    <xf numFmtId="0" fontId="1" fillId="5" borderId="0" xfId="1"/>
    <xf numFmtId="1" fontId="1" fillId="5" borderId="0" xfId="1" applyNumberFormat="1"/>
    <xf numFmtId="0" fontId="1" fillId="5" borderId="0" xfId="1" applyBorder="1"/>
    <xf numFmtId="165" fontId="1" fillId="2" borderId="2" xfId="1" applyNumberFormat="1" applyFill="1" applyBorder="1" applyAlignment="1">
      <alignment horizontal="center" vertical="center"/>
    </xf>
    <xf numFmtId="166" fontId="0" fillId="2" borderId="1" xfId="0" applyNumberFormat="1" applyFill="1" applyBorder="1" applyAlignment="1">
      <alignment horizontal="center" vertical="center"/>
    </xf>
    <xf numFmtId="166" fontId="0" fillId="3" borderId="1" xfId="0" applyNumberFormat="1" applyFill="1" applyBorder="1" applyAlignment="1">
      <alignment horizontal="center" vertical="center"/>
    </xf>
    <xf numFmtId="1" fontId="0" fillId="3" borderId="4" xfId="0" applyNumberFormat="1" applyFill="1" applyBorder="1" applyAlignment="1">
      <alignment horizontal="center" vertical="center"/>
    </xf>
    <xf numFmtId="1" fontId="0" fillId="3" borderId="15" xfId="0" applyNumberFormat="1" applyFill="1" applyBorder="1" applyAlignment="1">
      <alignment horizontal="center" vertical="center"/>
    </xf>
    <xf numFmtId="1" fontId="0" fillId="3" borderId="1" xfId="0" applyNumberFormat="1" applyFill="1" applyBorder="1" applyAlignment="1">
      <alignment horizontal="center" vertical="center"/>
    </xf>
    <xf numFmtId="1" fontId="0" fillId="3" borderId="14" xfId="0" applyNumberFormat="1" applyFill="1" applyBorder="1" applyAlignment="1">
      <alignment horizontal="center" vertical="center"/>
    </xf>
    <xf numFmtId="1" fontId="0" fillId="3" borderId="12" xfId="0" applyNumberFormat="1" applyFill="1" applyBorder="1" applyAlignment="1">
      <alignment horizontal="center"/>
    </xf>
    <xf numFmtId="0" fontId="0" fillId="3" borderId="13" xfId="0" applyFill="1" applyBorder="1" applyAlignment="1">
      <alignment horizontal="center" vertical="center"/>
    </xf>
    <xf numFmtId="0" fontId="0" fillId="3" borderId="15" xfId="0" applyFill="1" applyBorder="1" applyAlignment="1">
      <alignment horizontal="center" vertical="center"/>
    </xf>
    <xf numFmtId="0" fontId="0" fillId="3" borderId="14" xfId="0" applyFill="1" applyBorder="1" applyAlignment="1">
      <alignment horizontal="center" vertical="center"/>
    </xf>
    <xf numFmtId="0" fontId="0" fillId="3" borderId="21" xfId="0" applyFill="1" applyBorder="1" applyAlignment="1">
      <alignment horizontal="center" vertical="center"/>
    </xf>
    <xf numFmtId="2" fontId="0" fillId="3" borderId="8" xfId="0" applyNumberFormat="1" applyFill="1" applyBorder="1" applyAlignment="1">
      <alignment horizontal="center" vertical="center"/>
    </xf>
    <xf numFmtId="2" fontId="0" fillId="3" borderId="2" xfId="0" applyNumberFormat="1" applyFill="1" applyBorder="1" applyAlignment="1">
      <alignment horizontal="center" vertical="center"/>
    </xf>
    <xf numFmtId="2" fontId="0" fillId="3" borderId="5" xfId="0" applyNumberFormat="1" applyFill="1" applyBorder="1" applyAlignment="1">
      <alignment horizontal="center" vertical="center"/>
    </xf>
    <xf numFmtId="165" fontId="0" fillId="3" borderId="2" xfId="0" applyNumberFormat="1" applyFill="1" applyBorder="1" applyAlignment="1">
      <alignment horizontal="center" vertical="center"/>
    </xf>
    <xf numFmtId="0" fontId="0" fillId="3" borderId="3" xfId="0" applyFill="1" applyBorder="1" applyAlignment="1">
      <alignment horizontal="center" vertical="center"/>
    </xf>
    <xf numFmtId="0" fontId="0" fillId="3" borderId="18" xfId="0" applyFill="1" applyBorder="1" applyAlignment="1">
      <alignment horizontal="center" vertical="center"/>
    </xf>
    <xf numFmtId="0" fontId="5" fillId="3" borderId="2" xfId="0" applyFont="1" applyFill="1" applyBorder="1" applyAlignment="1">
      <alignment horizontal="center" vertical="center"/>
    </xf>
    <xf numFmtId="0" fontId="0" fillId="3" borderId="5" xfId="0" applyFill="1" applyBorder="1" applyAlignment="1">
      <alignment horizontal="center" vertical="center"/>
    </xf>
    <xf numFmtId="165" fontId="1" fillId="3" borderId="2" xfId="1" applyNumberFormat="1" applyFill="1" applyBorder="1" applyAlignment="1">
      <alignment horizontal="center" vertical="center"/>
    </xf>
    <xf numFmtId="0" fontId="5" fillId="3" borderId="18" xfId="0" applyFont="1" applyFill="1" applyBorder="1"/>
    <xf numFmtId="0" fontId="0" fillId="3" borderId="18" xfId="0" applyFill="1" applyBorder="1"/>
    <xf numFmtId="166" fontId="0" fillId="3" borderId="19" xfId="0" applyNumberFormat="1" applyFill="1" applyBorder="1" applyAlignment="1">
      <alignment horizontal="center" vertical="center"/>
    </xf>
    <xf numFmtId="164" fontId="0" fillId="3" borderId="1" xfId="0" applyNumberFormat="1" applyFill="1" applyBorder="1" applyAlignment="1">
      <alignment horizontal="center" vertical="center"/>
    </xf>
    <xf numFmtId="0" fontId="9" fillId="3" borderId="2" xfId="0" applyFont="1" applyFill="1" applyBorder="1"/>
    <xf numFmtId="0" fontId="11" fillId="3" borderId="2" xfId="0" applyFont="1" applyFill="1" applyBorder="1"/>
    <xf numFmtId="0" fontId="2" fillId="3" borderId="2" xfId="0" applyFont="1" applyFill="1" applyBorder="1"/>
    <xf numFmtId="166" fontId="2" fillId="3" borderId="1" xfId="0" applyNumberFormat="1" applyFont="1" applyFill="1" applyBorder="1" applyAlignment="1">
      <alignment horizontal="center" vertical="center"/>
    </xf>
    <xf numFmtId="0" fontId="0" fillId="3" borderId="5" xfId="0" applyFill="1" applyBorder="1"/>
    <xf numFmtId="0" fontId="5" fillId="3" borderId="9" xfId="0" applyFont="1" applyFill="1" applyBorder="1"/>
    <xf numFmtId="0" fontId="0" fillId="3" borderId="8" xfId="0" applyFill="1" applyBorder="1"/>
    <xf numFmtId="0" fontId="5" fillId="3" borderId="3" xfId="0" applyFont="1" applyFill="1" applyBorder="1"/>
    <xf numFmtId="0" fontId="0" fillId="3" borderId="3" xfId="0" applyFill="1" applyBorder="1"/>
    <xf numFmtId="0" fontId="0" fillId="2" borderId="2" xfId="0" applyFill="1" applyBorder="1" applyAlignment="1">
      <alignment horizontal="center" vertical="center"/>
    </xf>
    <xf numFmtId="0" fontId="5" fillId="0" borderId="0" xfId="0" applyFont="1" applyAlignment="1">
      <alignment horizontal="center" vertical="center"/>
    </xf>
    <xf numFmtId="0" fontId="1" fillId="6" borderId="0" xfId="2" applyAlignment="1">
      <alignment horizontal="center"/>
    </xf>
    <xf numFmtId="0" fontId="1" fillId="6" borderId="0" xfId="2" applyAlignment="1">
      <alignment horizontal="center" vertical="center"/>
    </xf>
    <xf numFmtId="0" fontId="3" fillId="0" borderId="0" xfId="0" applyFont="1" applyAlignment="1">
      <alignment horizontal="center" vertical="center"/>
    </xf>
    <xf numFmtId="0" fontId="1" fillId="6" borderId="0" xfId="2" applyAlignment="1">
      <alignment horizontal="left" vertical="center"/>
    </xf>
    <xf numFmtId="0" fontId="0" fillId="2" borderId="18" xfId="0" applyFill="1" applyBorder="1" applyAlignment="1">
      <alignment horizontal="center" vertical="center"/>
    </xf>
    <xf numFmtId="2" fontId="0" fillId="2" borderId="2" xfId="0" applyNumberFormat="1" applyFill="1" applyBorder="1" applyAlignment="1">
      <alignment horizontal="center" vertical="center"/>
    </xf>
    <xf numFmtId="2" fontId="0" fillId="2" borderId="5" xfId="0" applyNumberFormat="1" applyFill="1" applyBorder="1" applyAlignment="1">
      <alignment horizontal="center" vertical="center"/>
    </xf>
    <xf numFmtId="0" fontId="5" fillId="2" borderId="0" xfId="0" applyFont="1" applyFill="1" applyAlignment="1">
      <alignment horizontal="center" vertical="center"/>
    </xf>
    <xf numFmtId="0" fontId="0" fillId="2" borderId="0" xfId="0" applyFill="1" applyAlignment="1">
      <alignment horizontal="center" vertical="center"/>
    </xf>
    <xf numFmtId="166" fontId="0" fillId="2" borderId="14" xfId="0" applyNumberFormat="1" applyFill="1" applyBorder="1" applyAlignment="1">
      <alignment horizontal="center"/>
    </xf>
    <xf numFmtId="164" fontId="0" fillId="2" borderId="1" xfId="0" applyNumberFormat="1" applyFill="1" applyBorder="1" applyAlignment="1">
      <alignment horizontal="center" vertical="center"/>
    </xf>
    <xf numFmtId="1" fontId="0" fillId="2" borderId="4" xfId="0" applyNumberFormat="1" applyFill="1" applyBorder="1" applyAlignment="1">
      <alignment horizontal="center" vertical="center"/>
    </xf>
    <xf numFmtId="1" fontId="0" fillId="2" borderId="1" xfId="0" applyNumberFormat="1" applyFill="1" applyBorder="1" applyAlignment="1">
      <alignment horizontal="center" vertical="center"/>
    </xf>
    <xf numFmtId="1" fontId="0" fillId="2" borderId="14" xfId="0" applyNumberFormat="1" applyFill="1" applyBorder="1" applyAlignment="1">
      <alignment horizontal="center" vertical="center"/>
    </xf>
    <xf numFmtId="0" fontId="0" fillId="0" borderId="18" xfId="0" applyFill="1" applyBorder="1" applyAlignment="1">
      <alignment horizontal="center" vertical="center"/>
    </xf>
    <xf numFmtId="0" fontId="0" fillId="0" borderId="2" xfId="0" applyFill="1" applyBorder="1" applyAlignment="1">
      <alignment horizontal="center" vertical="center"/>
    </xf>
    <xf numFmtId="0" fontId="5" fillId="0" borderId="2" xfId="0" applyFont="1" applyFill="1" applyBorder="1" applyAlignment="1">
      <alignment horizontal="center" vertical="center"/>
    </xf>
    <xf numFmtId="2" fontId="0" fillId="0" borderId="1" xfId="0" applyNumberFormat="1" applyFill="1" applyBorder="1" applyAlignment="1" applyProtection="1">
      <alignment horizontal="center"/>
    </xf>
    <xf numFmtId="2" fontId="0" fillId="0" borderId="8" xfId="0" applyNumberFormat="1" applyFill="1" applyBorder="1" applyAlignment="1" applyProtection="1">
      <alignment horizontal="center"/>
    </xf>
    <xf numFmtId="2" fontId="0" fillId="0" borderId="8" xfId="0" applyNumberFormat="1" applyFill="1" applyBorder="1" applyAlignment="1">
      <alignment horizontal="center" vertical="center"/>
    </xf>
    <xf numFmtId="2" fontId="0" fillId="0" borderId="2" xfId="0" applyNumberFormat="1" applyFill="1" applyBorder="1" applyAlignment="1">
      <alignment horizontal="center" vertical="center"/>
    </xf>
    <xf numFmtId="165" fontId="0" fillId="0" borderId="2" xfId="0" applyNumberFormat="1" applyFill="1" applyBorder="1" applyAlignment="1">
      <alignment horizontal="center" vertical="center"/>
    </xf>
    <xf numFmtId="166" fontId="0" fillId="0" borderId="1" xfId="0" applyNumberFormat="1" applyFill="1" applyBorder="1" applyAlignment="1">
      <alignment horizontal="center" vertical="center"/>
    </xf>
    <xf numFmtId="164" fontId="0" fillId="0" borderId="1" xfId="0" applyNumberFormat="1" applyFill="1" applyBorder="1" applyAlignment="1">
      <alignment horizontal="center" vertical="center"/>
    </xf>
    <xf numFmtId="166" fontId="2" fillId="0" borderId="1" xfId="0" applyNumberFormat="1" applyFont="1" applyFill="1" applyBorder="1" applyAlignment="1">
      <alignment horizontal="center" vertical="center"/>
    </xf>
    <xf numFmtId="166" fontId="0" fillId="0" borderId="1" xfId="0" applyNumberFormat="1" applyFill="1" applyBorder="1" applyAlignment="1">
      <alignment horizontal="center"/>
    </xf>
    <xf numFmtId="166" fontId="0" fillId="0" borderId="14" xfId="0" applyNumberFormat="1" applyFill="1" applyBorder="1" applyAlignment="1">
      <alignment horizontal="center"/>
    </xf>
    <xf numFmtId="1" fontId="0" fillId="0" borderId="4" xfId="0" applyNumberFormat="1" applyFill="1" applyBorder="1" applyAlignment="1">
      <alignment horizontal="center" vertical="center"/>
    </xf>
    <xf numFmtId="1" fontId="0" fillId="0" borderId="15" xfId="0" applyNumberFormat="1" applyFill="1" applyBorder="1" applyAlignment="1">
      <alignment horizontal="center" vertical="center"/>
    </xf>
    <xf numFmtId="1" fontId="0" fillId="0" borderId="1" xfId="0" applyNumberFormat="1" applyFill="1" applyBorder="1" applyAlignment="1">
      <alignment horizontal="center" vertical="center"/>
    </xf>
    <xf numFmtId="1" fontId="0" fillId="0" borderId="14" xfId="0" applyNumberFormat="1" applyFill="1" applyBorder="1" applyAlignment="1">
      <alignment horizontal="center" vertical="center"/>
    </xf>
    <xf numFmtId="1" fontId="0" fillId="0" borderId="12" xfId="0" applyNumberFormat="1" applyFill="1" applyBorder="1" applyAlignment="1">
      <alignment horizontal="center"/>
    </xf>
    <xf numFmtId="0" fontId="0" fillId="0" borderId="13" xfId="0" applyFill="1" applyBorder="1" applyAlignment="1">
      <alignment horizontal="center" vertical="center"/>
    </xf>
    <xf numFmtId="0" fontId="0" fillId="0" borderId="15" xfId="0" applyFill="1" applyBorder="1" applyAlignment="1">
      <alignment horizontal="center" vertical="center"/>
    </xf>
    <xf numFmtId="0" fontId="0" fillId="0" borderId="14" xfId="0" applyFill="1" applyBorder="1" applyAlignment="1">
      <alignment horizontal="center" vertical="center"/>
    </xf>
    <xf numFmtId="0" fontId="0" fillId="4" borderId="0" xfId="0" applyFill="1"/>
    <xf numFmtId="0" fontId="1" fillId="6" borderId="0" xfId="2" applyAlignment="1">
      <alignment horizontal="left" vertical="top"/>
    </xf>
    <xf numFmtId="0" fontId="11" fillId="0" borderId="0" xfId="0" applyFont="1"/>
  </cellXfs>
  <cellStyles count="3">
    <cellStyle name="20% - Accent3" xfId="2" builtinId="38"/>
    <cellStyle name="40% - Accent1" xfId="1" builtinId="31"/>
    <cellStyle name="Normal" xfId="0" builtinId="0"/>
  </cellStyles>
  <dxfs count="0"/>
  <tableStyles count="0" defaultTableStyle="TableStyleMedium9" defaultPivotStyle="PivotStyleLight16"/>
  <colors>
    <mruColors>
      <color rgb="FFCCFFFF"/>
      <color rgb="FF00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2A060-7A9E-407A-972F-F42067787ECB}">
  <dimension ref="B1:J33"/>
  <sheetViews>
    <sheetView zoomScale="70" zoomScaleNormal="70" workbookViewId="0">
      <selection activeCell="F29" sqref="F29"/>
    </sheetView>
  </sheetViews>
  <sheetFormatPr defaultRowHeight="12.75" x14ac:dyDescent="0.2"/>
  <cols>
    <col min="3" max="3" width="51.7109375" customWidth="1"/>
    <col min="6" max="6" width="43.5703125" customWidth="1"/>
    <col min="7" max="7" width="19.42578125" customWidth="1"/>
    <col min="9" max="9" width="53.42578125" customWidth="1"/>
    <col min="10" max="10" width="12.140625" customWidth="1"/>
    <col min="11" max="11" width="7.42578125" customWidth="1"/>
    <col min="12" max="14" width="9.140625" customWidth="1"/>
    <col min="15" max="15" width="11.140625" customWidth="1"/>
    <col min="16" max="16" width="10.140625" customWidth="1"/>
  </cols>
  <sheetData>
    <row r="1" spans="2:10" ht="18.75" thickBot="1" x14ac:dyDescent="0.3">
      <c r="C1" s="4" t="s">
        <v>96</v>
      </c>
      <c r="D1" s="13">
        <v>7</v>
      </c>
    </row>
    <row r="2" spans="2:10" ht="13.5" thickBot="1" x14ac:dyDescent="0.25"/>
    <row r="3" spans="2:10" ht="16.5" thickBot="1" x14ac:dyDescent="0.3">
      <c r="B3" s="7" t="s">
        <v>14</v>
      </c>
      <c r="C3" s="8"/>
      <c r="D3" s="8"/>
      <c r="E3" s="8" t="s">
        <v>15</v>
      </c>
      <c r="F3" s="8"/>
      <c r="G3" s="8"/>
      <c r="H3" s="8" t="s">
        <v>17</v>
      </c>
      <c r="I3" s="8"/>
      <c r="J3" s="31"/>
    </row>
    <row r="4" spans="2:10" ht="13.5" thickBot="1" x14ac:dyDescent="0.25">
      <c r="B4" s="32" t="s">
        <v>68</v>
      </c>
      <c r="C4" s="71" t="s">
        <v>124</v>
      </c>
      <c r="D4" s="67">
        <v>1</v>
      </c>
      <c r="E4" s="72" t="s">
        <v>77</v>
      </c>
      <c r="F4" s="72" t="s">
        <v>52</v>
      </c>
      <c r="G4" s="67">
        <f>SUM(D8-D12)</f>
        <v>225</v>
      </c>
      <c r="H4" s="71" t="s">
        <v>48</v>
      </c>
      <c r="I4" s="71" t="s">
        <v>101</v>
      </c>
      <c r="J4" s="73">
        <f>((D20^2*G21)/2)</f>
        <v>49246.875</v>
      </c>
    </row>
    <row r="5" spans="2:10" ht="15" customHeight="1" thickBot="1" x14ac:dyDescent="0.25">
      <c r="B5" s="18" t="s">
        <v>69</v>
      </c>
      <c r="C5" s="71" t="s">
        <v>125</v>
      </c>
      <c r="D5" s="67">
        <v>1</v>
      </c>
      <c r="E5" s="27" t="s">
        <v>78</v>
      </c>
      <c r="F5" s="27" t="s">
        <v>2</v>
      </c>
      <c r="G5" s="12">
        <f>SUM(D9-D13)</f>
        <v>225</v>
      </c>
      <c r="H5" s="27" t="s">
        <v>25</v>
      </c>
      <c r="I5" s="27" t="s">
        <v>34</v>
      </c>
      <c r="J5" s="52">
        <f>((D21^2*G22)/2)</f>
        <v>49246.875</v>
      </c>
    </row>
    <row r="6" spans="2:10" ht="16.5" customHeight="1" thickBot="1" x14ac:dyDescent="0.25">
      <c r="B6" s="18" t="s">
        <v>70</v>
      </c>
      <c r="C6" s="71" t="s">
        <v>126</v>
      </c>
      <c r="D6" s="67">
        <v>1</v>
      </c>
      <c r="E6" s="27" t="s">
        <v>79</v>
      </c>
      <c r="F6" s="27" t="s">
        <v>54</v>
      </c>
      <c r="G6" s="12">
        <f>SUM(D10-D14)</f>
        <v>225</v>
      </c>
      <c r="H6" s="27" t="s">
        <v>26</v>
      </c>
      <c r="I6" s="27" t="s">
        <v>33</v>
      </c>
      <c r="J6" s="52">
        <f>J4+J5</f>
        <v>98493.75</v>
      </c>
    </row>
    <row r="7" spans="2:10" x14ac:dyDescent="0.2">
      <c r="B7" s="18" t="s">
        <v>40</v>
      </c>
      <c r="C7" s="71" t="s">
        <v>127</v>
      </c>
      <c r="D7" s="67">
        <v>1</v>
      </c>
      <c r="E7" s="27" t="s">
        <v>0</v>
      </c>
      <c r="F7" s="27" t="s">
        <v>53</v>
      </c>
      <c r="G7" s="12">
        <f>SUM(D11-D15)</f>
        <v>225</v>
      </c>
      <c r="H7" s="27" t="s">
        <v>31</v>
      </c>
      <c r="I7" s="27" t="s">
        <v>32</v>
      </c>
      <c r="J7" s="52">
        <f>(G10*G27*5)</f>
        <v>-675.00000000000011</v>
      </c>
    </row>
    <row r="8" spans="2:10" x14ac:dyDescent="0.2">
      <c r="B8" s="18" t="s">
        <v>71</v>
      </c>
      <c r="C8" s="27" t="s">
        <v>60</v>
      </c>
      <c r="D8" s="12">
        <v>250</v>
      </c>
      <c r="E8" s="23" t="s">
        <v>7</v>
      </c>
      <c r="F8" s="27" t="s">
        <v>3</v>
      </c>
      <c r="G8" s="12">
        <f>SUM(G4+G5)</f>
        <v>450</v>
      </c>
      <c r="H8" s="44" t="s">
        <v>102</v>
      </c>
      <c r="I8" s="23" t="s">
        <v>104</v>
      </c>
      <c r="J8" s="74">
        <f>(J7/J6)</f>
        <v>-6.853226727584239E-3</v>
      </c>
    </row>
    <row r="9" spans="2:10" x14ac:dyDescent="0.2">
      <c r="B9" s="18" t="s">
        <v>72</v>
      </c>
      <c r="C9" s="27" t="s">
        <v>61</v>
      </c>
      <c r="D9" s="12">
        <v>250</v>
      </c>
      <c r="E9" s="27" t="s">
        <v>6</v>
      </c>
      <c r="F9" s="27" t="s">
        <v>4</v>
      </c>
      <c r="G9" s="12">
        <f>SUM(G6+G7)</f>
        <v>450</v>
      </c>
      <c r="H9" s="75" t="s">
        <v>13</v>
      </c>
      <c r="I9" s="27" t="s">
        <v>35</v>
      </c>
      <c r="J9" s="52">
        <f>(J8*G21*D20)/2</f>
        <v>-225.00000000000006</v>
      </c>
    </row>
    <row r="10" spans="2:10" x14ac:dyDescent="0.2">
      <c r="B10" s="18" t="s">
        <v>73</v>
      </c>
      <c r="C10" s="27" t="s">
        <v>62</v>
      </c>
      <c r="D10" s="12">
        <v>250</v>
      </c>
      <c r="E10" s="23" t="s">
        <v>100</v>
      </c>
      <c r="F10" s="23" t="s">
        <v>98</v>
      </c>
      <c r="G10" s="12">
        <f>SUM(G8+G9)</f>
        <v>900</v>
      </c>
      <c r="H10" s="75" t="s">
        <v>16</v>
      </c>
      <c r="I10" s="23" t="s">
        <v>36</v>
      </c>
      <c r="J10" s="52">
        <f>(J8*G22*D21)/2</f>
        <v>-225.00000000000006</v>
      </c>
    </row>
    <row r="11" spans="2:10" x14ac:dyDescent="0.2">
      <c r="B11" s="18" t="s">
        <v>1</v>
      </c>
      <c r="C11" s="27" t="s">
        <v>63</v>
      </c>
      <c r="D11" s="12">
        <v>250</v>
      </c>
      <c r="E11" s="23" t="s">
        <v>136</v>
      </c>
      <c r="F11" s="23" t="s">
        <v>99</v>
      </c>
      <c r="G11" s="26">
        <f>SUM(G10+D12+D13+D14+D15)</f>
        <v>1000</v>
      </c>
      <c r="H11" s="76"/>
      <c r="I11" s="77"/>
      <c r="J11" s="78"/>
    </row>
    <row r="12" spans="2:10" x14ac:dyDescent="0.2">
      <c r="B12" s="18" t="s">
        <v>74</v>
      </c>
      <c r="C12" s="27" t="s">
        <v>64</v>
      </c>
      <c r="D12" s="68">
        <v>25</v>
      </c>
      <c r="E12" s="27" t="s">
        <v>137</v>
      </c>
      <c r="F12" s="27" t="s">
        <v>103</v>
      </c>
      <c r="G12" s="26">
        <f>SUM(D12+D13+D14+D15)</f>
        <v>100</v>
      </c>
      <c r="H12" s="75" t="s">
        <v>41</v>
      </c>
      <c r="I12" s="23" t="s">
        <v>110</v>
      </c>
      <c r="J12" s="52">
        <f>(G8*'Q1'!D1*'Q1'!D27)/'Q1'!D20</f>
        <v>210</v>
      </c>
    </row>
    <row r="13" spans="2:10" x14ac:dyDescent="0.2">
      <c r="B13" s="18" t="s">
        <v>75</v>
      </c>
      <c r="C13" s="27" t="s">
        <v>65</v>
      </c>
      <c r="D13" s="68">
        <v>25</v>
      </c>
      <c r="E13" s="23" t="s">
        <v>93</v>
      </c>
      <c r="F13" s="27" t="s">
        <v>55</v>
      </c>
      <c r="G13" s="6">
        <f>SUM(D16*0.1751)</f>
        <v>43.774999999999999</v>
      </c>
      <c r="H13" s="75" t="s">
        <v>44</v>
      </c>
      <c r="I13" s="23" t="s">
        <v>111</v>
      </c>
      <c r="J13" s="52">
        <f>(G9*D1*D28)/D21</f>
        <v>420</v>
      </c>
    </row>
    <row r="14" spans="2:10" x14ac:dyDescent="0.2">
      <c r="B14" s="18" t="s">
        <v>76</v>
      </c>
      <c r="C14" s="27" t="s">
        <v>66</v>
      </c>
      <c r="D14" s="68">
        <v>25</v>
      </c>
      <c r="E14" s="23" t="s">
        <v>94</v>
      </c>
      <c r="F14" s="27" t="s">
        <v>56</v>
      </c>
      <c r="G14" s="6">
        <f>SUM(D17*0.1751)</f>
        <v>43.774999999999999</v>
      </c>
      <c r="H14" s="75" t="s">
        <v>42</v>
      </c>
      <c r="I14" s="23" t="s">
        <v>112</v>
      </c>
      <c r="J14" s="52">
        <f>((D12+D13)*D1*D23)/D20</f>
        <v>64.166666666666671</v>
      </c>
    </row>
    <row r="15" spans="2:10" x14ac:dyDescent="0.2">
      <c r="B15" s="18" t="s">
        <v>5</v>
      </c>
      <c r="C15" s="27" t="s">
        <v>67</v>
      </c>
      <c r="D15" s="68">
        <v>25</v>
      </c>
      <c r="E15" s="27" t="s">
        <v>80</v>
      </c>
      <c r="F15" s="27" t="s">
        <v>57</v>
      </c>
      <c r="G15" s="6">
        <f>SUM(D18*0.1751)</f>
        <v>43.774999999999999</v>
      </c>
      <c r="H15" s="75" t="s">
        <v>43</v>
      </c>
      <c r="I15" s="23" t="s">
        <v>113</v>
      </c>
      <c r="J15" s="52">
        <f>((D14+D15)*D1*D24)/D21</f>
        <v>64.166666666666671</v>
      </c>
    </row>
    <row r="16" spans="2:10" x14ac:dyDescent="0.2">
      <c r="B16" s="18" t="s">
        <v>86</v>
      </c>
      <c r="C16" s="27" t="s">
        <v>88</v>
      </c>
      <c r="D16" s="12">
        <v>250</v>
      </c>
      <c r="E16" s="27" t="s">
        <v>81</v>
      </c>
      <c r="F16" s="27" t="s">
        <v>58</v>
      </c>
      <c r="G16" s="20">
        <f>SUM(D19*0.1751)</f>
        <v>43.774999999999999</v>
      </c>
      <c r="H16" s="75"/>
      <c r="I16" s="23" t="s">
        <v>114</v>
      </c>
      <c r="J16" s="29">
        <f>J9+J12+J14</f>
        <v>49.166666666666615</v>
      </c>
    </row>
    <row r="17" spans="2:10" ht="13.5" thickBot="1" x14ac:dyDescent="0.25">
      <c r="B17" s="18" t="s">
        <v>87</v>
      </c>
      <c r="C17" s="27" t="s">
        <v>89</v>
      </c>
      <c r="D17" s="12">
        <v>250</v>
      </c>
      <c r="E17" s="27" t="s">
        <v>82</v>
      </c>
      <c r="F17" s="27" t="s">
        <v>59</v>
      </c>
      <c r="G17" s="62">
        <f>D4^2*G13</f>
        <v>43.774999999999999</v>
      </c>
      <c r="H17" s="75"/>
      <c r="I17" s="23" t="s">
        <v>115</v>
      </c>
      <c r="J17" s="30">
        <f>J10+J13+J15</f>
        <v>259.16666666666663</v>
      </c>
    </row>
    <row r="18" spans="2:10" ht="13.5" thickBot="1" x14ac:dyDescent="0.25">
      <c r="B18" s="18" t="s">
        <v>80</v>
      </c>
      <c r="C18" s="27" t="s">
        <v>90</v>
      </c>
      <c r="D18" s="12">
        <v>250</v>
      </c>
      <c r="E18" s="27" t="s">
        <v>83</v>
      </c>
      <c r="F18" s="27" t="s">
        <v>84</v>
      </c>
      <c r="G18" s="62">
        <f>D5^2*G14</f>
        <v>43.774999999999999</v>
      </c>
      <c r="H18" s="27"/>
      <c r="I18" s="28" t="s">
        <v>130</v>
      </c>
      <c r="J18" s="53">
        <f>J16+J17</f>
        <v>308.33333333333326</v>
      </c>
    </row>
    <row r="19" spans="2:10" x14ac:dyDescent="0.2">
      <c r="B19" s="18" t="s">
        <v>81</v>
      </c>
      <c r="C19" s="27" t="s">
        <v>91</v>
      </c>
      <c r="D19" s="12">
        <v>250</v>
      </c>
      <c r="E19" s="27" t="s">
        <v>120</v>
      </c>
      <c r="F19" s="27" t="s">
        <v>118</v>
      </c>
      <c r="G19" s="63">
        <f>D6^2*G15</f>
        <v>43.774999999999999</v>
      </c>
      <c r="H19" s="27" t="s">
        <v>85</v>
      </c>
      <c r="I19" s="27" t="s">
        <v>37</v>
      </c>
      <c r="J19" s="54">
        <f>D8*9.81+J16</f>
        <v>2501.6666666666665</v>
      </c>
    </row>
    <row r="20" spans="2:10" x14ac:dyDescent="0.2">
      <c r="B20" s="18" t="s">
        <v>9</v>
      </c>
      <c r="C20" s="27" t="s">
        <v>132</v>
      </c>
      <c r="D20" s="12">
        <v>1.5</v>
      </c>
      <c r="E20" s="27" t="s">
        <v>121</v>
      </c>
      <c r="F20" s="27" t="s">
        <v>119</v>
      </c>
      <c r="G20" s="63">
        <f>D7^2*G16</f>
        <v>43.774999999999999</v>
      </c>
      <c r="H20" s="23" t="s">
        <v>95</v>
      </c>
      <c r="I20" s="27" t="s">
        <v>131</v>
      </c>
      <c r="J20" s="55">
        <f>D9*9.81-J16</f>
        <v>2403.3333333333335</v>
      </c>
    </row>
    <row r="21" spans="2:10" x14ac:dyDescent="0.2">
      <c r="B21" s="18" t="s">
        <v>10</v>
      </c>
      <c r="C21" s="27" t="s">
        <v>8</v>
      </c>
      <c r="D21" s="12">
        <v>1.5</v>
      </c>
      <c r="E21" s="79" t="s">
        <v>134</v>
      </c>
      <c r="F21" s="79" t="s">
        <v>128</v>
      </c>
      <c r="G21" s="64">
        <f>(G17+G18)*1000/2</f>
        <v>43775</v>
      </c>
      <c r="H21" s="23" t="s">
        <v>92</v>
      </c>
      <c r="I21" s="27" t="s">
        <v>38</v>
      </c>
      <c r="J21" s="55">
        <f>D10*9.81+J17</f>
        <v>2711.6666666666665</v>
      </c>
    </row>
    <row r="22" spans="2:10" ht="13.5" thickBot="1" x14ac:dyDescent="0.25">
      <c r="B22" s="18" t="s">
        <v>12</v>
      </c>
      <c r="C22" s="27" t="s">
        <v>11</v>
      </c>
      <c r="D22" s="12">
        <v>2.5</v>
      </c>
      <c r="E22" s="79" t="s">
        <v>135</v>
      </c>
      <c r="F22" s="79" t="s">
        <v>129</v>
      </c>
      <c r="G22" s="64">
        <f>(G19+G20)*1000/2</f>
        <v>43775</v>
      </c>
      <c r="H22" s="27" t="s">
        <v>24</v>
      </c>
      <c r="I22" s="27" t="s">
        <v>39</v>
      </c>
      <c r="J22" s="56">
        <f>D11*9.81-J17</f>
        <v>2193.3333333333335</v>
      </c>
    </row>
    <row r="23" spans="2:10" x14ac:dyDescent="0.2">
      <c r="B23" s="22" t="s">
        <v>107</v>
      </c>
      <c r="C23" s="23" t="s">
        <v>105</v>
      </c>
      <c r="D23" s="12">
        <v>0.27500000000000002</v>
      </c>
      <c r="E23" s="27" t="s">
        <v>20</v>
      </c>
      <c r="F23" s="23" t="s">
        <v>97</v>
      </c>
      <c r="G23" s="12">
        <f>(G9*D22)/G10</f>
        <v>1.25</v>
      </c>
      <c r="H23" s="27"/>
      <c r="I23" s="80" t="s">
        <v>116</v>
      </c>
      <c r="J23" s="57">
        <f>J19+J20+J21+J22</f>
        <v>9810</v>
      </c>
    </row>
    <row r="24" spans="2:10" ht="13.5" thickBot="1" x14ac:dyDescent="0.25">
      <c r="B24" s="24" t="s">
        <v>106</v>
      </c>
      <c r="C24" s="25" t="s">
        <v>108</v>
      </c>
      <c r="D24" s="69">
        <v>0.27500000000000002</v>
      </c>
      <c r="E24" s="27" t="s">
        <v>21</v>
      </c>
      <c r="F24" s="27" t="s">
        <v>30</v>
      </c>
      <c r="G24" s="12">
        <f>D28-D27</f>
        <v>0.1</v>
      </c>
      <c r="H24" s="27"/>
      <c r="I24" s="28" t="s">
        <v>117</v>
      </c>
      <c r="J24" s="58">
        <f>G11*9.81</f>
        <v>9810</v>
      </c>
    </row>
    <row r="25" spans="2:10" x14ac:dyDescent="0.2">
      <c r="B25" s="38" t="s">
        <v>133</v>
      </c>
      <c r="C25" s="27" t="s">
        <v>47</v>
      </c>
      <c r="D25" s="12">
        <v>0.4</v>
      </c>
      <c r="E25" s="27" t="s">
        <v>22</v>
      </c>
      <c r="F25" s="27" t="s">
        <v>27</v>
      </c>
      <c r="G25" s="12">
        <f>(D28-D27)/D22*G23</f>
        <v>0.05</v>
      </c>
      <c r="H25" s="27"/>
      <c r="I25" s="27"/>
      <c r="J25" s="59"/>
    </row>
    <row r="26" spans="2:10" ht="13.5" thickBot="1" x14ac:dyDescent="0.25">
      <c r="B26" s="18" t="s">
        <v>45</v>
      </c>
      <c r="C26" s="27" t="s">
        <v>46</v>
      </c>
      <c r="D26" s="42"/>
      <c r="E26" s="27" t="s">
        <v>23</v>
      </c>
      <c r="F26" s="27" t="s">
        <v>28</v>
      </c>
      <c r="G26" s="12">
        <f>G25+D27</f>
        <v>0.15000000000000002</v>
      </c>
      <c r="H26" s="27"/>
      <c r="I26" s="27"/>
      <c r="J26" s="60"/>
    </row>
    <row r="27" spans="2:10" ht="13.5" thickBot="1" x14ac:dyDescent="0.25">
      <c r="B27" s="18" t="s">
        <v>18</v>
      </c>
      <c r="C27" s="23" t="s">
        <v>122</v>
      </c>
      <c r="D27" s="12">
        <v>0.1</v>
      </c>
      <c r="E27" s="27" t="s">
        <v>51</v>
      </c>
      <c r="F27" s="27" t="s">
        <v>29</v>
      </c>
      <c r="G27" s="65">
        <f>D26-G25-D27</f>
        <v>-0.15000000000000002</v>
      </c>
      <c r="H27" s="27" t="s">
        <v>49</v>
      </c>
      <c r="I27" s="81" t="s">
        <v>50</v>
      </c>
      <c r="J27" s="53">
        <f>(G11*D1*D25)/((D20+D21)/2)</f>
        <v>1866.6666666666667</v>
      </c>
    </row>
    <row r="28" spans="2:10" ht="13.5" thickBot="1" x14ac:dyDescent="0.25">
      <c r="B28" s="37" t="s">
        <v>19</v>
      </c>
      <c r="C28" s="82" t="s">
        <v>123</v>
      </c>
      <c r="D28" s="66">
        <v>0.2</v>
      </c>
      <c r="E28" s="83"/>
      <c r="F28" s="83"/>
      <c r="G28" s="66"/>
      <c r="H28" s="83"/>
      <c r="I28" s="83"/>
      <c r="J28" s="61"/>
    </row>
    <row r="30" spans="2:10" ht="15" x14ac:dyDescent="0.25">
      <c r="H30" s="9"/>
      <c r="I30" s="47" t="s">
        <v>109</v>
      </c>
      <c r="J30" s="48">
        <f>J19-J20</f>
        <v>98.33333333333303</v>
      </c>
    </row>
    <row r="31" spans="2:10" ht="15" x14ac:dyDescent="0.25">
      <c r="H31" s="10"/>
      <c r="I31" s="49" t="s">
        <v>138</v>
      </c>
      <c r="J31" s="48">
        <f>J21-J22</f>
        <v>518.33333333333303</v>
      </c>
    </row>
    <row r="32" spans="2:10" ht="15" x14ac:dyDescent="0.25">
      <c r="I32" s="49" t="s">
        <v>139</v>
      </c>
      <c r="J32" s="48">
        <f>J30-J31</f>
        <v>-420</v>
      </c>
    </row>
    <row r="33" spans="9:10" ht="15" x14ac:dyDescent="0.25">
      <c r="I33" s="49" t="s">
        <v>140</v>
      </c>
      <c r="J33" s="47">
        <f>J31/(J30+J31)*100</f>
        <v>84.054054054054077</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F1EF6-B3DC-4130-9781-4CCE0A91AE47}">
  <dimension ref="B1:J33"/>
  <sheetViews>
    <sheetView zoomScale="70" zoomScaleNormal="70" workbookViewId="0">
      <selection activeCell="J9" sqref="J9"/>
    </sheetView>
  </sheetViews>
  <sheetFormatPr defaultRowHeight="12.75" x14ac:dyDescent="0.2"/>
  <cols>
    <col min="3" max="3" width="51.7109375" customWidth="1"/>
    <col min="6" max="6" width="43.5703125" customWidth="1"/>
    <col min="7" max="7" width="19.42578125" customWidth="1"/>
    <col min="9" max="9" width="53.42578125" customWidth="1"/>
    <col min="10" max="10" width="12.140625" customWidth="1"/>
    <col min="11" max="11" width="7.42578125" customWidth="1"/>
    <col min="12" max="14" width="9.140625" customWidth="1"/>
    <col min="15" max="15" width="11.140625" customWidth="1"/>
    <col min="16" max="16" width="10.140625" customWidth="1"/>
  </cols>
  <sheetData>
    <row r="1" spans="2:10" ht="18.75" thickBot="1" x14ac:dyDescent="0.3">
      <c r="C1" s="4" t="s">
        <v>96</v>
      </c>
      <c r="D1" s="13">
        <v>8.1</v>
      </c>
    </row>
    <row r="2" spans="2:10" ht="13.5" thickBot="1" x14ac:dyDescent="0.25"/>
    <row r="3" spans="2:10" ht="16.5" thickBot="1" x14ac:dyDescent="0.3">
      <c r="B3" s="7" t="s">
        <v>14</v>
      </c>
      <c r="C3" s="8"/>
      <c r="D3" s="8"/>
      <c r="E3" s="8" t="s">
        <v>15</v>
      </c>
      <c r="F3" s="8"/>
      <c r="G3" s="8"/>
      <c r="H3" s="8" t="s">
        <v>17</v>
      </c>
      <c r="I3" s="8"/>
      <c r="J3" s="31"/>
    </row>
    <row r="4" spans="2:10" ht="13.5" thickBot="1" x14ac:dyDescent="0.25">
      <c r="B4" s="32" t="s">
        <v>68</v>
      </c>
      <c r="C4" s="35" t="s">
        <v>124</v>
      </c>
      <c r="D4" s="67">
        <v>0.87</v>
      </c>
      <c r="E4" s="33" t="s">
        <v>77</v>
      </c>
      <c r="F4" s="33" t="s">
        <v>52</v>
      </c>
      <c r="G4" s="34">
        <f>SUM(D8-D12)</f>
        <v>156.80000000000001</v>
      </c>
      <c r="H4" s="35" t="s">
        <v>48</v>
      </c>
      <c r="I4" s="35" t="s">
        <v>101</v>
      </c>
      <c r="J4" s="36">
        <f>((D20^2*G21)/2)</f>
        <v>28877.689953614248</v>
      </c>
    </row>
    <row r="5" spans="2:10" ht="15" customHeight="1" thickBot="1" x14ac:dyDescent="0.25">
      <c r="B5" s="18" t="s">
        <v>69</v>
      </c>
      <c r="C5" s="35" t="s">
        <v>125</v>
      </c>
      <c r="D5" s="67">
        <v>0.82</v>
      </c>
      <c r="E5" s="1" t="s">
        <v>78</v>
      </c>
      <c r="F5" s="1" t="s">
        <v>2</v>
      </c>
      <c r="G5" s="5">
        <f>SUM(D9-D13)</f>
        <v>177.2</v>
      </c>
      <c r="H5" s="1" t="s">
        <v>25</v>
      </c>
      <c r="I5" s="1" t="s">
        <v>34</v>
      </c>
      <c r="J5" s="14">
        <f>((D21^2*G22)/2)</f>
        <v>70815.56726419201</v>
      </c>
    </row>
    <row r="6" spans="2:10" ht="16.5" customHeight="1" thickBot="1" x14ac:dyDescent="0.25">
      <c r="B6" s="18" t="s">
        <v>70</v>
      </c>
      <c r="C6" s="35" t="s">
        <v>126</v>
      </c>
      <c r="D6" s="67">
        <v>1.02</v>
      </c>
      <c r="E6" s="1" t="s">
        <v>79</v>
      </c>
      <c r="F6" s="1" t="s">
        <v>54</v>
      </c>
      <c r="G6" s="5">
        <f>SUM(D10-D14)</f>
        <v>163.80000000000001</v>
      </c>
      <c r="H6" s="1" t="s">
        <v>26</v>
      </c>
      <c r="I6" s="1" t="s">
        <v>33</v>
      </c>
      <c r="J6" s="14">
        <f>J4+J5</f>
        <v>99693.257217806255</v>
      </c>
    </row>
    <row r="7" spans="2:10" x14ac:dyDescent="0.2">
      <c r="B7" s="18" t="s">
        <v>40</v>
      </c>
      <c r="C7" s="35" t="s">
        <v>127</v>
      </c>
      <c r="D7" s="67">
        <v>1.02</v>
      </c>
      <c r="E7" s="1" t="s">
        <v>0</v>
      </c>
      <c r="F7" s="1" t="s">
        <v>53</v>
      </c>
      <c r="G7" s="5">
        <f>SUM(D11-D15)</f>
        <v>184.2</v>
      </c>
      <c r="H7" s="1" t="s">
        <v>31</v>
      </c>
      <c r="I7" s="1" t="s">
        <v>32</v>
      </c>
      <c r="J7" s="14">
        <f>(G10*G27*5)</f>
        <v>-395.99999999999994</v>
      </c>
    </row>
    <row r="8" spans="2:10" x14ac:dyDescent="0.2">
      <c r="B8" s="18" t="s">
        <v>71</v>
      </c>
      <c r="C8" s="1" t="s">
        <v>60</v>
      </c>
      <c r="D8" s="12">
        <v>185.8</v>
      </c>
      <c r="E8" s="3" t="s">
        <v>7</v>
      </c>
      <c r="F8" s="1" t="s">
        <v>3</v>
      </c>
      <c r="G8" s="5">
        <f>SUM(G4+G5)</f>
        <v>334</v>
      </c>
      <c r="H8" s="44" t="s">
        <v>102</v>
      </c>
      <c r="I8" s="3" t="s">
        <v>104</v>
      </c>
      <c r="J8" s="43">
        <f>(J7/J6)</f>
        <v>-3.972184388908403E-3</v>
      </c>
    </row>
    <row r="9" spans="2:10" x14ac:dyDescent="0.2">
      <c r="B9" s="18" t="s">
        <v>72</v>
      </c>
      <c r="C9" s="1" t="s">
        <v>61</v>
      </c>
      <c r="D9" s="12">
        <v>206.2</v>
      </c>
      <c r="E9" s="1" t="s">
        <v>6</v>
      </c>
      <c r="F9" s="1" t="s">
        <v>4</v>
      </c>
      <c r="G9" s="5">
        <f>SUM(G6+G7)</f>
        <v>348</v>
      </c>
      <c r="H9" s="45" t="s">
        <v>13</v>
      </c>
      <c r="I9" s="1" t="s">
        <v>35</v>
      </c>
      <c r="J9" s="51">
        <f>(J8*G21*D20)/2</f>
        <v>-78.032319198288135</v>
      </c>
    </row>
    <row r="10" spans="2:10" x14ac:dyDescent="0.2">
      <c r="B10" s="18" t="s">
        <v>73</v>
      </c>
      <c r="C10" s="1" t="s">
        <v>62</v>
      </c>
      <c r="D10" s="12">
        <v>198.8</v>
      </c>
      <c r="E10" s="23" t="s">
        <v>100</v>
      </c>
      <c r="F10" s="23" t="s">
        <v>98</v>
      </c>
      <c r="G10" s="12">
        <f>SUM(G8+G9)</f>
        <v>682</v>
      </c>
      <c r="H10" s="45" t="s">
        <v>16</v>
      </c>
      <c r="I10" s="3" t="s">
        <v>36</v>
      </c>
      <c r="J10" s="52">
        <f>(J8*G22*D21)/2</f>
        <v>-185.06084919639241</v>
      </c>
    </row>
    <row r="11" spans="2:10" x14ac:dyDescent="0.2">
      <c r="B11" s="18" t="s">
        <v>1</v>
      </c>
      <c r="C11" s="1" t="s">
        <v>63</v>
      </c>
      <c r="D11" s="12">
        <v>219.2</v>
      </c>
      <c r="E11" s="23" t="s">
        <v>136</v>
      </c>
      <c r="F11" s="23" t="s">
        <v>99</v>
      </c>
      <c r="G11" s="26">
        <f>SUM(G10+D12+D13+D14+D15)</f>
        <v>810</v>
      </c>
      <c r="H11" s="46"/>
      <c r="I11" s="2"/>
      <c r="J11" s="15"/>
    </row>
    <row r="12" spans="2:10" x14ac:dyDescent="0.2">
      <c r="B12" s="18" t="s">
        <v>74</v>
      </c>
      <c r="C12" s="1" t="s">
        <v>64</v>
      </c>
      <c r="D12" s="68">
        <v>29</v>
      </c>
      <c r="E12" s="27" t="s">
        <v>137</v>
      </c>
      <c r="F12" s="27" t="s">
        <v>103</v>
      </c>
      <c r="G12" s="26">
        <f>SUM(D12+D13+D14+D15)</f>
        <v>128</v>
      </c>
      <c r="H12" s="45" t="s">
        <v>41</v>
      </c>
      <c r="I12" s="3" t="s">
        <v>110</v>
      </c>
      <c r="J12" s="14">
        <f>(G8*'Q2'!D1*'Q2'!D27)/'Q2'!D20</f>
        <v>110.42448979591838</v>
      </c>
    </row>
    <row r="13" spans="2:10" x14ac:dyDescent="0.2">
      <c r="B13" s="18" t="s">
        <v>75</v>
      </c>
      <c r="C13" s="1" t="s">
        <v>65</v>
      </c>
      <c r="D13" s="68">
        <v>29</v>
      </c>
      <c r="E13" s="3" t="s">
        <v>93</v>
      </c>
      <c r="F13" s="1" t="s">
        <v>55</v>
      </c>
      <c r="G13" s="6">
        <f>SUM(D16*0.1751)</f>
        <v>37.646500000000003</v>
      </c>
      <c r="H13" s="45" t="s">
        <v>44</v>
      </c>
      <c r="I13" s="3" t="s">
        <v>111</v>
      </c>
      <c r="J13" s="14">
        <f>(G9*D1*D28)/D21</f>
        <v>315.26052631578943</v>
      </c>
    </row>
    <row r="14" spans="2:10" x14ac:dyDescent="0.2">
      <c r="B14" s="18" t="s">
        <v>76</v>
      </c>
      <c r="C14" s="1" t="s">
        <v>66</v>
      </c>
      <c r="D14" s="68">
        <v>35</v>
      </c>
      <c r="E14" s="3" t="s">
        <v>94</v>
      </c>
      <c r="F14" s="1" t="s">
        <v>56</v>
      </c>
      <c r="G14" s="6">
        <f>SUM(D17*0.1751)</f>
        <v>37.121200000000002</v>
      </c>
      <c r="H14" s="45" t="s">
        <v>42</v>
      </c>
      <c r="I14" s="3" t="s">
        <v>112</v>
      </c>
      <c r="J14" s="14">
        <f>((D12+D13)*D1*D23)/D20</f>
        <v>89.485714285714295</v>
      </c>
    </row>
    <row r="15" spans="2:10" x14ac:dyDescent="0.2">
      <c r="B15" s="18" t="s">
        <v>5</v>
      </c>
      <c r="C15" s="1" t="s">
        <v>67</v>
      </c>
      <c r="D15" s="68">
        <v>35</v>
      </c>
      <c r="E15" s="1" t="s">
        <v>80</v>
      </c>
      <c r="F15" s="1" t="s">
        <v>57</v>
      </c>
      <c r="G15" s="6">
        <f>SUM(D18*0.1751)</f>
        <v>58.833600000000004</v>
      </c>
      <c r="H15" s="45" t="s">
        <v>43</v>
      </c>
      <c r="I15" s="3" t="s">
        <v>113</v>
      </c>
      <c r="J15" s="52">
        <f>((D14+D15)*D1*D24)/D21</f>
        <v>104.44736842105264</v>
      </c>
    </row>
    <row r="16" spans="2:10" x14ac:dyDescent="0.2">
      <c r="B16" s="18" t="s">
        <v>86</v>
      </c>
      <c r="C16" s="1" t="s">
        <v>88</v>
      </c>
      <c r="D16" s="12">
        <v>215</v>
      </c>
      <c r="E16" s="1" t="s">
        <v>81</v>
      </c>
      <c r="F16" s="1" t="s">
        <v>58</v>
      </c>
      <c r="G16" s="20">
        <f>SUM(D19*0.1751)</f>
        <v>59.008700000000005</v>
      </c>
      <c r="H16" s="45"/>
      <c r="I16" s="23" t="s">
        <v>114</v>
      </c>
      <c r="J16" s="29">
        <f>J9+J12+J14</f>
        <v>121.87788488334454</v>
      </c>
    </row>
    <row r="17" spans="2:10" ht="13.5" thickBot="1" x14ac:dyDescent="0.25">
      <c r="B17" s="18" t="s">
        <v>87</v>
      </c>
      <c r="C17" s="1" t="s">
        <v>89</v>
      </c>
      <c r="D17" s="12">
        <v>212</v>
      </c>
      <c r="E17" s="1" t="s">
        <v>82</v>
      </c>
      <c r="F17" s="1" t="s">
        <v>59</v>
      </c>
      <c r="G17" s="62">
        <f>D4^2*G13</f>
        <v>28.494635850000002</v>
      </c>
      <c r="H17" s="45"/>
      <c r="I17" s="23" t="s">
        <v>115</v>
      </c>
      <c r="J17" s="30">
        <f>J10+J13+J15</f>
        <v>234.64704554044965</v>
      </c>
    </row>
    <row r="18" spans="2:10" ht="13.5" thickBot="1" x14ac:dyDescent="0.25">
      <c r="B18" s="18" t="s">
        <v>80</v>
      </c>
      <c r="C18" s="1" t="s">
        <v>90</v>
      </c>
      <c r="D18" s="12">
        <v>336</v>
      </c>
      <c r="E18" s="1" t="s">
        <v>83</v>
      </c>
      <c r="F18" s="1" t="s">
        <v>84</v>
      </c>
      <c r="G18" s="62">
        <f>D5^2*G14</f>
        <v>24.960294879999996</v>
      </c>
      <c r="H18" s="1"/>
      <c r="I18" s="28" t="s">
        <v>130</v>
      </c>
      <c r="J18" s="53">
        <f>J16+J17</f>
        <v>356.52493042379422</v>
      </c>
    </row>
    <row r="19" spans="2:10" x14ac:dyDescent="0.2">
      <c r="B19" s="18" t="s">
        <v>81</v>
      </c>
      <c r="C19" s="1" t="s">
        <v>91</v>
      </c>
      <c r="D19" s="12">
        <v>337</v>
      </c>
      <c r="E19" s="1" t="s">
        <v>120</v>
      </c>
      <c r="F19" s="1" t="s">
        <v>118</v>
      </c>
      <c r="G19" s="63">
        <f>D6^2*G15</f>
        <v>61.210477440000005</v>
      </c>
      <c r="H19" s="1" t="s">
        <v>85</v>
      </c>
      <c r="I19" s="1" t="s">
        <v>37</v>
      </c>
      <c r="J19" s="54">
        <f>D8*9.81+J16</f>
        <v>1944.5758848833445</v>
      </c>
    </row>
    <row r="20" spans="2:10" x14ac:dyDescent="0.2">
      <c r="B20" s="18" t="s">
        <v>9</v>
      </c>
      <c r="C20" s="1" t="s">
        <v>132</v>
      </c>
      <c r="D20" s="12">
        <v>1.47</v>
      </c>
      <c r="E20" s="1" t="s">
        <v>121</v>
      </c>
      <c r="F20" s="1" t="s">
        <v>119</v>
      </c>
      <c r="G20" s="63">
        <f>D7^2*G16</f>
        <v>61.392651480000005</v>
      </c>
      <c r="H20" s="3" t="s">
        <v>95</v>
      </c>
      <c r="I20" s="1" t="s">
        <v>131</v>
      </c>
      <c r="J20" s="55">
        <f>D9*9.81-J16</f>
        <v>1900.9441151166554</v>
      </c>
    </row>
    <row r="21" spans="2:10" x14ac:dyDescent="0.2">
      <c r="B21" s="18" t="s">
        <v>10</v>
      </c>
      <c r="C21" s="1" t="s">
        <v>8</v>
      </c>
      <c r="D21" s="12">
        <v>1.52</v>
      </c>
      <c r="E21" s="40" t="s">
        <v>134</v>
      </c>
      <c r="F21" s="40" t="s">
        <v>128</v>
      </c>
      <c r="G21" s="64">
        <f>(G17+G18)*1000/2</f>
        <v>26727.465365</v>
      </c>
      <c r="H21" s="3" t="s">
        <v>92</v>
      </c>
      <c r="I21" s="1" t="s">
        <v>38</v>
      </c>
      <c r="J21" s="55">
        <f>D10*9.81+J17</f>
        <v>2184.8750455404497</v>
      </c>
    </row>
    <row r="22" spans="2:10" ht="13.5" thickBot="1" x14ac:dyDescent="0.25">
      <c r="B22" s="18" t="s">
        <v>12</v>
      </c>
      <c r="C22" s="1" t="s">
        <v>11</v>
      </c>
      <c r="D22" s="12">
        <v>2.5499999999999998</v>
      </c>
      <c r="E22" s="40" t="s">
        <v>135</v>
      </c>
      <c r="F22" s="40" t="s">
        <v>129</v>
      </c>
      <c r="G22" s="64">
        <f>(G19+G20)*1000/2</f>
        <v>61301.564460000009</v>
      </c>
      <c r="H22" s="1" t="s">
        <v>24</v>
      </c>
      <c r="I22" s="1" t="s">
        <v>39</v>
      </c>
      <c r="J22" s="56">
        <f>D11*9.81-J17</f>
        <v>1915.7049544595502</v>
      </c>
    </row>
    <row r="23" spans="2:10" x14ac:dyDescent="0.2">
      <c r="B23" s="22" t="s">
        <v>107</v>
      </c>
      <c r="C23" s="23" t="s">
        <v>105</v>
      </c>
      <c r="D23" s="12">
        <v>0.28000000000000003</v>
      </c>
      <c r="E23" s="1" t="s">
        <v>20</v>
      </c>
      <c r="F23" s="3" t="s">
        <v>97</v>
      </c>
      <c r="G23" s="12">
        <f>(G9*D22)/G10</f>
        <v>1.3011730205278591</v>
      </c>
      <c r="H23" s="1"/>
      <c r="I23" s="21" t="s">
        <v>116</v>
      </c>
      <c r="J23" s="57">
        <f>J19+J20+J21+J22</f>
        <v>7946.1</v>
      </c>
    </row>
    <row r="24" spans="2:10" ht="13.5" thickBot="1" x14ac:dyDescent="0.25">
      <c r="B24" s="24" t="s">
        <v>106</v>
      </c>
      <c r="C24" s="25" t="s">
        <v>108</v>
      </c>
      <c r="D24" s="69">
        <v>0.28000000000000003</v>
      </c>
      <c r="E24" s="1" t="s">
        <v>21</v>
      </c>
      <c r="F24" s="1" t="s">
        <v>30</v>
      </c>
      <c r="G24" s="12">
        <f>D28-D27</f>
        <v>0.11000000000000001</v>
      </c>
      <c r="H24" s="1"/>
      <c r="I24" s="17" t="s">
        <v>117</v>
      </c>
      <c r="J24" s="58">
        <f>G11*9.81</f>
        <v>7946.1</v>
      </c>
    </row>
    <row r="25" spans="2:10" x14ac:dyDescent="0.2">
      <c r="B25" s="38" t="s">
        <v>133</v>
      </c>
      <c r="C25" s="1" t="s">
        <v>47</v>
      </c>
      <c r="D25" s="12">
        <v>0.45</v>
      </c>
      <c r="E25" s="1" t="s">
        <v>22</v>
      </c>
      <c r="F25" s="1" t="s">
        <v>27</v>
      </c>
      <c r="G25" s="12">
        <f>(D28-D27)/D22*G23</f>
        <v>5.6129032258064517E-2</v>
      </c>
      <c r="H25" s="1"/>
      <c r="I25" s="1"/>
      <c r="J25" s="59"/>
    </row>
    <row r="26" spans="2:10" ht="15.75" thickBot="1" x14ac:dyDescent="0.25">
      <c r="B26" s="18" t="s">
        <v>45</v>
      </c>
      <c r="C26" s="1" t="s">
        <v>46</v>
      </c>
      <c r="D26" s="50"/>
      <c r="E26" s="1" t="s">
        <v>23</v>
      </c>
      <c r="F26" s="1" t="s">
        <v>28</v>
      </c>
      <c r="G26" s="12">
        <f>G25+D27</f>
        <v>0.11612903225806451</v>
      </c>
      <c r="H26" s="1"/>
      <c r="I26" s="1"/>
      <c r="J26" s="60"/>
    </row>
    <row r="27" spans="2:10" ht="13.5" thickBot="1" x14ac:dyDescent="0.25">
      <c r="B27" s="18" t="s">
        <v>18</v>
      </c>
      <c r="C27" s="3" t="s">
        <v>122</v>
      </c>
      <c r="D27" s="12">
        <v>0.06</v>
      </c>
      <c r="E27" s="1" t="s">
        <v>51</v>
      </c>
      <c r="F27" s="1" t="s">
        <v>29</v>
      </c>
      <c r="G27" s="65">
        <f>D26-G25-D27</f>
        <v>-0.11612903225806451</v>
      </c>
      <c r="H27" s="1" t="s">
        <v>49</v>
      </c>
      <c r="I27" s="16" t="s">
        <v>50</v>
      </c>
      <c r="J27" s="53">
        <f>(G11*D1*D25)/((D20+D21)/2)</f>
        <v>1974.8829431438128</v>
      </c>
    </row>
    <row r="28" spans="2:10" ht="13.5" thickBot="1" x14ac:dyDescent="0.25">
      <c r="B28" s="37" t="s">
        <v>19</v>
      </c>
      <c r="C28" s="39" t="s">
        <v>123</v>
      </c>
      <c r="D28" s="66">
        <v>0.17</v>
      </c>
      <c r="E28" s="19"/>
      <c r="F28" s="19"/>
      <c r="G28" s="66"/>
      <c r="H28" s="19"/>
      <c r="I28" s="19"/>
      <c r="J28" s="61"/>
    </row>
    <row r="30" spans="2:10" ht="15" x14ac:dyDescent="0.25">
      <c r="H30" s="9"/>
      <c r="I30" s="47" t="s">
        <v>109</v>
      </c>
      <c r="J30" s="48">
        <f>J19-J20</f>
        <v>43.631769766689104</v>
      </c>
    </row>
    <row r="31" spans="2:10" ht="15" x14ac:dyDescent="0.25">
      <c r="H31" s="10"/>
      <c r="I31" s="49" t="s">
        <v>138</v>
      </c>
      <c r="J31" s="48">
        <f>J21-J22</f>
        <v>269.17009108089951</v>
      </c>
    </row>
    <row r="32" spans="2:10" ht="15" x14ac:dyDescent="0.25">
      <c r="I32" s="49" t="s">
        <v>139</v>
      </c>
      <c r="J32" s="48">
        <f>J30-J31</f>
        <v>-225.53832131421041</v>
      </c>
    </row>
    <row r="33" spans="9:10" ht="15" x14ac:dyDescent="0.25">
      <c r="I33" s="49" t="s">
        <v>140</v>
      </c>
      <c r="J33" s="47">
        <f>J31/(J30+J31)*100</f>
        <v>86.051307479929434</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181C8-E3BE-4C48-BE06-10BCFF212EA9}">
  <dimension ref="A1:R36"/>
  <sheetViews>
    <sheetView topLeftCell="A8" zoomScale="70" zoomScaleNormal="70" workbookViewId="0">
      <selection activeCell="F38" sqref="F38"/>
    </sheetView>
  </sheetViews>
  <sheetFormatPr defaultRowHeight="12.75" x14ac:dyDescent="0.2"/>
  <cols>
    <col min="3" max="3" width="51.7109375" customWidth="1"/>
    <col min="6" max="6" width="43.5703125" customWidth="1"/>
    <col min="7" max="7" width="19.42578125" customWidth="1"/>
    <col min="9" max="9" width="53.42578125" customWidth="1"/>
    <col min="10" max="10" width="12.140625" customWidth="1"/>
    <col min="11" max="11" width="7.42578125" customWidth="1"/>
    <col min="12" max="14" width="9.140625" customWidth="1"/>
    <col min="15" max="15" width="11.140625" customWidth="1"/>
    <col min="16" max="16" width="10.140625" customWidth="1"/>
  </cols>
  <sheetData>
    <row r="1" spans="2:10" ht="18.75" thickBot="1" x14ac:dyDescent="0.3">
      <c r="C1" s="4" t="s">
        <v>96</v>
      </c>
      <c r="D1" s="13">
        <v>8.1</v>
      </c>
    </row>
    <row r="2" spans="2:10" ht="13.5" thickBot="1" x14ac:dyDescent="0.25"/>
    <row r="3" spans="2:10" ht="16.5" thickBot="1" x14ac:dyDescent="0.3">
      <c r="B3" s="7" t="s">
        <v>14</v>
      </c>
      <c r="C3" s="8"/>
      <c r="D3" s="8"/>
      <c r="E3" s="8" t="s">
        <v>15</v>
      </c>
      <c r="F3" s="8"/>
      <c r="G3" s="8"/>
      <c r="H3" s="8" t="s">
        <v>17</v>
      </c>
      <c r="I3" s="8"/>
      <c r="J3" s="31"/>
    </row>
    <row r="4" spans="2:10" ht="13.5" thickBot="1" x14ac:dyDescent="0.25">
      <c r="B4" s="32" t="s">
        <v>68</v>
      </c>
      <c r="C4" s="35" t="s">
        <v>124</v>
      </c>
      <c r="D4" s="67">
        <v>0.87</v>
      </c>
      <c r="E4" s="33" t="s">
        <v>77</v>
      </c>
      <c r="F4" s="33" t="s">
        <v>52</v>
      </c>
      <c r="G4" s="34">
        <f>SUM(D8-D12)</f>
        <v>156.80000000000001</v>
      </c>
      <c r="H4" s="35" t="s">
        <v>48</v>
      </c>
      <c r="I4" s="35" t="s">
        <v>101</v>
      </c>
      <c r="J4" s="36">
        <f>((D20^2*G21)/2)</f>
        <v>31772.550615986245</v>
      </c>
    </row>
    <row r="5" spans="2:10" ht="15" customHeight="1" thickBot="1" x14ac:dyDescent="0.25">
      <c r="B5" s="18" t="s">
        <v>69</v>
      </c>
      <c r="C5" s="35" t="s">
        <v>125</v>
      </c>
      <c r="D5" s="67">
        <v>0.82</v>
      </c>
      <c r="E5" s="1" t="s">
        <v>78</v>
      </c>
      <c r="F5" s="1" t="s">
        <v>2</v>
      </c>
      <c r="G5" s="5">
        <f>SUM(D9-D13)</f>
        <v>177.2</v>
      </c>
      <c r="H5" s="1" t="s">
        <v>25</v>
      </c>
      <c r="I5" s="1" t="s">
        <v>34</v>
      </c>
      <c r="J5" s="14">
        <f>((D21^2*G22)/2)</f>
        <v>70815.56726419201</v>
      </c>
    </row>
    <row r="6" spans="2:10" ht="16.5" customHeight="1" thickBot="1" x14ac:dyDescent="0.25">
      <c r="B6" s="18" t="s">
        <v>70</v>
      </c>
      <c r="C6" s="35" t="s">
        <v>126</v>
      </c>
      <c r="D6" s="67">
        <v>1.02</v>
      </c>
      <c r="E6" s="1" t="s">
        <v>79</v>
      </c>
      <c r="F6" s="1" t="s">
        <v>54</v>
      </c>
      <c r="G6" s="5">
        <f>SUM(D10-D14)</f>
        <v>163.80000000000001</v>
      </c>
      <c r="H6" s="1" t="s">
        <v>26</v>
      </c>
      <c r="I6" s="1" t="s">
        <v>33</v>
      </c>
      <c r="J6" s="14">
        <f>J4+J5</f>
        <v>102588.11788017825</v>
      </c>
    </row>
    <row r="7" spans="2:10" x14ac:dyDescent="0.2">
      <c r="B7" s="18" t="s">
        <v>40</v>
      </c>
      <c r="C7" s="35" t="s">
        <v>127</v>
      </c>
      <c r="D7" s="67">
        <v>1.02</v>
      </c>
      <c r="E7" s="1" t="s">
        <v>0</v>
      </c>
      <c r="F7" s="1" t="s">
        <v>53</v>
      </c>
      <c r="G7" s="5">
        <f>SUM(D11-D15)</f>
        <v>184.2</v>
      </c>
      <c r="H7" s="1" t="s">
        <v>31</v>
      </c>
      <c r="I7" s="1" t="s">
        <v>32</v>
      </c>
      <c r="J7" s="14">
        <f>(G10*G27*5)</f>
        <v>-395.99999999999994</v>
      </c>
    </row>
    <row r="8" spans="2:10" x14ac:dyDescent="0.2">
      <c r="B8" s="18" t="s">
        <v>71</v>
      </c>
      <c r="C8" s="1" t="s">
        <v>60</v>
      </c>
      <c r="D8" s="12">
        <v>185.8</v>
      </c>
      <c r="E8" s="3" t="s">
        <v>7</v>
      </c>
      <c r="F8" s="1" t="s">
        <v>3</v>
      </c>
      <c r="G8" s="5">
        <f>SUM(G4+G5)</f>
        <v>334</v>
      </c>
      <c r="H8" s="44" t="s">
        <v>102</v>
      </c>
      <c r="I8" s="3" t="s">
        <v>104</v>
      </c>
      <c r="J8" s="43">
        <f>(J7/J6)</f>
        <v>-3.860096161063442E-3</v>
      </c>
    </row>
    <row r="9" spans="2:10" x14ac:dyDescent="0.2">
      <c r="B9" s="18" t="s">
        <v>72</v>
      </c>
      <c r="C9" s="1" t="s">
        <v>61</v>
      </c>
      <c r="D9" s="12">
        <v>206.2</v>
      </c>
      <c r="E9" s="1" t="s">
        <v>6</v>
      </c>
      <c r="F9" s="1" t="s">
        <v>4</v>
      </c>
      <c r="G9" s="5">
        <f>SUM(G6+G7)</f>
        <v>348</v>
      </c>
      <c r="H9" s="45" t="s">
        <v>13</v>
      </c>
      <c r="I9" s="1" t="s">
        <v>35</v>
      </c>
      <c r="J9" s="51">
        <f>(J8*G21*D20)/2</f>
        <v>-83.43204126528056</v>
      </c>
    </row>
    <row r="10" spans="2:10" x14ac:dyDescent="0.2">
      <c r="B10" s="18" t="s">
        <v>73</v>
      </c>
      <c r="C10" s="1" t="s">
        <v>62</v>
      </c>
      <c r="D10" s="12">
        <v>198.8</v>
      </c>
      <c r="E10" s="23" t="s">
        <v>100</v>
      </c>
      <c r="F10" s="23" t="s">
        <v>98</v>
      </c>
      <c r="G10" s="12">
        <f>SUM(G8+G9)</f>
        <v>682</v>
      </c>
      <c r="H10" s="45" t="s">
        <v>16</v>
      </c>
      <c r="I10" s="3" t="s">
        <v>36</v>
      </c>
      <c r="J10" s="52">
        <f>(J8*G22*D21)/2</f>
        <v>-179.83874956581417</v>
      </c>
    </row>
    <row r="11" spans="2:10" x14ac:dyDescent="0.2">
      <c r="B11" s="18" t="s">
        <v>1</v>
      </c>
      <c r="C11" s="1" t="s">
        <v>63</v>
      </c>
      <c r="D11" s="12">
        <v>219.2</v>
      </c>
      <c r="E11" s="23" t="s">
        <v>136</v>
      </c>
      <c r="F11" s="23" t="s">
        <v>99</v>
      </c>
      <c r="G11" s="26">
        <f>SUM(G10+D12+D13+D14+D15)</f>
        <v>810</v>
      </c>
      <c r="H11" s="46"/>
      <c r="I11" s="2"/>
      <c r="J11" s="15"/>
    </row>
    <row r="12" spans="2:10" x14ac:dyDescent="0.2">
      <c r="B12" s="18" t="s">
        <v>74</v>
      </c>
      <c r="C12" s="1" t="s">
        <v>64</v>
      </c>
      <c r="D12" s="68">
        <v>29</v>
      </c>
      <c r="E12" s="27" t="s">
        <v>137</v>
      </c>
      <c r="F12" s="27" t="s">
        <v>103</v>
      </c>
      <c r="G12" s="26">
        <f>SUM(D12+D13+D14+D15)</f>
        <v>128</v>
      </c>
      <c r="H12" s="45" t="s">
        <v>41</v>
      </c>
      <c r="I12" s="3" t="s">
        <v>110</v>
      </c>
      <c r="J12" s="14">
        <f>(G8*'Q3'!D1*'Q3'!D27)/'Q3'!D20</f>
        <v>110.42448979591838</v>
      </c>
    </row>
    <row r="13" spans="2:10" x14ac:dyDescent="0.2">
      <c r="B13" s="18" t="s">
        <v>75</v>
      </c>
      <c r="C13" s="1" t="s">
        <v>65</v>
      </c>
      <c r="D13" s="68">
        <v>29</v>
      </c>
      <c r="E13" s="3" t="s">
        <v>93</v>
      </c>
      <c r="F13" s="1" t="s">
        <v>55</v>
      </c>
      <c r="G13" s="6">
        <f>SUM(D16*0.1751)</f>
        <v>41.148499999999999</v>
      </c>
      <c r="H13" s="45" t="s">
        <v>44</v>
      </c>
      <c r="I13" s="3" t="s">
        <v>111</v>
      </c>
      <c r="J13" s="14">
        <f>(G9*D1*D28)/D21</f>
        <v>315.26052631578943</v>
      </c>
    </row>
    <row r="14" spans="2:10" x14ac:dyDescent="0.2">
      <c r="B14" s="18" t="s">
        <v>76</v>
      </c>
      <c r="C14" s="1" t="s">
        <v>66</v>
      </c>
      <c r="D14" s="68">
        <v>35</v>
      </c>
      <c r="E14" s="3" t="s">
        <v>94</v>
      </c>
      <c r="F14" s="1" t="s">
        <v>56</v>
      </c>
      <c r="G14" s="6">
        <f>SUM(D17*0.1751)</f>
        <v>41.148499999999999</v>
      </c>
      <c r="H14" s="45" t="s">
        <v>42</v>
      </c>
      <c r="I14" s="3" t="s">
        <v>112</v>
      </c>
      <c r="J14" s="14">
        <f>((D12+D13)*D1*D23)/D20</f>
        <v>89.485714285714295</v>
      </c>
    </row>
    <row r="15" spans="2:10" x14ac:dyDescent="0.2">
      <c r="B15" s="18" t="s">
        <v>5</v>
      </c>
      <c r="C15" s="1" t="s">
        <v>67</v>
      </c>
      <c r="D15" s="68">
        <v>35</v>
      </c>
      <c r="E15" s="1" t="s">
        <v>80</v>
      </c>
      <c r="F15" s="1" t="s">
        <v>57</v>
      </c>
      <c r="G15" s="6">
        <f>SUM(D18*0.1751)</f>
        <v>58.833600000000004</v>
      </c>
      <c r="H15" s="45" t="s">
        <v>43</v>
      </c>
      <c r="I15" s="3" t="s">
        <v>113</v>
      </c>
      <c r="J15" s="52">
        <f>((D14+D15)*D1*D24)/D21</f>
        <v>104.44736842105264</v>
      </c>
    </row>
    <row r="16" spans="2:10" x14ac:dyDescent="0.2">
      <c r="B16" s="18" t="s">
        <v>86</v>
      </c>
      <c r="C16" s="1" t="s">
        <v>88</v>
      </c>
      <c r="D16" s="84">
        <v>235</v>
      </c>
      <c r="E16" s="1" t="s">
        <v>81</v>
      </c>
      <c r="F16" s="1" t="s">
        <v>58</v>
      </c>
      <c r="G16" s="20">
        <f>SUM(D19*0.1751)</f>
        <v>59.008700000000005</v>
      </c>
      <c r="H16" s="45"/>
      <c r="I16" s="23" t="s">
        <v>114</v>
      </c>
      <c r="J16" s="29">
        <f>J9+J12+J14</f>
        <v>116.47816281635211</v>
      </c>
    </row>
    <row r="17" spans="2:10" ht="13.5" thickBot="1" x14ac:dyDescent="0.25">
      <c r="B17" s="18" t="s">
        <v>87</v>
      </c>
      <c r="C17" s="1" t="s">
        <v>89</v>
      </c>
      <c r="D17" s="84">
        <v>235</v>
      </c>
      <c r="E17" s="1" t="s">
        <v>82</v>
      </c>
      <c r="F17" s="1" t="s">
        <v>59</v>
      </c>
      <c r="G17" s="62">
        <f>D4^2*G13</f>
        <v>31.145299649999998</v>
      </c>
      <c r="H17" s="45"/>
      <c r="I17" s="23" t="s">
        <v>115</v>
      </c>
      <c r="J17" s="30">
        <f>J10+J13+J15</f>
        <v>239.86914517102792</v>
      </c>
    </row>
    <row r="18" spans="2:10" ht="13.5" thickBot="1" x14ac:dyDescent="0.25">
      <c r="B18" s="18" t="s">
        <v>80</v>
      </c>
      <c r="C18" s="1" t="s">
        <v>90</v>
      </c>
      <c r="D18" s="12">
        <v>336</v>
      </c>
      <c r="E18" s="1" t="s">
        <v>83</v>
      </c>
      <c r="F18" s="1" t="s">
        <v>84</v>
      </c>
      <c r="G18" s="62">
        <f>D5^2*G14</f>
        <v>27.668251399999995</v>
      </c>
      <c r="H18" s="1"/>
      <c r="I18" s="28" t="s">
        <v>130</v>
      </c>
      <c r="J18" s="53">
        <f>J16+J17</f>
        <v>356.34730798738002</v>
      </c>
    </row>
    <row r="19" spans="2:10" x14ac:dyDescent="0.2">
      <c r="B19" s="18" t="s">
        <v>81</v>
      </c>
      <c r="C19" s="1" t="s">
        <v>91</v>
      </c>
      <c r="D19" s="12">
        <v>337</v>
      </c>
      <c r="E19" s="1" t="s">
        <v>120</v>
      </c>
      <c r="F19" s="1" t="s">
        <v>118</v>
      </c>
      <c r="G19" s="63">
        <f>D6^2*G15</f>
        <v>61.210477440000005</v>
      </c>
      <c r="H19" s="1" t="s">
        <v>85</v>
      </c>
      <c r="I19" s="1" t="s">
        <v>37</v>
      </c>
      <c r="J19" s="54">
        <f>D8*9.81+J16</f>
        <v>1939.1761628163522</v>
      </c>
    </row>
    <row r="20" spans="2:10" x14ac:dyDescent="0.2">
      <c r="B20" s="18" t="s">
        <v>9</v>
      </c>
      <c r="C20" s="1" t="s">
        <v>132</v>
      </c>
      <c r="D20" s="12">
        <v>1.47</v>
      </c>
      <c r="E20" s="1" t="s">
        <v>121</v>
      </c>
      <c r="F20" s="1" t="s">
        <v>119</v>
      </c>
      <c r="G20" s="63">
        <f>D7^2*G16</f>
        <v>61.392651480000005</v>
      </c>
      <c r="H20" s="3" t="s">
        <v>95</v>
      </c>
      <c r="I20" s="1" t="s">
        <v>131</v>
      </c>
      <c r="J20" s="55">
        <f>D9*9.81-J16</f>
        <v>1906.3438371836478</v>
      </c>
    </row>
    <row r="21" spans="2:10" x14ac:dyDescent="0.2">
      <c r="B21" s="18" t="s">
        <v>10</v>
      </c>
      <c r="C21" s="1" t="s">
        <v>8</v>
      </c>
      <c r="D21" s="12">
        <v>1.52</v>
      </c>
      <c r="E21" s="40" t="s">
        <v>134</v>
      </c>
      <c r="F21" s="40" t="s">
        <v>128</v>
      </c>
      <c r="G21" s="64">
        <f>(G17+G18)*1000/2</f>
        <v>29406.775524999997</v>
      </c>
      <c r="H21" s="3" t="s">
        <v>92</v>
      </c>
      <c r="I21" s="1" t="s">
        <v>38</v>
      </c>
      <c r="J21" s="55">
        <f>D10*9.81+J17</f>
        <v>2190.0971451710284</v>
      </c>
    </row>
    <row r="22" spans="2:10" ht="13.5" thickBot="1" x14ac:dyDescent="0.25">
      <c r="B22" s="18" t="s">
        <v>12</v>
      </c>
      <c r="C22" s="1" t="s">
        <v>11</v>
      </c>
      <c r="D22" s="12">
        <v>2.5499999999999998</v>
      </c>
      <c r="E22" s="40" t="s">
        <v>135</v>
      </c>
      <c r="F22" s="40" t="s">
        <v>129</v>
      </c>
      <c r="G22" s="64">
        <f>(G19+G20)*1000/2</f>
        <v>61301.564460000009</v>
      </c>
      <c r="H22" s="1" t="s">
        <v>24</v>
      </c>
      <c r="I22" s="1" t="s">
        <v>39</v>
      </c>
      <c r="J22" s="56">
        <f>D11*9.81-J17</f>
        <v>1910.482854828972</v>
      </c>
    </row>
    <row r="23" spans="2:10" x14ac:dyDescent="0.2">
      <c r="B23" s="22" t="s">
        <v>107</v>
      </c>
      <c r="C23" s="23" t="s">
        <v>105</v>
      </c>
      <c r="D23" s="12">
        <v>0.28000000000000003</v>
      </c>
      <c r="E23" s="1" t="s">
        <v>20</v>
      </c>
      <c r="F23" s="3" t="s">
        <v>97</v>
      </c>
      <c r="G23" s="12">
        <f>(G9*D22)/G10</f>
        <v>1.3011730205278591</v>
      </c>
      <c r="H23" s="1"/>
      <c r="I23" s="21" t="s">
        <v>116</v>
      </c>
      <c r="J23" s="57">
        <f>J19+J20+J21+J22</f>
        <v>7946.1</v>
      </c>
    </row>
    <row r="24" spans="2:10" ht="13.5" thickBot="1" x14ac:dyDescent="0.25">
      <c r="B24" s="24" t="s">
        <v>106</v>
      </c>
      <c r="C24" s="25" t="s">
        <v>108</v>
      </c>
      <c r="D24" s="69">
        <v>0.28000000000000003</v>
      </c>
      <c r="E24" s="1" t="s">
        <v>21</v>
      </c>
      <c r="F24" s="1" t="s">
        <v>30</v>
      </c>
      <c r="G24" s="12">
        <f>D28-D27</f>
        <v>0.11000000000000001</v>
      </c>
      <c r="H24" s="1"/>
      <c r="I24" s="17" t="s">
        <v>117</v>
      </c>
      <c r="J24" s="58">
        <f>G11*9.81</f>
        <v>7946.1</v>
      </c>
    </row>
    <row r="25" spans="2:10" x14ac:dyDescent="0.2">
      <c r="B25" s="38" t="s">
        <v>133</v>
      </c>
      <c r="C25" s="1" t="s">
        <v>47</v>
      </c>
      <c r="D25" s="12">
        <v>0.45</v>
      </c>
      <c r="E25" s="1" t="s">
        <v>22</v>
      </c>
      <c r="F25" s="1" t="s">
        <v>27</v>
      </c>
      <c r="G25" s="12">
        <f>(D28-D27)/D22*G23</f>
        <v>5.6129032258064517E-2</v>
      </c>
      <c r="H25" s="1"/>
      <c r="I25" s="1"/>
      <c r="J25" s="59"/>
    </row>
    <row r="26" spans="2:10" ht="15.75" thickBot="1" x14ac:dyDescent="0.25">
      <c r="B26" s="18" t="s">
        <v>45</v>
      </c>
      <c r="C26" s="1" t="s">
        <v>46</v>
      </c>
      <c r="D26" s="50"/>
      <c r="E26" s="1" t="s">
        <v>23</v>
      </c>
      <c r="F26" s="1" t="s">
        <v>28</v>
      </c>
      <c r="G26" s="12">
        <f>G25+D27</f>
        <v>0.11612903225806451</v>
      </c>
      <c r="H26" s="1"/>
      <c r="I26" s="1"/>
      <c r="J26" s="60"/>
    </row>
    <row r="27" spans="2:10" ht="13.5" thickBot="1" x14ac:dyDescent="0.25">
      <c r="B27" s="18" t="s">
        <v>18</v>
      </c>
      <c r="C27" s="3" t="s">
        <v>122</v>
      </c>
      <c r="D27" s="12">
        <v>0.06</v>
      </c>
      <c r="E27" s="1" t="s">
        <v>51</v>
      </c>
      <c r="F27" s="1" t="s">
        <v>29</v>
      </c>
      <c r="G27" s="65">
        <f>D26-G25-D27</f>
        <v>-0.11612903225806451</v>
      </c>
      <c r="H27" s="1" t="s">
        <v>49</v>
      </c>
      <c r="I27" s="16" t="s">
        <v>50</v>
      </c>
      <c r="J27" s="53">
        <f>(G11*D1*D25)/((D20+D21)/2)</f>
        <v>1974.8829431438128</v>
      </c>
    </row>
    <row r="28" spans="2:10" ht="13.5" thickBot="1" x14ac:dyDescent="0.25">
      <c r="B28" s="37" t="s">
        <v>19</v>
      </c>
      <c r="C28" s="39" t="s">
        <v>123</v>
      </c>
      <c r="D28" s="66">
        <v>0.17</v>
      </c>
      <c r="E28" s="19"/>
      <c r="F28" s="19"/>
      <c r="G28" s="66"/>
      <c r="H28" s="19"/>
      <c r="I28" s="19"/>
      <c r="J28" s="61"/>
    </row>
    <row r="30" spans="2:10" ht="15" x14ac:dyDescent="0.25">
      <c r="H30" s="9"/>
      <c r="I30" s="47" t="s">
        <v>109</v>
      </c>
      <c r="J30" s="48">
        <f>J19-J20</f>
        <v>32.832325632704396</v>
      </c>
    </row>
    <row r="31" spans="2:10" ht="15" x14ac:dyDescent="0.25">
      <c r="H31" s="10"/>
      <c r="I31" s="49" t="s">
        <v>138</v>
      </c>
      <c r="J31" s="48">
        <f>J21-J22</f>
        <v>279.61429034205639</v>
      </c>
    </row>
    <row r="32" spans="2:10" ht="15" x14ac:dyDescent="0.25">
      <c r="I32" s="49" t="s">
        <v>139</v>
      </c>
      <c r="J32" s="48">
        <f>J30-J31</f>
        <v>-246.781964709352</v>
      </c>
    </row>
    <row r="33" spans="1:18" ht="15.75" customHeight="1" x14ac:dyDescent="0.25">
      <c r="A33" s="88" t="s">
        <v>145</v>
      </c>
      <c r="I33" s="49" t="s">
        <v>140</v>
      </c>
      <c r="J33" s="47">
        <f>J31/(J30+J31)*100</f>
        <v>89.4918607038597</v>
      </c>
    </row>
    <row r="34" spans="1:18" ht="21.75" customHeight="1" x14ac:dyDescent="0.2">
      <c r="A34" s="88" t="s">
        <v>143</v>
      </c>
      <c r="B34" s="89" t="s">
        <v>141</v>
      </c>
      <c r="C34" s="89"/>
      <c r="D34" s="89"/>
      <c r="E34" s="89"/>
      <c r="F34" s="89"/>
      <c r="G34" s="89"/>
      <c r="H34" s="89"/>
      <c r="I34" s="89"/>
      <c r="J34" s="89"/>
      <c r="K34" s="89"/>
      <c r="L34" s="89"/>
      <c r="M34" s="89"/>
      <c r="N34" s="89"/>
      <c r="O34" s="89"/>
      <c r="P34" s="89"/>
      <c r="Q34" s="89"/>
      <c r="R34" s="89"/>
    </row>
    <row r="35" spans="1:18" ht="22.5" customHeight="1" x14ac:dyDescent="0.2">
      <c r="A35" s="88" t="s">
        <v>142</v>
      </c>
      <c r="B35" s="89" t="s">
        <v>146</v>
      </c>
      <c r="C35" s="89"/>
      <c r="D35" s="89"/>
      <c r="E35" s="89"/>
      <c r="F35" s="89"/>
      <c r="G35" s="89"/>
      <c r="H35" s="89"/>
      <c r="I35" s="89"/>
      <c r="J35" s="89"/>
      <c r="K35" s="89"/>
      <c r="L35" s="89"/>
      <c r="M35" s="89"/>
      <c r="N35" s="89"/>
      <c r="O35" s="89"/>
      <c r="P35" s="89"/>
      <c r="Q35" s="89"/>
      <c r="R35" s="89"/>
    </row>
    <row r="36" spans="1:18" ht="21.75" customHeight="1" x14ac:dyDescent="0.2">
      <c r="A36" s="88" t="s">
        <v>144</v>
      </c>
      <c r="B36" s="89" t="s">
        <v>147</v>
      </c>
      <c r="C36" s="89"/>
      <c r="D36" s="89"/>
      <c r="E36" s="89"/>
      <c r="F36" s="89"/>
      <c r="G36" s="89"/>
      <c r="H36" s="89"/>
      <c r="I36" s="89"/>
      <c r="J36" s="89"/>
      <c r="K36" s="89"/>
      <c r="L36" s="89"/>
      <c r="M36" s="89"/>
      <c r="N36" s="89"/>
      <c r="O36" s="89"/>
      <c r="P36" s="89"/>
      <c r="Q36" s="89"/>
      <c r="R36" s="89"/>
    </row>
  </sheetData>
  <mergeCells count="3">
    <mergeCell ref="B34:R34"/>
    <mergeCell ref="B35:R35"/>
    <mergeCell ref="B36:R3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0D726-8295-4169-B881-6F4A49EFA6BC}">
  <dimension ref="A1:R39"/>
  <sheetViews>
    <sheetView topLeftCell="A9" zoomScale="70" zoomScaleNormal="70" workbookViewId="0">
      <selection activeCell="C37" sqref="C37:Q37"/>
    </sheetView>
  </sheetViews>
  <sheetFormatPr defaultRowHeight="12.75" x14ac:dyDescent="0.2"/>
  <cols>
    <col min="3" max="3" width="51.7109375" customWidth="1"/>
    <col min="6" max="6" width="43.5703125" customWidth="1"/>
    <col min="7" max="7" width="19.42578125" customWidth="1"/>
    <col min="9" max="9" width="53.42578125" customWidth="1"/>
    <col min="10" max="10" width="12.140625" customWidth="1"/>
    <col min="11" max="11" width="7.42578125" customWidth="1"/>
    <col min="12" max="14" width="9.140625" customWidth="1"/>
    <col min="15" max="15" width="11.140625" customWidth="1"/>
    <col min="16" max="16" width="10.140625" customWidth="1"/>
  </cols>
  <sheetData>
    <row r="1" spans="2:10" ht="18.75" thickBot="1" x14ac:dyDescent="0.3">
      <c r="C1" s="4" t="s">
        <v>96</v>
      </c>
      <c r="D1" s="13">
        <v>8.1</v>
      </c>
    </row>
    <row r="2" spans="2:10" ht="13.5" thickBot="1" x14ac:dyDescent="0.25"/>
    <row r="3" spans="2:10" ht="16.5" thickBot="1" x14ac:dyDescent="0.3">
      <c r="B3" s="7" t="s">
        <v>14</v>
      </c>
      <c r="C3" s="8"/>
      <c r="D3" s="8"/>
      <c r="E3" s="8" t="s">
        <v>15</v>
      </c>
      <c r="F3" s="8"/>
      <c r="G3" s="8"/>
      <c r="H3" s="8" t="s">
        <v>17</v>
      </c>
      <c r="I3" s="8"/>
      <c r="J3" s="31"/>
    </row>
    <row r="4" spans="2:10" ht="13.5" thickBot="1" x14ac:dyDescent="0.25">
      <c r="B4" s="32" t="s">
        <v>68</v>
      </c>
      <c r="C4" s="35" t="s">
        <v>124</v>
      </c>
      <c r="D4" s="67">
        <v>0.87</v>
      </c>
      <c r="E4" s="33" t="s">
        <v>77</v>
      </c>
      <c r="F4" s="33" t="s">
        <v>52</v>
      </c>
      <c r="G4" s="34">
        <f>SUM(D8-D12)</f>
        <v>156.80000000000001</v>
      </c>
      <c r="H4" s="35" t="s">
        <v>48</v>
      </c>
      <c r="I4" s="35" t="s">
        <v>101</v>
      </c>
      <c r="J4" s="73">
        <f>((D20^2*G21)/2)</f>
        <v>31772.550615986245</v>
      </c>
    </row>
    <row r="5" spans="2:10" ht="15" customHeight="1" thickBot="1" x14ac:dyDescent="0.25">
      <c r="B5" s="18" t="s">
        <v>69</v>
      </c>
      <c r="C5" s="35" t="s">
        <v>125</v>
      </c>
      <c r="D5" s="67">
        <v>0.82</v>
      </c>
      <c r="E5" s="1" t="s">
        <v>78</v>
      </c>
      <c r="F5" s="1" t="s">
        <v>2</v>
      </c>
      <c r="G5" s="5">
        <f>SUM(D9-D13)</f>
        <v>177.2</v>
      </c>
      <c r="H5" s="1" t="s">
        <v>25</v>
      </c>
      <c r="I5" s="1" t="s">
        <v>34</v>
      </c>
      <c r="J5" s="51">
        <f>((D21^2*G22)/2)</f>
        <v>33352.199115199997</v>
      </c>
    </row>
    <row r="6" spans="2:10" ht="16.5" customHeight="1" thickBot="1" x14ac:dyDescent="0.25">
      <c r="B6" s="18" t="s">
        <v>70</v>
      </c>
      <c r="C6" s="35" t="s">
        <v>126</v>
      </c>
      <c r="D6" s="90">
        <v>0.7</v>
      </c>
      <c r="E6" s="1" t="s">
        <v>79</v>
      </c>
      <c r="F6" s="1" t="s">
        <v>54</v>
      </c>
      <c r="G6" s="5">
        <f>SUM(D10-D14)</f>
        <v>163.80000000000001</v>
      </c>
      <c r="H6" s="1" t="s">
        <v>26</v>
      </c>
      <c r="I6" s="1" t="s">
        <v>33</v>
      </c>
      <c r="J6" s="51">
        <f>J4+J5</f>
        <v>65124.749731186239</v>
      </c>
    </row>
    <row r="7" spans="2:10" x14ac:dyDescent="0.2">
      <c r="B7" s="18" t="s">
        <v>40</v>
      </c>
      <c r="C7" s="35" t="s">
        <v>127</v>
      </c>
      <c r="D7" s="90">
        <v>0.7</v>
      </c>
      <c r="E7" s="1" t="s">
        <v>0</v>
      </c>
      <c r="F7" s="1" t="s">
        <v>53</v>
      </c>
      <c r="G7" s="5">
        <f>SUM(D11-D15)</f>
        <v>184.2</v>
      </c>
      <c r="H7" s="1" t="s">
        <v>31</v>
      </c>
      <c r="I7" s="1" t="s">
        <v>32</v>
      </c>
      <c r="J7" s="52">
        <f>(G10*G27*5)</f>
        <v>-395.99999999999994</v>
      </c>
    </row>
    <row r="8" spans="2:10" x14ac:dyDescent="0.2">
      <c r="B8" s="18" t="s">
        <v>71</v>
      </c>
      <c r="C8" s="1" t="s">
        <v>60</v>
      </c>
      <c r="D8" s="12">
        <v>185.8</v>
      </c>
      <c r="E8" s="3" t="s">
        <v>7</v>
      </c>
      <c r="F8" s="1" t="s">
        <v>3</v>
      </c>
      <c r="G8" s="5">
        <f>SUM(G4+G5)</f>
        <v>334</v>
      </c>
      <c r="H8" s="44" t="s">
        <v>102</v>
      </c>
      <c r="I8" s="3" t="s">
        <v>104</v>
      </c>
      <c r="J8" s="96">
        <f>(J7/J6)</f>
        <v>-6.0806375707324637E-3</v>
      </c>
    </row>
    <row r="9" spans="2:10" x14ac:dyDescent="0.2">
      <c r="B9" s="18" t="s">
        <v>72</v>
      </c>
      <c r="C9" s="1" t="s">
        <v>61</v>
      </c>
      <c r="D9" s="12">
        <v>206.2</v>
      </c>
      <c r="E9" s="1" t="s">
        <v>6</v>
      </c>
      <c r="F9" s="1" t="s">
        <v>4</v>
      </c>
      <c r="G9" s="5">
        <f>SUM(G6+G7)</f>
        <v>348</v>
      </c>
      <c r="H9" s="45" t="s">
        <v>13</v>
      </c>
      <c r="I9" s="1" t="s">
        <v>35</v>
      </c>
      <c r="J9" s="52">
        <f>(J8*G21*D20)/2</f>
        <v>-131.42677890718699</v>
      </c>
    </row>
    <row r="10" spans="2:10" x14ac:dyDescent="0.2">
      <c r="B10" s="18" t="s">
        <v>73</v>
      </c>
      <c r="C10" s="1" t="s">
        <v>62</v>
      </c>
      <c r="D10" s="12">
        <v>198.8</v>
      </c>
      <c r="E10" s="23" t="s">
        <v>100</v>
      </c>
      <c r="F10" s="23" t="s">
        <v>98</v>
      </c>
      <c r="G10" s="12">
        <f>SUM(G8+G9)</f>
        <v>682</v>
      </c>
      <c r="H10" s="45" t="s">
        <v>16</v>
      </c>
      <c r="I10" s="3" t="s">
        <v>36</v>
      </c>
      <c r="J10" s="51">
        <f>(J8*G22*D21)/2</f>
        <v>-133.42278618844415</v>
      </c>
    </row>
    <row r="11" spans="2:10" x14ac:dyDescent="0.2">
      <c r="B11" s="18" t="s">
        <v>1</v>
      </c>
      <c r="C11" s="1" t="s">
        <v>63</v>
      </c>
      <c r="D11" s="12">
        <v>219.2</v>
      </c>
      <c r="E11" s="23" t="s">
        <v>136</v>
      </c>
      <c r="F11" s="23" t="s">
        <v>99</v>
      </c>
      <c r="G11" s="26">
        <f>SUM(G10+D12+D13+D14+D15)</f>
        <v>810</v>
      </c>
      <c r="H11" s="46"/>
      <c r="I11" s="2"/>
      <c r="J11" s="78"/>
    </row>
    <row r="12" spans="2:10" x14ac:dyDescent="0.2">
      <c r="B12" s="18" t="s">
        <v>74</v>
      </c>
      <c r="C12" s="1" t="s">
        <v>64</v>
      </c>
      <c r="D12" s="68">
        <v>29</v>
      </c>
      <c r="E12" s="27" t="s">
        <v>137</v>
      </c>
      <c r="F12" s="27" t="s">
        <v>103</v>
      </c>
      <c r="G12" s="26">
        <f>SUM(D12+D13+D14+D15)</f>
        <v>128</v>
      </c>
      <c r="H12" s="45" t="s">
        <v>41</v>
      </c>
      <c r="I12" s="3" t="s">
        <v>110</v>
      </c>
      <c r="J12" s="52">
        <f>(G8*'Q4'!D1*'Q4'!D27)/'Q4'!D20</f>
        <v>110.42448979591838</v>
      </c>
    </row>
    <row r="13" spans="2:10" x14ac:dyDescent="0.2">
      <c r="B13" s="18" t="s">
        <v>75</v>
      </c>
      <c r="C13" s="1" t="s">
        <v>65</v>
      </c>
      <c r="D13" s="68">
        <v>29</v>
      </c>
      <c r="E13" s="3" t="s">
        <v>93</v>
      </c>
      <c r="F13" s="1" t="s">
        <v>55</v>
      </c>
      <c r="G13" s="6">
        <f>SUM(D16*0.1751)</f>
        <v>41.148499999999999</v>
      </c>
      <c r="H13" s="45" t="s">
        <v>44</v>
      </c>
      <c r="I13" s="3" t="s">
        <v>111</v>
      </c>
      <c r="J13" s="52">
        <f>(G9*D1*D28)/D21</f>
        <v>315.26052631578943</v>
      </c>
    </row>
    <row r="14" spans="2:10" x14ac:dyDescent="0.2">
      <c r="B14" s="18" t="s">
        <v>76</v>
      </c>
      <c r="C14" s="1" t="s">
        <v>66</v>
      </c>
      <c r="D14" s="68">
        <v>35</v>
      </c>
      <c r="E14" s="3" t="s">
        <v>94</v>
      </c>
      <c r="F14" s="1" t="s">
        <v>56</v>
      </c>
      <c r="G14" s="6">
        <f>SUM(D17*0.1751)</f>
        <v>41.148499999999999</v>
      </c>
      <c r="H14" s="45" t="s">
        <v>42</v>
      </c>
      <c r="I14" s="3" t="s">
        <v>112</v>
      </c>
      <c r="J14" s="52">
        <f>((D12+D13)*D1*D23)/D20</f>
        <v>89.485714285714295</v>
      </c>
    </row>
    <row r="15" spans="2:10" x14ac:dyDescent="0.2">
      <c r="B15" s="18" t="s">
        <v>5</v>
      </c>
      <c r="C15" s="1" t="s">
        <v>67</v>
      </c>
      <c r="D15" s="68">
        <v>35</v>
      </c>
      <c r="E15" s="1" t="s">
        <v>80</v>
      </c>
      <c r="F15" s="1" t="s">
        <v>57</v>
      </c>
      <c r="G15" s="6">
        <f>SUM(D18*0.1751)</f>
        <v>58.833600000000004</v>
      </c>
      <c r="H15" s="45" t="s">
        <v>43</v>
      </c>
      <c r="I15" s="3" t="s">
        <v>113</v>
      </c>
      <c r="J15" s="52">
        <f>((D14+D15)*D1*D24)/D21</f>
        <v>104.44736842105264</v>
      </c>
    </row>
    <row r="16" spans="2:10" x14ac:dyDescent="0.2">
      <c r="B16" s="18" t="s">
        <v>86</v>
      </c>
      <c r="C16" s="1" t="s">
        <v>88</v>
      </c>
      <c r="D16" s="12">
        <v>235</v>
      </c>
      <c r="E16" s="1" t="s">
        <v>81</v>
      </c>
      <c r="F16" s="1" t="s">
        <v>58</v>
      </c>
      <c r="G16" s="20">
        <f>SUM(D19*0.1751)</f>
        <v>59.008700000000005</v>
      </c>
      <c r="H16" s="45"/>
      <c r="I16" s="23" t="s">
        <v>114</v>
      </c>
      <c r="J16" s="29">
        <f>J9+J12+J14</f>
        <v>68.483425174445685</v>
      </c>
    </row>
    <row r="17" spans="2:10" ht="13.5" thickBot="1" x14ac:dyDescent="0.25">
      <c r="B17" s="18" t="s">
        <v>87</v>
      </c>
      <c r="C17" s="1" t="s">
        <v>89</v>
      </c>
      <c r="D17" s="12">
        <v>235</v>
      </c>
      <c r="E17" s="1" t="s">
        <v>82</v>
      </c>
      <c r="F17" s="1" t="s">
        <v>59</v>
      </c>
      <c r="G17" s="62">
        <f>D4^2*G13</f>
        <v>31.145299649999998</v>
      </c>
      <c r="H17" s="45"/>
      <c r="I17" s="23" t="s">
        <v>115</v>
      </c>
      <c r="J17" s="95">
        <f>J10+J13+J15</f>
        <v>286.28510854839794</v>
      </c>
    </row>
    <row r="18" spans="2:10" ht="13.5" thickBot="1" x14ac:dyDescent="0.25">
      <c r="B18" s="18" t="s">
        <v>80</v>
      </c>
      <c r="C18" s="1" t="s">
        <v>90</v>
      </c>
      <c r="D18" s="12">
        <v>336</v>
      </c>
      <c r="E18" s="1" t="s">
        <v>83</v>
      </c>
      <c r="F18" s="1" t="s">
        <v>84</v>
      </c>
      <c r="G18" s="62">
        <f>D5^2*G14</f>
        <v>27.668251399999995</v>
      </c>
      <c r="H18" s="1"/>
      <c r="I18" s="28" t="s">
        <v>130</v>
      </c>
      <c r="J18" s="97">
        <f>J16+J17</f>
        <v>354.76853372284364</v>
      </c>
    </row>
    <row r="19" spans="2:10" x14ac:dyDescent="0.2">
      <c r="B19" s="18" t="s">
        <v>81</v>
      </c>
      <c r="C19" s="1" t="s">
        <v>91</v>
      </c>
      <c r="D19" s="12">
        <v>337</v>
      </c>
      <c r="E19" s="1" t="s">
        <v>120</v>
      </c>
      <c r="F19" s="1" t="s">
        <v>118</v>
      </c>
      <c r="G19" s="91">
        <f>D6^2*G15</f>
        <v>28.828463999999997</v>
      </c>
      <c r="H19" s="1" t="s">
        <v>85</v>
      </c>
      <c r="I19" s="1" t="s">
        <v>37</v>
      </c>
      <c r="J19" s="54">
        <f>D8*9.81+J16</f>
        <v>1891.1814251744458</v>
      </c>
    </row>
    <row r="20" spans="2:10" x14ac:dyDescent="0.2">
      <c r="B20" s="18" t="s">
        <v>9</v>
      </c>
      <c r="C20" s="1" t="s">
        <v>132</v>
      </c>
      <c r="D20" s="12">
        <v>1.47</v>
      </c>
      <c r="E20" s="1" t="s">
        <v>121</v>
      </c>
      <c r="F20" s="1" t="s">
        <v>119</v>
      </c>
      <c r="G20" s="91">
        <f>D7^2*G16</f>
        <v>28.914262999999998</v>
      </c>
      <c r="H20" s="3" t="s">
        <v>95</v>
      </c>
      <c r="I20" s="1" t="s">
        <v>131</v>
      </c>
      <c r="J20" s="55">
        <f>D9*9.81-J16</f>
        <v>1954.3385748255541</v>
      </c>
    </row>
    <row r="21" spans="2:10" x14ac:dyDescent="0.2">
      <c r="B21" s="18" t="s">
        <v>10</v>
      </c>
      <c r="C21" s="1" t="s">
        <v>8</v>
      </c>
      <c r="D21" s="12">
        <v>1.52</v>
      </c>
      <c r="E21" s="40" t="s">
        <v>134</v>
      </c>
      <c r="F21" s="40" t="s">
        <v>128</v>
      </c>
      <c r="G21" s="64">
        <f>(G17+G18)*1000/2</f>
        <v>29406.775524999997</v>
      </c>
      <c r="H21" s="3" t="s">
        <v>92</v>
      </c>
      <c r="I21" s="1" t="s">
        <v>38</v>
      </c>
      <c r="J21" s="98">
        <f>D10*9.81+J17</f>
        <v>2236.5131085483981</v>
      </c>
    </row>
    <row r="22" spans="2:10" ht="13.5" thickBot="1" x14ac:dyDescent="0.25">
      <c r="B22" s="18" t="s">
        <v>12</v>
      </c>
      <c r="C22" s="1" t="s">
        <v>11</v>
      </c>
      <c r="D22" s="12">
        <v>2.5499999999999998</v>
      </c>
      <c r="E22" s="40" t="s">
        <v>135</v>
      </c>
      <c r="F22" s="40" t="s">
        <v>129</v>
      </c>
      <c r="G22" s="92">
        <f>(G19+G20)*1000/2</f>
        <v>28871.363499999996</v>
      </c>
      <c r="H22" s="1" t="s">
        <v>24</v>
      </c>
      <c r="I22" s="1" t="s">
        <v>39</v>
      </c>
      <c r="J22" s="99">
        <f>D11*9.81-J17</f>
        <v>1864.0668914516018</v>
      </c>
    </row>
    <row r="23" spans="2:10" x14ac:dyDescent="0.2">
      <c r="B23" s="22" t="s">
        <v>107</v>
      </c>
      <c r="C23" s="23" t="s">
        <v>105</v>
      </c>
      <c r="D23" s="12">
        <v>0.28000000000000003</v>
      </c>
      <c r="E23" s="1" t="s">
        <v>20</v>
      </c>
      <c r="F23" s="3" t="s">
        <v>97</v>
      </c>
      <c r="G23" s="12">
        <f>(G9*D22)/G10</f>
        <v>1.3011730205278591</v>
      </c>
      <c r="H23" s="1"/>
      <c r="I23" s="21" t="s">
        <v>116</v>
      </c>
      <c r="J23" s="57">
        <f>J19+J20+J21+J22</f>
        <v>7946.0999999999995</v>
      </c>
    </row>
    <row r="24" spans="2:10" ht="13.5" thickBot="1" x14ac:dyDescent="0.25">
      <c r="B24" s="24" t="s">
        <v>106</v>
      </c>
      <c r="C24" s="25" t="s">
        <v>108</v>
      </c>
      <c r="D24" s="69">
        <v>0.28000000000000003</v>
      </c>
      <c r="E24" s="1" t="s">
        <v>21</v>
      </c>
      <c r="F24" s="1" t="s">
        <v>30</v>
      </c>
      <c r="G24" s="12">
        <f>D28-D27</f>
        <v>0.11000000000000001</v>
      </c>
      <c r="H24" s="1"/>
      <c r="I24" s="17" t="s">
        <v>117</v>
      </c>
      <c r="J24" s="58">
        <f>G11*9.81</f>
        <v>7946.1</v>
      </c>
    </row>
    <row r="25" spans="2:10" x14ac:dyDescent="0.2">
      <c r="B25" s="38" t="s">
        <v>133</v>
      </c>
      <c r="C25" s="1" t="s">
        <v>47</v>
      </c>
      <c r="D25" s="12">
        <v>0.45</v>
      </c>
      <c r="E25" s="1" t="s">
        <v>22</v>
      </c>
      <c r="F25" s="1" t="s">
        <v>27</v>
      </c>
      <c r="G25" s="12">
        <f>(D28-D27)/D22*G23</f>
        <v>5.6129032258064517E-2</v>
      </c>
      <c r="H25" s="1"/>
      <c r="I25" s="1"/>
      <c r="J25" s="59"/>
    </row>
    <row r="26" spans="2:10" ht="15.75" thickBot="1" x14ac:dyDescent="0.25">
      <c r="B26" s="18" t="s">
        <v>45</v>
      </c>
      <c r="C26" s="1" t="s">
        <v>46</v>
      </c>
      <c r="D26" s="70"/>
      <c r="E26" s="1" t="s">
        <v>23</v>
      </c>
      <c r="F26" s="1" t="s">
        <v>28</v>
      </c>
      <c r="G26" s="12">
        <f>G25+D27</f>
        <v>0.11612903225806451</v>
      </c>
      <c r="H26" s="1"/>
      <c r="I26" s="1"/>
      <c r="J26" s="60"/>
    </row>
    <row r="27" spans="2:10" ht="13.5" thickBot="1" x14ac:dyDescent="0.25">
      <c r="B27" s="18" t="s">
        <v>18</v>
      </c>
      <c r="C27" s="3" t="s">
        <v>122</v>
      </c>
      <c r="D27" s="12">
        <v>0.06</v>
      </c>
      <c r="E27" s="1" t="s">
        <v>51</v>
      </c>
      <c r="F27" s="1" t="s">
        <v>29</v>
      </c>
      <c r="G27" s="65">
        <f>D26-G25-D27</f>
        <v>-0.11612903225806451</v>
      </c>
      <c r="H27" s="1" t="s">
        <v>49</v>
      </c>
      <c r="I27" s="16" t="s">
        <v>50</v>
      </c>
      <c r="J27" s="53">
        <f>(G11*D1*D25)/((D20+D21)/2)</f>
        <v>1974.8829431438128</v>
      </c>
    </row>
    <row r="28" spans="2:10" ht="13.5" thickBot="1" x14ac:dyDescent="0.25">
      <c r="B28" s="37" t="s">
        <v>19</v>
      </c>
      <c r="C28" s="39" t="s">
        <v>123</v>
      </c>
      <c r="D28" s="66">
        <v>0.17</v>
      </c>
      <c r="E28" s="19"/>
      <c r="F28" s="19"/>
      <c r="G28" s="66"/>
      <c r="H28" s="19"/>
      <c r="I28" s="19"/>
      <c r="J28" s="61"/>
    </row>
    <row r="30" spans="2:10" ht="15" x14ac:dyDescent="0.25">
      <c r="H30" s="9"/>
      <c r="I30" s="47" t="s">
        <v>109</v>
      </c>
      <c r="J30" s="48">
        <f>J19-J20</f>
        <v>-63.157149651108284</v>
      </c>
    </row>
    <row r="31" spans="2:10" ht="15" x14ac:dyDescent="0.25">
      <c r="H31" s="10"/>
      <c r="I31" s="49" t="s">
        <v>138</v>
      </c>
      <c r="J31" s="48">
        <f>J21-J22</f>
        <v>372.44621709679632</v>
      </c>
    </row>
    <row r="32" spans="2:10" ht="15" x14ac:dyDescent="0.25">
      <c r="I32" s="49" t="s">
        <v>139</v>
      </c>
      <c r="J32" s="48">
        <f>J30-J31</f>
        <v>-435.6033667479046</v>
      </c>
    </row>
    <row r="33" spans="1:18" ht="15.75" customHeight="1" x14ac:dyDescent="0.25">
      <c r="A33" s="88"/>
      <c r="I33" s="49" t="s">
        <v>140</v>
      </c>
      <c r="J33" s="47">
        <f>J31/(J30+J31)*100</f>
        <v>120.42010413517083</v>
      </c>
    </row>
    <row r="34" spans="1:18" ht="21.75" customHeight="1" x14ac:dyDescent="0.2">
      <c r="A34" s="11"/>
      <c r="B34" s="11"/>
      <c r="C34" s="123" t="s">
        <v>155</v>
      </c>
      <c r="D34" s="11"/>
      <c r="E34" s="11"/>
      <c r="F34" s="11"/>
      <c r="G34" s="11"/>
      <c r="H34" s="11"/>
      <c r="I34" s="11"/>
      <c r="J34" s="11"/>
      <c r="K34" s="11"/>
      <c r="L34" s="11"/>
      <c r="M34" s="11"/>
      <c r="N34" s="11"/>
      <c r="O34" s="11"/>
      <c r="P34" s="11"/>
      <c r="Q34" s="11"/>
      <c r="R34" s="11"/>
    </row>
    <row r="35" spans="1:18" ht="22.5" customHeight="1" x14ac:dyDescent="0.2">
      <c r="B35" s="88" t="s">
        <v>149</v>
      </c>
      <c r="C35" s="11"/>
      <c r="D35" s="11"/>
      <c r="E35" s="11"/>
      <c r="F35" s="11"/>
      <c r="G35" s="11"/>
      <c r="H35" s="11"/>
      <c r="I35" s="11"/>
      <c r="J35" s="11"/>
      <c r="K35" s="11"/>
      <c r="L35" s="11"/>
      <c r="M35" s="11"/>
      <c r="N35" s="11"/>
      <c r="O35" s="11"/>
      <c r="P35" s="11"/>
      <c r="Q35" s="11"/>
      <c r="R35" s="11"/>
    </row>
    <row r="36" spans="1:18" ht="21.75" customHeight="1" x14ac:dyDescent="0.2">
      <c r="B36" s="88" t="s">
        <v>143</v>
      </c>
      <c r="C36" s="93" t="s">
        <v>148</v>
      </c>
      <c r="D36" s="94"/>
      <c r="E36" s="94"/>
      <c r="F36" s="94"/>
      <c r="G36" s="94"/>
      <c r="H36" s="94"/>
      <c r="I36" s="94"/>
      <c r="J36" s="94"/>
      <c r="K36" s="11"/>
      <c r="L36" s="11"/>
      <c r="M36" s="11"/>
      <c r="N36" s="11"/>
      <c r="O36" s="11"/>
      <c r="P36" s="11"/>
      <c r="Q36" s="11"/>
      <c r="R36" s="11"/>
    </row>
    <row r="37" spans="1:18" ht="54.75" customHeight="1" x14ac:dyDescent="0.2">
      <c r="B37" s="88" t="s">
        <v>142</v>
      </c>
      <c r="C37" s="87" t="s">
        <v>151</v>
      </c>
      <c r="D37" s="87"/>
      <c r="E37" s="87"/>
      <c r="F37" s="87"/>
      <c r="G37" s="87"/>
      <c r="H37" s="87"/>
      <c r="I37" s="87"/>
      <c r="J37" s="87"/>
      <c r="K37" s="87"/>
      <c r="L37" s="87"/>
      <c r="M37" s="87"/>
      <c r="N37" s="87"/>
      <c r="O37" s="87"/>
      <c r="P37" s="87"/>
      <c r="Q37" s="87"/>
    </row>
    <row r="38" spans="1:18" ht="15" x14ac:dyDescent="0.25">
      <c r="B38" s="88" t="s">
        <v>144</v>
      </c>
      <c r="C38" s="86"/>
      <c r="D38" s="86"/>
      <c r="E38" s="86"/>
      <c r="F38" s="86"/>
      <c r="G38" s="86"/>
      <c r="H38" s="86"/>
      <c r="I38" s="86"/>
      <c r="J38" s="86"/>
      <c r="K38" s="86"/>
      <c r="L38" s="86"/>
      <c r="M38" s="86"/>
      <c r="N38" s="86"/>
      <c r="O38" s="86"/>
      <c r="P38" s="86"/>
      <c r="Q38" s="86"/>
    </row>
    <row r="39" spans="1:18" ht="15" x14ac:dyDescent="0.25">
      <c r="B39" s="88" t="s">
        <v>150</v>
      </c>
      <c r="C39" s="86"/>
      <c r="D39" s="86"/>
      <c r="E39" s="86"/>
      <c r="F39" s="86"/>
      <c r="G39" s="86"/>
      <c r="H39" s="86"/>
      <c r="I39" s="86"/>
      <c r="J39" s="86"/>
      <c r="K39" s="86"/>
      <c r="L39" s="86"/>
      <c r="M39" s="86"/>
      <c r="N39" s="86"/>
      <c r="O39" s="86"/>
      <c r="P39" s="86"/>
      <c r="Q39" s="86"/>
    </row>
  </sheetData>
  <mergeCells count="4">
    <mergeCell ref="C37:Q37"/>
    <mergeCell ref="C38:Q38"/>
    <mergeCell ref="C39:Q39"/>
    <mergeCell ref="C36:J3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284BF-5F53-4F50-91F7-5B5E08D934C6}">
  <dimension ref="A1:R39"/>
  <sheetViews>
    <sheetView topLeftCell="A7" zoomScale="70" zoomScaleNormal="70" workbookViewId="0">
      <selection activeCell="D18" sqref="D18"/>
    </sheetView>
  </sheetViews>
  <sheetFormatPr defaultRowHeight="12.75" x14ac:dyDescent="0.2"/>
  <cols>
    <col min="3" max="3" width="51.7109375" customWidth="1"/>
    <col min="6" max="6" width="43.5703125" customWidth="1"/>
    <col min="7" max="7" width="19.42578125" customWidth="1"/>
    <col min="9" max="9" width="53.42578125" customWidth="1"/>
    <col min="10" max="10" width="12.140625" customWidth="1"/>
    <col min="11" max="11" width="7.42578125" customWidth="1"/>
    <col min="12" max="14" width="9.140625" customWidth="1"/>
    <col min="15" max="15" width="11.140625" customWidth="1"/>
    <col min="16" max="16" width="10.140625" customWidth="1"/>
  </cols>
  <sheetData>
    <row r="1" spans="2:10" ht="18.75" thickBot="1" x14ac:dyDescent="0.3">
      <c r="C1" s="4" t="s">
        <v>96</v>
      </c>
      <c r="D1" s="13">
        <v>8.1</v>
      </c>
    </row>
    <row r="2" spans="2:10" ht="13.5" thickBot="1" x14ac:dyDescent="0.25"/>
    <row r="3" spans="2:10" ht="16.5" thickBot="1" x14ac:dyDescent="0.3">
      <c r="B3" s="7" t="s">
        <v>14</v>
      </c>
      <c r="C3" s="8"/>
      <c r="D3" s="8"/>
      <c r="E3" s="8" t="s">
        <v>15</v>
      </c>
      <c r="F3" s="8"/>
      <c r="G3" s="8"/>
      <c r="H3" s="8" t="s">
        <v>17</v>
      </c>
      <c r="I3" s="8"/>
      <c r="J3" s="31"/>
    </row>
    <row r="4" spans="2:10" ht="13.5" thickBot="1" x14ac:dyDescent="0.25">
      <c r="B4" s="32" t="s">
        <v>68</v>
      </c>
      <c r="C4" s="35" t="s">
        <v>124</v>
      </c>
      <c r="D4" s="100">
        <v>0.87</v>
      </c>
      <c r="E4" s="33" t="s">
        <v>77</v>
      </c>
      <c r="F4" s="33" t="s">
        <v>52</v>
      </c>
      <c r="G4" s="34">
        <f>SUM(D8-D12)</f>
        <v>156.80000000000001</v>
      </c>
      <c r="H4" s="35" t="s">
        <v>48</v>
      </c>
      <c r="I4" s="35" t="s">
        <v>101</v>
      </c>
      <c r="J4" s="73">
        <f>((D20^2*G21)/2)</f>
        <v>31772.550615986245</v>
      </c>
    </row>
    <row r="5" spans="2:10" ht="15" customHeight="1" thickBot="1" x14ac:dyDescent="0.25">
      <c r="B5" s="18" t="s">
        <v>69</v>
      </c>
      <c r="C5" s="35" t="s">
        <v>125</v>
      </c>
      <c r="D5" s="100">
        <v>0.82</v>
      </c>
      <c r="E5" s="1" t="s">
        <v>78</v>
      </c>
      <c r="F5" s="1" t="s">
        <v>2</v>
      </c>
      <c r="G5" s="5">
        <f>SUM(D9-D13)</f>
        <v>177.2</v>
      </c>
      <c r="H5" s="1" t="s">
        <v>25</v>
      </c>
      <c r="I5" s="1" t="s">
        <v>34</v>
      </c>
      <c r="J5" s="108">
        <f>((D21^2*G22)/2)</f>
        <v>33352.199115199997</v>
      </c>
    </row>
    <row r="6" spans="2:10" ht="16.5" customHeight="1" thickBot="1" x14ac:dyDescent="0.25">
      <c r="B6" s="18" t="s">
        <v>70</v>
      </c>
      <c r="C6" s="35" t="s">
        <v>126</v>
      </c>
      <c r="D6" s="100">
        <v>0.7</v>
      </c>
      <c r="E6" s="1" t="s">
        <v>79</v>
      </c>
      <c r="F6" s="1" t="s">
        <v>54</v>
      </c>
      <c r="G6" s="5">
        <f>SUM(D10-D14)</f>
        <v>163.80000000000001</v>
      </c>
      <c r="H6" s="1" t="s">
        <v>26</v>
      </c>
      <c r="I6" s="1" t="s">
        <v>33</v>
      </c>
      <c r="J6" s="108">
        <f>J4+J5</f>
        <v>65124.749731186239</v>
      </c>
    </row>
    <row r="7" spans="2:10" x14ac:dyDescent="0.2">
      <c r="B7" s="18" t="s">
        <v>40</v>
      </c>
      <c r="C7" s="35" t="s">
        <v>127</v>
      </c>
      <c r="D7" s="100">
        <v>0.7</v>
      </c>
      <c r="E7" s="1" t="s">
        <v>0</v>
      </c>
      <c r="F7" s="1" t="s">
        <v>53</v>
      </c>
      <c r="G7" s="5">
        <f>SUM(D11-D15)</f>
        <v>184.2</v>
      </c>
      <c r="H7" s="1" t="s">
        <v>31</v>
      </c>
      <c r="I7" s="1" t="s">
        <v>32</v>
      </c>
      <c r="J7" s="108">
        <f>(G10*G27*5)</f>
        <v>-395.99999999999994</v>
      </c>
    </row>
    <row r="8" spans="2:10" x14ac:dyDescent="0.2">
      <c r="B8" s="18" t="s">
        <v>71</v>
      </c>
      <c r="C8" s="1" t="s">
        <v>60</v>
      </c>
      <c r="D8" s="101">
        <v>185.8</v>
      </c>
      <c r="E8" s="3" t="s">
        <v>7</v>
      </c>
      <c r="F8" s="1" t="s">
        <v>3</v>
      </c>
      <c r="G8" s="5">
        <f>SUM(G4+G5)</f>
        <v>334</v>
      </c>
      <c r="H8" s="44" t="s">
        <v>102</v>
      </c>
      <c r="I8" s="3" t="s">
        <v>104</v>
      </c>
      <c r="J8" s="109">
        <f>(J7/J6)</f>
        <v>-6.0806375707324637E-3</v>
      </c>
    </row>
    <row r="9" spans="2:10" x14ac:dyDescent="0.2">
      <c r="B9" s="18" t="s">
        <v>72</v>
      </c>
      <c r="C9" s="1" t="s">
        <v>61</v>
      </c>
      <c r="D9" s="101">
        <v>206.2</v>
      </c>
      <c r="E9" s="1" t="s">
        <v>6</v>
      </c>
      <c r="F9" s="1" t="s">
        <v>4</v>
      </c>
      <c r="G9" s="5">
        <f>SUM(G6+G7)</f>
        <v>348</v>
      </c>
      <c r="H9" s="45" t="s">
        <v>13</v>
      </c>
      <c r="I9" s="1" t="s">
        <v>35</v>
      </c>
      <c r="J9" s="108">
        <f>(J8*G21*D20)/2</f>
        <v>-131.42677890718699</v>
      </c>
    </row>
    <row r="10" spans="2:10" x14ac:dyDescent="0.2">
      <c r="B10" s="18" t="s">
        <v>73</v>
      </c>
      <c r="C10" s="1" t="s">
        <v>62</v>
      </c>
      <c r="D10" s="101">
        <v>198.8</v>
      </c>
      <c r="E10" s="23" t="s">
        <v>100</v>
      </c>
      <c r="F10" s="23" t="s">
        <v>98</v>
      </c>
      <c r="G10" s="12">
        <f>SUM(G8+G9)</f>
        <v>682</v>
      </c>
      <c r="H10" s="45" t="s">
        <v>16</v>
      </c>
      <c r="I10" s="3" t="s">
        <v>36</v>
      </c>
      <c r="J10" s="108">
        <f>(J8*G22*D21)/2</f>
        <v>-133.42278618844415</v>
      </c>
    </row>
    <row r="11" spans="2:10" x14ac:dyDescent="0.2">
      <c r="B11" s="18" t="s">
        <v>1</v>
      </c>
      <c r="C11" s="1" t="s">
        <v>63</v>
      </c>
      <c r="D11" s="101">
        <v>219.2</v>
      </c>
      <c r="E11" s="23" t="s">
        <v>136</v>
      </c>
      <c r="F11" s="23" t="s">
        <v>99</v>
      </c>
      <c r="G11" s="26">
        <f>SUM(G10+D12+D13+D14+D15)</f>
        <v>810</v>
      </c>
      <c r="H11" s="46"/>
      <c r="I11" s="2"/>
      <c r="J11" s="110"/>
    </row>
    <row r="12" spans="2:10" x14ac:dyDescent="0.2">
      <c r="B12" s="18" t="s">
        <v>74</v>
      </c>
      <c r="C12" s="1" t="s">
        <v>64</v>
      </c>
      <c r="D12" s="102">
        <v>29</v>
      </c>
      <c r="E12" s="27" t="s">
        <v>137</v>
      </c>
      <c r="F12" s="27" t="s">
        <v>103</v>
      </c>
      <c r="G12" s="26">
        <f>SUM(D12+D13+D14+D15)</f>
        <v>128</v>
      </c>
      <c r="H12" s="45" t="s">
        <v>41</v>
      </c>
      <c r="I12" s="3" t="s">
        <v>110</v>
      </c>
      <c r="J12" s="108">
        <f>(G8*'Q5'!D1*'Q5'!D27)/'Q5'!D20</f>
        <v>110.42448979591838</v>
      </c>
    </row>
    <row r="13" spans="2:10" x14ac:dyDescent="0.2">
      <c r="B13" s="18" t="s">
        <v>75</v>
      </c>
      <c r="C13" s="1" t="s">
        <v>65</v>
      </c>
      <c r="D13" s="102">
        <v>29</v>
      </c>
      <c r="E13" s="3" t="s">
        <v>93</v>
      </c>
      <c r="F13" s="1" t="s">
        <v>55</v>
      </c>
      <c r="G13" s="6">
        <f>SUM(D16*0.1751)</f>
        <v>41.148499999999999</v>
      </c>
      <c r="H13" s="45" t="s">
        <v>44</v>
      </c>
      <c r="I13" s="3" t="s">
        <v>111</v>
      </c>
      <c r="J13" s="108">
        <f>(G9*D1*D28)/D21</f>
        <v>315.26052631578943</v>
      </c>
    </row>
    <row r="14" spans="2:10" x14ac:dyDescent="0.2">
      <c r="B14" s="18" t="s">
        <v>76</v>
      </c>
      <c r="C14" s="1" t="s">
        <v>66</v>
      </c>
      <c r="D14" s="68">
        <v>35</v>
      </c>
      <c r="E14" s="3" t="s">
        <v>94</v>
      </c>
      <c r="F14" s="1" t="s">
        <v>56</v>
      </c>
      <c r="G14" s="103">
        <f>SUM(D17*0.1751)</f>
        <v>41.148499999999999</v>
      </c>
      <c r="H14" s="45" t="s">
        <v>42</v>
      </c>
      <c r="I14" s="3" t="s">
        <v>112</v>
      </c>
      <c r="J14" s="108">
        <f>((D12+D13)*D1*D23)/D20</f>
        <v>89.485714285714295</v>
      </c>
    </row>
    <row r="15" spans="2:10" x14ac:dyDescent="0.2">
      <c r="B15" s="18" t="s">
        <v>5</v>
      </c>
      <c r="C15" s="1" t="s">
        <v>67</v>
      </c>
      <c r="D15" s="68">
        <v>35</v>
      </c>
      <c r="E15" s="1" t="s">
        <v>80</v>
      </c>
      <c r="F15" s="1" t="s">
        <v>57</v>
      </c>
      <c r="G15" s="103">
        <f>SUM(D18*0.1751)</f>
        <v>58.833600000000004</v>
      </c>
      <c r="H15" s="45" t="s">
        <v>43</v>
      </c>
      <c r="I15" s="3" t="s">
        <v>113</v>
      </c>
      <c r="J15" s="108">
        <f>((D14+D15)*D1*D24)/D21</f>
        <v>104.44736842105264</v>
      </c>
    </row>
    <row r="16" spans="2:10" x14ac:dyDescent="0.2">
      <c r="B16" s="18" t="s">
        <v>86</v>
      </c>
      <c r="C16" s="1" t="s">
        <v>88</v>
      </c>
      <c r="D16" s="12">
        <v>235</v>
      </c>
      <c r="E16" s="1" t="s">
        <v>81</v>
      </c>
      <c r="F16" s="1" t="s">
        <v>58</v>
      </c>
      <c r="G16" s="104">
        <f>SUM(D19*0.1751)</f>
        <v>59.008700000000005</v>
      </c>
      <c r="H16" s="45"/>
      <c r="I16" s="23" t="s">
        <v>114</v>
      </c>
      <c r="J16" s="111">
        <f>J9+J12+J14</f>
        <v>68.483425174445685</v>
      </c>
    </row>
    <row r="17" spans="2:10" ht="13.5" thickBot="1" x14ac:dyDescent="0.25">
      <c r="B17" s="18" t="s">
        <v>87</v>
      </c>
      <c r="C17" s="1" t="s">
        <v>89</v>
      </c>
      <c r="D17" s="12">
        <v>235</v>
      </c>
      <c r="E17" s="1" t="s">
        <v>82</v>
      </c>
      <c r="F17" s="1" t="s">
        <v>59</v>
      </c>
      <c r="G17" s="105">
        <f>D4^2*G13</f>
        <v>31.145299649999998</v>
      </c>
      <c r="H17" s="45"/>
      <c r="I17" s="23" t="s">
        <v>115</v>
      </c>
      <c r="J17" s="112">
        <f>J10+J13+J15</f>
        <v>286.28510854839794</v>
      </c>
    </row>
    <row r="18" spans="2:10" ht="13.5" thickBot="1" x14ac:dyDescent="0.25">
      <c r="B18" s="18" t="s">
        <v>80</v>
      </c>
      <c r="C18" s="1" t="s">
        <v>90</v>
      </c>
      <c r="D18" s="12">
        <v>336</v>
      </c>
      <c r="E18" s="1" t="s">
        <v>83</v>
      </c>
      <c r="F18" s="1" t="s">
        <v>84</v>
      </c>
      <c r="G18" s="105">
        <f>D5^2*G14</f>
        <v>27.668251399999995</v>
      </c>
      <c r="H18" s="1"/>
      <c r="I18" s="28" t="s">
        <v>130</v>
      </c>
      <c r="J18" s="113">
        <f>J16+J17</f>
        <v>354.76853372284364</v>
      </c>
    </row>
    <row r="19" spans="2:10" x14ac:dyDescent="0.2">
      <c r="B19" s="18" t="s">
        <v>81</v>
      </c>
      <c r="C19" s="1" t="s">
        <v>91</v>
      </c>
      <c r="D19" s="12">
        <v>337</v>
      </c>
      <c r="E19" s="1" t="s">
        <v>120</v>
      </c>
      <c r="F19" s="1" t="s">
        <v>118</v>
      </c>
      <c r="G19" s="106">
        <f>D6^2*G15</f>
        <v>28.828463999999997</v>
      </c>
      <c r="H19" s="1" t="s">
        <v>85</v>
      </c>
      <c r="I19" s="1" t="s">
        <v>37</v>
      </c>
      <c r="J19" s="114">
        <f>D8*9.81+J16</f>
        <v>1891.1814251744458</v>
      </c>
    </row>
    <row r="20" spans="2:10" x14ac:dyDescent="0.2">
      <c r="B20" s="18" t="s">
        <v>9</v>
      </c>
      <c r="C20" s="1" t="s">
        <v>132</v>
      </c>
      <c r="D20" s="12">
        <v>1.47</v>
      </c>
      <c r="E20" s="1" t="s">
        <v>121</v>
      </c>
      <c r="F20" s="1" t="s">
        <v>119</v>
      </c>
      <c r="G20" s="106">
        <f>D7^2*G16</f>
        <v>28.914262999999998</v>
      </c>
      <c r="H20" s="3" t="s">
        <v>95</v>
      </c>
      <c r="I20" s="1" t="s">
        <v>131</v>
      </c>
      <c r="J20" s="115">
        <f>D9*9.81-J16</f>
        <v>1954.3385748255541</v>
      </c>
    </row>
    <row r="21" spans="2:10" x14ac:dyDescent="0.2">
      <c r="B21" s="18" t="s">
        <v>10</v>
      </c>
      <c r="C21" s="1" t="s">
        <v>8</v>
      </c>
      <c r="D21" s="12">
        <v>1.52</v>
      </c>
      <c r="E21" s="40" t="s">
        <v>134</v>
      </c>
      <c r="F21" s="40" t="s">
        <v>128</v>
      </c>
      <c r="G21" s="41">
        <f>(G17+G18)*1000/2</f>
        <v>29406.775524999997</v>
      </c>
      <c r="H21" s="3" t="s">
        <v>92</v>
      </c>
      <c r="I21" s="1" t="s">
        <v>38</v>
      </c>
      <c r="J21" s="115">
        <f>D10*9.81+J17</f>
        <v>2236.5131085483981</v>
      </c>
    </row>
    <row r="22" spans="2:10" ht="13.5" thickBot="1" x14ac:dyDescent="0.25">
      <c r="B22" s="18" t="s">
        <v>12</v>
      </c>
      <c r="C22" s="1" t="s">
        <v>11</v>
      </c>
      <c r="D22" s="12">
        <v>2.5499999999999998</v>
      </c>
      <c r="E22" s="40" t="s">
        <v>135</v>
      </c>
      <c r="F22" s="40" t="s">
        <v>129</v>
      </c>
      <c r="G22" s="41">
        <f>(G19+G20)*1000/2</f>
        <v>28871.363499999996</v>
      </c>
      <c r="H22" s="1" t="s">
        <v>24</v>
      </c>
      <c r="I22" s="1" t="s">
        <v>39</v>
      </c>
      <c r="J22" s="116">
        <f>D11*9.81-J17</f>
        <v>1864.0668914516018</v>
      </c>
    </row>
    <row r="23" spans="2:10" x14ac:dyDescent="0.2">
      <c r="B23" s="22" t="s">
        <v>107</v>
      </c>
      <c r="C23" s="23" t="s">
        <v>105</v>
      </c>
      <c r="D23" s="12">
        <v>0.28000000000000003</v>
      </c>
      <c r="E23" s="1" t="s">
        <v>20</v>
      </c>
      <c r="F23" s="3" t="s">
        <v>97</v>
      </c>
      <c r="G23" s="101">
        <f>(G9*D22)/G10</f>
        <v>1.3011730205278591</v>
      </c>
      <c r="H23" s="1"/>
      <c r="I23" s="21" t="s">
        <v>116</v>
      </c>
      <c r="J23" s="117">
        <f>J19+J20+J21+J22</f>
        <v>7946.0999999999995</v>
      </c>
    </row>
    <row r="24" spans="2:10" ht="13.5" thickBot="1" x14ac:dyDescent="0.25">
      <c r="B24" s="24" t="s">
        <v>106</v>
      </c>
      <c r="C24" s="25" t="s">
        <v>108</v>
      </c>
      <c r="D24" s="69">
        <v>0.28000000000000003</v>
      </c>
      <c r="E24" s="1" t="s">
        <v>21</v>
      </c>
      <c r="F24" s="1" t="s">
        <v>30</v>
      </c>
      <c r="G24" s="101">
        <f>D28-D27</f>
        <v>0.11000000000000001</v>
      </c>
      <c r="H24" s="1"/>
      <c r="I24" s="17" t="s">
        <v>117</v>
      </c>
      <c r="J24" s="118">
        <f>G11*9.81</f>
        <v>7946.1</v>
      </c>
    </row>
    <row r="25" spans="2:10" x14ac:dyDescent="0.2">
      <c r="B25" s="38" t="s">
        <v>133</v>
      </c>
      <c r="C25" s="1" t="s">
        <v>47</v>
      </c>
      <c r="D25" s="12">
        <v>0.45</v>
      </c>
      <c r="E25" s="1" t="s">
        <v>22</v>
      </c>
      <c r="F25" s="1" t="s">
        <v>27</v>
      </c>
      <c r="G25" s="101">
        <f>(D28-D27)/D22*G23</f>
        <v>5.6129032258064517E-2</v>
      </c>
      <c r="H25" s="1"/>
      <c r="I25" s="1"/>
      <c r="J25" s="119"/>
    </row>
    <row r="26" spans="2:10" ht="15.75" thickBot="1" x14ac:dyDescent="0.25">
      <c r="B26" s="18" t="s">
        <v>45</v>
      </c>
      <c r="C26" s="1" t="s">
        <v>46</v>
      </c>
      <c r="D26" s="70"/>
      <c r="E26" s="1" t="s">
        <v>23</v>
      </c>
      <c r="F26" s="1" t="s">
        <v>28</v>
      </c>
      <c r="G26" s="101">
        <f>G25+D27</f>
        <v>0.11612903225806451</v>
      </c>
      <c r="H26" s="1"/>
      <c r="I26" s="1"/>
      <c r="J26" s="120"/>
    </row>
    <row r="27" spans="2:10" ht="13.5" thickBot="1" x14ac:dyDescent="0.25">
      <c r="B27" s="18" t="s">
        <v>18</v>
      </c>
      <c r="C27" s="3" t="s">
        <v>122</v>
      </c>
      <c r="D27" s="12">
        <v>0.06</v>
      </c>
      <c r="E27" s="1" t="s">
        <v>51</v>
      </c>
      <c r="F27" s="1" t="s">
        <v>29</v>
      </c>
      <c r="G27" s="107">
        <f>D26-G25-D27</f>
        <v>-0.11612903225806451</v>
      </c>
      <c r="H27" s="1" t="s">
        <v>49</v>
      </c>
      <c r="I27" s="16" t="s">
        <v>50</v>
      </c>
      <c r="J27" s="113">
        <f>(G11*D1*D25)/((D20+D21)/2)</f>
        <v>1974.8829431438128</v>
      </c>
    </row>
    <row r="28" spans="2:10" ht="13.5" thickBot="1" x14ac:dyDescent="0.25">
      <c r="B28" s="37" t="s">
        <v>19</v>
      </c>
      <c r="C28" s="39" t="s">
        <v>123</v>
      </c>
      <c r="D28" s="66">
        <v>0.17</v>
      </c>
      <c r="E28" s="19"/>
      <c r="F28" s="19"/>
      <c r="G28" s="66"/>
      <c r="H28" s="19"/>
      <c r="I28" s="19"/>
      <c r="J28" s="61"/>
    </row>
    <row r="30" spans="2:10" ht="15" x14ac:dyDescent="0.25">
      <c r="H30" s="9"/>
      <c r="I30" s="47" t="s">
        <v>109</v>
      </c>
      <c r="J30" s="48">
        <f>J19-J20</f>
        <v>-63.157149651108284</v>
      </c>
    </row>
    <row r="31" spans="2:10" ht="15" x14ac:dyDescent="0.25">
      <c r="H31" s="10"/>
      <c r="I31" s="49" t="s">
        <v>138</v>
      </c>
      <c r="J31" s="48">
        <f>J21-J22</f>
        <v>372.44621709679632</v>
      </c>
    </row>
    <row r="32" spans="2:10" ht="15" x14ac:dyDescent="0.25">
      <c r="I32" s="49" t="s">
        <v>139</v>
      </c>
      <c r="J32" s="48">
        <f>J30-J31</f>
        <v>-435.6033667479046</v>
      </c>
    </row>
    <row r="33" spans="1:18" ht="15.75" customHeight="1" x14ac:dyDescent="0.25">
      <c r="A33" s="88"/>
      <c r="I33" s="49" t="s">
        <v>140</v>
      </c>
      <c r="J33" s="47">
        <f>J31/(J30+J31)*100</f>
        <v>120.42010413517083</v>
      </c>
    </row>
    <row r="34" spans="1:18" ht="21.75" customHeight="1" x14ac:dyDescent="0.2">
      <c r="A34" s="11"/>
      <c r="R34" s="11"/>
    </row>
    <row r="35" spans="1:18" ht="22.5" customHeight="1" x14ac:dyDescent="0.2">
      <c r="R35" s="11"/>
    </row>
    <row r="36" spans="1:18" ht="21.75" customHeight="1" x14ac:dyDescent="0.2">
      <c r="C36" s="11"/>
      <c r="D36" s="11"/>
      <c r="E36" s="11"/>
      <c r="F36" s="11"/>
      <c r="G36" s="11"/>
      <c r="H36" s="11"/>
      <c r="I36" s="11"/>
      <c r="J36" s="11"/>
      <c r="R36" s="11"/>
    </row>
    <row r="37" spans="1:18" ht="15" customHeight="1" x14ac:dyDescent="0.2">
      <c r="C37" s="11"/>
      <c r="D37" s="11"/>
      <c r="E37" s="11"/>
      <c r="F37" s="11"/>
      <c r="G37" s="11"/>
      <c r="H37" s="11"/>
      <c r="I37" s="11"/>
      <c r="J37" s="11"/>
      <c r="K37" s="11"/>
      <c r="L37" s="11"/>
      <c r="M37" s="11"/>
      <c r="N37" s="11"/>
      <c r="O37" s="11"/>
      <c r="P37" s="11"/>
      <c r="Q37" s="11"/>
    </row>
    <row r="38" spans="1:18" x14ac:dyDescent="0.2">
      <c r="C38" s="11"/>
      <c r="D38" s="11"/>
      <c r="E38" s="11"/>
      <c r="F38" s="11"/>
      <c r="G38" s="11"/>
      <c r="H38" s="11"/>
      <c r="I38" s="11"/>
      <c r="J38" s="11"/>
      <c r="K38" s="11"/>
      <c r="L38" s="11"/>
      <c r="M38" s="11"/>
      <c r="N38" s="11"/>
      <c r="O38" s="11"/>
      <c r="P38" s="11"/>
      <c r="Q38" s="11"/>
    </row>
    <row r="39" spans="1:18" x14ac:dyDescent="0.2">
      <c r="C39" s="11"/>
      <c r="D39" s="11"/>
      <c r="E39" s="11"/>
      <c r="F39" s="11"/>
      <c r="G39" s="11"/>
      <c r="H39" s="11"/>
      <c r="I39" s="11"/>
      <c r="J39" s="11"/>
      <c r="K39" s="11"/>
      <c r="L39" s="11"/>
      <c r="M39" s="11"/>
      <c r="N39" s="11"/>
      <c r="O39" s="11"/>
      <c r="P39" s="11"/>
      <c r="Q39" s="11"/>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449C5-F958-462A-BA48-1E5FF2C989C3}">
  <dimension ref="A1:R39"/>
  <sheetViews>
    <sheetView tabSelected="1" topLeftCell="A11" zoomScale="70" zoomScaleNormal="70" workbookViewId="0">
      <selection activeCell="C33" sqref="C33"/>
    </sheetView>
  </sheetViews>
  <sheetFormatPr defaultRowHeight="12.75" x14ac:dyDescent="0.2"/>
  <cols>
    <col min="3" max="3" width="51.7109375" customWidth="1"/>
    <col min="6" max="6" width="43.5703125" customWidth="1"/>
    <col min="7" max="7" width="19.42578125" customWidth="1"/>
    <col min="9" max="9" width="53.42578125" customWidth="1"/>
    <col min="10" max="10" width="12.140625" customWidth="1"/>
    <col min="11" max="11" width="7.42578125" customWidth="1"/>
    <col min="12" max="12" width="11.85546875" customWidth="1"/>
    <col min="13" max="13" width="16.140625" customWidth="1"/>
    <col min="14" max="14" width="15.85546875" customWidth="1"/>
    <col min="15" max="15" width="11.140625" customWidth="1"/>
    <col min="16" max="16" width="10.140625" customWidth="1"/>
  </cols>
  <sheetData>
    <row r="1" spans="2:10" ht="18.75" thickBot="1" x14ac:dyDescent="0.3">
      <c r="C1" s="4" t="s">
        <v>96</v>
      </c>
      <c r="D1" s="13">
        <v>8.1</v>
      </c>
    </row>
    <row r="2" spans="2:10" ht="13.5" thickBot="1" x14ac:dyDescent="0.25"/>
    <row r="3" spans="2:10" ht="16.5" thickBot="1" x14ac:dyDescent="0.3">
      <c r="B3" s="7" t="s">
        <v>14</v>
      </c>
      <c r="C3" s="8"/>
      <c r="D3" s="8"/>
      <c r="E3" s="8" t="s">
        <v>15</v>
      </c>
      <c r="F3" s="8"/>
      <c r="G3" s="8"/>
      <c r="H3" s="8" t="s">
        <v>17</v>
      </c>
      <c r="I3" s="8"/>
      <c r="J3" s="31"/>
    </row>
    <row r="4" spans="2:10" ht="13.5" thickBot="1" x14ac:dyDescent="0.25">
      <c r="B4" s="32" t="s">
        <v>68</v>
      </c>
      <c r="C4" s="35" t="s">
        <v>124</v>
      </c>
      <c r="D4" s="100">
        <v>0.87</v>
      </c>
      <c r="E4" s="33" t="s">
        <v>77</v>
      </c>
      <c r="F4" s="33" t="s">
        <v>52</v>
      </c>
      <c r="G4" s="34">
        <f>SUM(D8-D12)</f>
        <v>181.8</v>
      </c>
      <c r="H4" s="35" t="s">
        <v>48</v>
      </c>
      <c r="I4" s="35" t="s">
        <v>101</v>
      </c>
      <c r="J4" s="73">
        <f>((D20^2*G21)/2)</f>
        <v>31772.550615986245</v>
      </c>
    </row>
    <row r="5" spans="2:10" ht="15" customHeight="1" thickBot="1" x14ac:dyDescent="0.25">
      <c r="B5" s="18" t="s">
        <v>69</v>
      </c>
      <c r="C5" s="35" t="s">
        <v>125</v>
      </c>
      <c r="D5" s="100">
        <v>0.82</v>
      </c>
      <c r="E5" s="1" t="s">
        <v>78</v>
      </c>
      <c r="F5" s="1" t="s">
        <v>2</v>
      </c>
      <c r="G5" s="5">
        <f>SUM(D9-D13)</f>
        <v>152.19999999999999</v>
      </c>
      <c r="H5" s="1" t="s">
        <v>25</v>
      </c>
      <c r="I5" s="1" t="s">
        <v>34</v>
      </c>
      <c r="J5" s="108">
        <f>((D21^2*G22)/2)</f>
        <v>27256.626319999999</v>
      </c>
    </row>
    <row r="6" spans="2:10" ht="16.5" customHeight="1" thickBot="1" x14ac:dyDescent="0.25">
      <c r="B6" s="18" t="s">
        <v>70</v>
      </c>
      <c r="C6" s="35" t="s">
        <v>126</v>
      </c>
      <c r="D6" s="100">
        <v>0.7</v>
      </c>
      <c r="E6" s="1" t="s">
        <v>79</v>
      </c>
      <c r="F6" s="1" t="s">
        <v>54</v>
      </c>
      <c r="G6" s="5">
        <f>SUM(D10-D14)</f>
        <v>138.80000000000001</v>
      </c>
      <c r="H6" s="1" t="s">
        <v>26</v>
      </c>
      <c r="I6" s="1" t="s">
        <v>33</v>
      </c>
      <c r="J6" s="108">
        <f>J4+J5</f>
        <v>59029.176935986245</v>
      </c>
    </row>
    <row r="7" spans="2:10" x14ac:dyDescent="0.2">
      <c r="B7" s="18" t="s">
        <v>40</v>
      </c>
      <c r="C7" s="35" t="s">
        <v>127</v>
      </c>
      <c r="D7" s="100">
        <v>0.7</v>
      </c>
      <c r="E7" s="1" t="s">
        <v>0</v>
      </c>
      <c r="F7" s="1" t="s">
        <v>53</v>
      </c>
      <c r="G7" s="5">
        <f>SUM(D11-D15)</f>
        <v>209.2</v>
      </c>
      <c r="H7" s="1" t="s">
        <v>31</v>
      </c>
      <c r="I7" s="1" t="s">
        <v>32</v>
      </c>
      <c r="J7" s="108">
        <f>(G10*G27*5)</f>
        <v>-395.99999999999994</v>
      </c>
    </row>
    <row r="8" spans="2:10" x14ac:dyDescent="0.2">
      <c r="B8" s="18" t="s">
        <v>71</v>
      </c>
      <c r="C8" s="1" t="s">
        <v>60</v>
      </c>
      <c r="D8" s="101">
        <v>210.8</v>
      </c>
      <c r="E8" s="3" t="s">
        <v>7</v>
      </c>
      <c r="F8" s="1" t="s">
        <v>3</v>
      </c>
      <c r="G8" s="5">
        <f>SUM(G4+G5)</f>
        <v>334</v>
      </c>
      <c r="H8" s="44" t="s">
        <v>102</v>
      </c>
      <c r="I8" s="3" t="s">
        <v>104</v>
      </c>
      <c r="J8" s="109">
        <f>(J7/J6)</f>
        <v>-6.708546867076246E-3</v>
      </c>
    </row>
    <row r="9" spans="2:10" x14ac:dyDescent="0.2">
      <c r="B9" s="18" t="s">
        <v>72</v>
      </c>
      <c r="C9" s="1" t="s">
        <v>61</v>
      </c>
      <c r="D9" s="101">
        <v>181.2</v>
      </c>
      <c r="E9" s="1" t="s">
        <v>6</v>
      </c>
      <c r="F9" s="1" t="s">
        <v>4</v>
      </c>
      <c r="G9" s="5">
        <f>SUM(G6+G7)</f>
        <v>348</v>
      </c>
      <c r="H9" s="45" t="s">
        <v>13</v>
      </c>
      <c r="I9" s="1" t="s">
        <v>35</v>
      </c>
      <c r="J9" s="108">
        <f>(J8*G21*D20)/2</f>
        <v>-144.99839788700407</v>
      </c>
    </row>
    <row r="10" spans="2:10" x14ac:dyDescent="0.2">
      <c r="B10" s="18" t="s">
        <v>73</v>
      </c>
      <c r="C10" s="1" t="s">
        <v>62</v>
      </c>
      <c r="D10" s="101">
        <v>173.8</v>
      </c>
      <c r="E10" s="23" t="s">
        <v>100</v>
      </c>
      <c r="F10" s="23" t="s">
        <v>98</v>
      </c>
      <c r="G10" s="12">
        <f>SUM(G8+G9)</f>
        <v>682</v>
      </c>
      <c r="H10" s="45" t="s">
        <v>16</v>
      </c>
      <c r="I10" s="3" t="s">
        <v>36</v>
      </c>
      <c r="J10" s="108">
        <f>(J8*G22*D21)/2</f>
        <v>-120.29760204348943</v>
      </c>
    </row>
    <row r="11" spans="2:10" x14ac:dyDescent="0.2">
      <c r="B11" s="18" t="s">
        <v>1</v>
      </c>
      <c r="C11" s="1" t="s">
        <v>63</v>
      </c>
      <c r="D11" s="101">
        <v>244.2</v>
      </c>
      <c r="E11" s="23" t="s">
        <v>136</v>
      </c>
      <c r="F11" s="23" t="s">
        <v>99</v>
      </c>
      <c r="G11" s="26">
        <f>SUM(G10+D12+D13+D14+D15)</f>
        <v>810</v>
      </c>
      <c r="H11" s="46"/>
      <c r="I11" s="2"/>
      <c r="J11" s="110"/>
    </row>
    <row r="12" spans="2:10" x14ac:dyDescent="0.2">
      <c r="B12" s="18" t="s">
        <v>74</v>
      </c>
      <c r="C12" s="1" t="s">
        <v>64</v>
      </c>
      <c r="D12" s="102">
        <v>29</v>
      </c>
      <c r="E12" s="27" t="s">
        <v>137</v>
      </c>
      <c r="F12" s="27" t="s">
        <v>103</v>
      </c>
      <c r="G12" s="26">
        <f>SUM(D12+D13+D14+D15)</f>
        <v>128</v>
      </c>
      <c r="H12" s="45" t="s">
        <v>41</v>
      </c>
      <c r="I12" s="3" t="s">
        <v>110</v>
      </c>
      <c r="J12" s="108">
        <f>(G8*'Q6'!D1*'Q6'!D27)/'Q6'!D20</f>
        <v>110.42448979591838</v>
      </c>
    </row>
    <row r="13" spans="2:10" x14ac:dyDescent="0.2">
      <c r="B13" s="18" t="s">
        <v>75</v>
      </c>
      <c r="C13" s="1" t="s">
        <v>65</v>
      </c>
      <c r="D13" s="102">
        <v>29</v>
      </c>
      <c r="E13" s="3" t="s">
        <v>93</v>
      </c>
      <c r="F13" s="1" t="s">
        <v>55</v>
      </c>
      <c r="G13" s="6">
        <f>SUM(D16*0.1751)</f>
        <v>41.148499999999999</v>
      </c>
      <c r="H13" s="45" t="s">
        <v>44</v>
      </c>
      <c r="I13" s="3" t="s">
        <v>111</v>
      </c>
      <c r="J13" s="108">
        <f>(G9*D1*D28)/D21</f>
        <v>315.26052631578943</v>
      </c>
    </row>
    <row r="14" spans="2:10" x14ac:dyDescent="0.2">
      <c r="B14" s="18" t="s">
        <v>76</v>
      </c>
      <c r="C14" s="1" t="s">
        <v>66</v>
      </c>
      <c r="D14" s="68">
        <v>35</v>
      </c>
      <c r="E14" s="3" t="s">
        <v>94</v>
      </c>
      <c r="F14" s="1" t="s">
        <v>56</v>
      </c>
      <c r="G14" s="103">
        <f>SUM(D17*0.1751)</f>
        <v>41.148499999999999</v>
      </c>
      <c r="H14" s="45" t="s">
        <v>42</v>
      </c>
      <c r="I14" s="3" t="s">
        <v>112</v>
      </c>
      <c r="J14" s="108">
        <f>((D12+D13)*D1*D23)/D20</f>
        <v>89.485714285714295</v>
      </c>
    </row>
    <row r="15" spans="2:10" x14ac:dyDescent="0.2">
      <c r="B15" s="18" t="s">
        <v>5</v>
      </c>
      <c r="C15" s="1" t="s">
        <v>67</v>
      </c>
      <c r="D15" s="68">
        <v>35</v>
      </c>
      <c r="E15" s="1" t="s">
        <v>80</v>
      </c>
      <c r="F15" s="1" t="s">
        <v>57</v>
      </c>
      <c r="G15" s="103">
        <f>SUM(D18*0.1751)</f>
        <v>48.152500000000003</v>
      </c>
      <c r="H15" s="45" t="s">
        <v>43</v>
      </c>
      <c r="I15" s="3" t="s">
        <v>113</v>
      </c>
      <c r="J15" s="108">
        <f>((D14+D15)*D1*D24)/D21</f>
        <v>104.44736842105264</v>
      </c>
    </row>
    <row r="16" spans="2:10" x14ac:dyDescent="0.2">
      <c r="B16" s="18" t="s">
        <v>86</v>
      </c>
      <c r="C16" s="1" t="s">
        <v>88</v>
      </c>
      <c r="D16" s="12">
        <v>235</v>
      </c>
      <c r="E16" s="1" t="s">
        <v>81</v>
      </c>
      <c r="F16" s="1" t="s">
        <v>58</v>
      </c>
      <c r="G16" s="104">
        <f>SUM(D19*0.1751)</f>
        <v>48.152500000000003</v>
      </c>
      <c r="H16" s="45"/>
      <c r="I16" s="23" t="s">
        <v>114</v>
      </c>
      <c r="J16" s="111">
        <f>J9+J12+J14</f>
        <v>54.911806194628596</v>
      </c>
    </row>
    <row r="17" spans="2:14" ht="13.5" thickBot="1" x14ac:dyDescent="0.25">
      <c r="B17" s="18" t="s">
        <v>87</v>
      </c>
      <c r="C17" s="1" t="s">
        <v>89</v>
      </c>
      <c r="D17" s="12">
        <v>235</v>
      </c>
      <c r="E17" s="1" t="s">
        <v>82</v>
      </c>
      <c r="F17" s="1" t="s">
        <v>59</v>
      </c>
      <c r="G17" s="105">
        <f>D4^2*G13</f>
        <v>31.145299649999998</v>
      </c>
      <c r="H17" s="45"/>
      <c r="I17" s="23" t="s">
        <v>115</v>
      </c>
      <c r="J17" s="112">
        <f>J10+J13+J15</f>
        <v>299.41029269335263</v>
      </c>
    </row>
    <row r="18" spans="2:14" ht="13.5" thickBot="1" x14ac:dyDescent="0.25">
      <c r="B18" s="18" t="s">
        <v>80</v>
      </c>
      <c r="C18" s="1" t="s">
        <v>90</v>
      </c>
      <c r="D18" s="84">
        <v>275</v>
      </c>
      <c r="E18" s="1" t="s">
        <v>83</v>
      </c>
      <c r="F18" s="1" t="s">
        <v>84</v>
      </c>
      <c r="G18" s="105">
        <f>D5^2*G14</f>
        <v>27.668251399999995</v>
      </c>
      <c r="H18" s="1"/>
      <c r="I18" s="28" t="s">
        <v>130</v>
      </c>
      <c r="J18" s="113">
        <f>J16+J17</f>
        <v>354.32209888798121</v>
      </c>
    </row>
    <row r="19" spans="2:14" x14ac:dyDescent="0.2">
      <c r="B19" s="18" t="s">
        <v>81</v>
      </c>
      <c r="C19" s="1" t="s">
        <v>91</v>
      </c>
      <c r="D19" s="84">
        <v>275</v>
      </c>
      <c r="E19" s="1" t="s">
        <v>120</v>
      </c>
      <c r="F19" s="1" t="s">
        <v>118</v>
      </c>
      <c r="G19" s="106">
        <f>D6^2*G15</f>
        <v>23.594724999999997</v>
      </c>
      <c r="H19" s="1" t="s">
        <v>85</v>
      </c>
      <c r="I19" s="1" t="s">
        <v>37</v>
      </c>
      <c r="J19" s="114">
        <f>D8*9.81+J16</f>
        <v>2122.8598061946291</v>
      </c>
    </row>
    <row r="20" spans="2:14" x14ac:dyDescent="0.2">
      <c r="B20" s="18" t="s">
        <v>9</v>
      </c>
      <c r="C20" s="1" t="s">
        <v>132</v>
      </c>
      <c r="D20" s="12">
        <v>1.47</v>
      </c>
      <c r="E20" s="1" t="s">
        <v>121</v>
      </c>
      <c r="F20" s="1" t="s">
        <v>119</v>
      </c>
      <c r="G20" s="106">
        <f>D7^2*G16</f>
        <v>23.594724999999997</v>
      </c>
      <c r="H20" s="3" t="s">
        <v>95</v>
      </c>
      <c r="I20" s="1" t="s">
        <v>131</v>
      </c>
      <c r="J20" s="115">
        <f>D9*9.81-J16</f>
        <v>1722.6601938053714</v>
      </c>
    </row>
    <row r="21" spans="2:14" x14ac:dyDescent="0.2">
      <c r="B21" s="18" t="s">
        <v>10</v>
      </c>
      <c r="C21" s="1" t="s">
        <v>8</v>
      </c>
      <c r="D21" s="12">
        <v>1.52</v>
      </c>
      <c r="E21" s="40" t="s">
        <v>134</v>
      </c>
      <c r="F21" s="40" t="s">
        <v>128</v>
      </c>
      <c r="G21" s="41">
        <f>(G17+G18)*1000/2</f>
        <v>29406.775524999997</v>
      </c>
      <c r="H21" s="3" t="s">
        <v>92</v>
      </c>
      <c r="I21" s="1" t="s">
        <v>38</v>
      </c>
      <c r="J21" s="115">
        <f>D10*9.81+J17</f>
        <v>2004.3882926933529</v>
      </c>
    </row>
    <row r="22" spans="2:14" ht="13.5" thickBot="1" x14ac:dyDescent="0.25">
      <c r="B22" s="18" t="s">
        <v>12</v>
      </c>
      <c r="C22" s="1" t="s">
        <v>11</v>
      </c>
      <c r="D22" s="12">
        <v>2.5499999999999998</v>
      </c>
      <c r="E22" s="40" t="s">
        <v>135</v>
      </c>
      <c r="F22" s="40" t="s">
        <v>129</v>
      </c>
      <c r="G22" s="41">
        <f>(G19+G20)*1000/2</f>
        <v>23594.724999999999</v>
      </c>
      <c r="H22" s="1" t="s">
        <v>24</v>
      </c>
      <c r="I22" s="1" t="s">
        <v>39</v>
      </c>
      <c r="J22" s="116">
        <f>D11*9.81-J17</f>
        <v>2096.191707306647</v>
      </c>
    </row>
    <row r="23" spans="2:14" x14ac:dyDescent="0.2">
      <c r="B23" s="22" t="s">
        <v>107</v>
      </c>
      <c r="C23" s="23" t="s">
        <v>105</v>
      </c>
      <c r="D23" s="12">
        <v>0.28000000000000003</v>
      </c>
      <c r="E23" s="1" t="s">
        <v>20</v>
      </c>
      <c r="F23" s="3" t="s">
        <v>97</v>
      </c>
      <c r="G23" s="101">
        <f>(G9*D22)/G10</f>
        <v>1.3011730205278591</v>
      </c>
      <c r="H23" s="1"/>
      <c r="I23" s="21" t="s">
        <v>116</v>
      </c>
      <c r="J23" s="117">
        <f>J19+J20+J21+J22</f>
        <v>7946.1</v>
      </c>
    </row>
    <row r="24" spans="2:14" ht="13.5" thickBot="1" x14ac:dyDescent="0.25">
      <c r="B24" s="24" t="s">
        <v>106</v>
      </c>
      <c r="C24" s="25" t="s">
        <v>108</v>
      </c>
      <c r="D24" s="69">
        <v>0.28000000000000003</v>
      </c>
      <c r="E24" s="1" t="s">
        <v>21</v>
      </c>
      <c r="F24" s="1" t="s">
        <v>30</v>
      </c>
      <c r="G24" s="101">
        <f>D28-D27</f>
        <v>0.11000000000000001</v>
      </c>
      <c r="H24" s="1"/>
      <c r="I24" s="17" t="s">
        <v>117</v>
      </c>
      <c r="J24" s="118">
        <f>G11*9.81</f>
        <v>7946.1</v>
      </c>
    </row>
    <row r="25" spans="2:14" x14ac:dyDescent="0.2">
      <c r="B25" s="38" t="s">
        <v>133</v>
      </c>
      <c r="C25" s="1" t="s">
        <v>47</v>
      </c>
      <c r="D25" s="12">
        <v>0.45</v>
      </c>
      <c r="E25" s="1" t="s">
        <v>22</v>
      </c>
      <c r="F25" s="1" t="s">
        <v>27</v>
      </c>
      <c r="G25" s="101">
        <f>(D28-D27)/D22*G23</f>
        <v>5.6129032258064517E-2</v>
      </c>
      <c r="H25" s="1"/>
      <c r="I25" s="1"/>
      <c r="J25" s="119"/>
    </row>
    <row r="26" spans="2:14" ht="15.75" thickBot="1" x14ac:dyDescent="0.25">
      <c r="B26" s="18" t="s">
        <v>45</v>
      </c>
      <c r="C26" s="1" t="s">
        <v>46</v>
      </c>
      <c r="D26" s="70"/>
      <c r="E26" s="1" t="s">
        <v>23</v>
      </c>
      <c r="F26" s="1" t="s">
        <v>28</v>
      </c>
      <c r="G26" s="101">
        <f>G25+D27</f>
        <v>0.11612903225806451</v>
      </c>
      <c r="H26" s="1"/>
      <c r="I26" s="1"/>
      <c r="J26" s="120"/>
    </row>
    <row r="27" spans="2:14" ht="13.5" thickBot="1" x14ac:dyDescent="0.25">
      <c r="B27" s="18" t="s">
        <v>18</v>
      </c>
      <c r="C27" s="3" t="s">
        <v>122</v>
      </c>
      <c r="D27" s="12">
        <v>0.06</v>
      </c>
      <c r="E27" s="1" t="s">
        <v>51</v>
      </c>
      <c r="F27" s="1" t="s">
        <v>29</v>
      </c>
      <c r="G27" s="107">
        <f>D26-G25-D27</f>
        <v>-0.11612903225806451</v>
      </c>
      <c r="H27" s="1" t="s">
        <v>49</v>
      </c>
      <c r="I27" s="16" t="s">
        <v>50</v>
      </c>
      <c r="J27" s="113">
        <f>(G11*D1*D25)/((D20+D21)/2)</f>
        <v>1974.8829431438128</v>
      </c>
    </row>
    <row r="28" spans="2:14" ht="13.5" thickBot="1" x14ac:dyDescent="0.25">
      <c r="B28" s="37" t="s">
        <v>19</v>
      </c>
      <c r="C28" s="39" t="s">
        <v>123</v>
      </c>
      <c r="D28" s="66">
        <v>0.17</v>
      </c>
      <c r="E28" s="19"/>
      <c r="F28" s="19"/>
      <c r="G28" s="66"/>
      <c r="H28" s="19"/>
      <c r="I28" s="19"/>
      <c r="J28" s="61"/>
    </row>
    <row r="30" spans="2:14" ht="15" x14ac:dyDescent="0.25">
      <c r="H30" s="9"/>
      <c r="I30" s="47" t="s">
        <v>109</v>
      </c>
      <c r="J30" s="48">
        <f>J19-J20</f>
        <v>400.19961238925771</v>
      </c>
    </row>
    <row r="31" spans="2:14" ht="15" x14ac:dyDescent="0.25">
      <c r="H31" s="10"/>
      <c r="I31" s="49" t="s">
        <v>138</v>
      </c>
      <c r="J31" s="48">
        <f>J21-J22</f>
        <v>-91.80341461329408</v>
      </c>
    </row>
    <row r="32" spans="2:14" ht="15" x14ac:dyDescent="0.25">
      <c r="I32" s="49" t="s">
        <v>139</v>
      </c>
      <c r="J32" s="48">
        <f>J30-J31</f>
        <v>492.00302700255179</v>
      </c>
      <c r="L32" s="121">
        <v>-489</v>
      </c>
      <c r="M32" s="85" t="s">
        <v>152</v>
      </c>
      <c r="N32" s="85"/>
    </row>
    <row r="33" spans="1:18" ht="15.75" customHeight="1" x14ac:dyDescent="0.25">
      <c r="A33" s="88"/>
      <c r="C33" s="123" t="s">
        <v>155</v>
      </c>
      <c r="I33" s="49" t="s">
        <v>140</v>
      </c>
      <c r="J33" s="47">
        <f>J31/(J30+J31)*100</f>
        <v>-29.768011173725707</v>
      </c>
      <c r="L33" s="121">
        <v>129.28064000000001</v>
      </c>
      <c r="M33" s="85"/>
      <c r="N33" s="85"/>
    </row>
    <row r="34" spans="1:18" ht="21.75" customHeight="1" x14ac:dyDescent="0.2">
      <c r="A34" s="11"/>
      <c r="B34" s="88" t="s">
        <v>153</v>
      </c>
      <c r="R34" s="11"/>
    </row>
    <row r="35" spans="1:18" ht="59.25" customHeight="1" x14ac:dyDescent="0.2">
      <c r="B35" s="88" t="s">
        <v>143</v>
      </c>
      <c r="C35" s="122" t="s">
        <v>154</v>
      </c>
      <c r="D35" s="122"/>
      <c r="E35" s="122"/>
      <c r="F35" s="122"/>
      <c r="G35" s="122"/>
      <c r="H35" s="122"/>
      <c r="I35" s="122"/>
      <c r="J35" s="122"/>
      <c r="K35" s="122"/>
      <c r="L35" s="122"/>
      <c r="M35" s="122"/>
      <c r="N35" s="122"/>
      <c r="O35" s="122"/>
      <c r="P35" s="122"/>
      <c r="Q35" s="122"/>
      <c r="R35" s="11"/>
    </row>
    <row r="36" spans="1:18" ht="41.25" customHeight="1" x14ac:dyDescent="0.2">
      <c r="B36" s="88" t="s">
        <v>142</v>
      </c>
      <c r="C36" s="122" t="s">
        <v>156</v>
      </c>
      <c r="D36" s="122"/>
      <c r="E36" s="122"/>
      <c r="F36" s="122"/>
      <c r="G36" s="122"/>
      <c r="H36" s="122"/>
      <c r="I36" s="122"/>
      <c r="J36" s="122"/>
      <c r="K36" s="122"/>
      <c r="L36" s="122"/>
      <c r="M36" s="122"/>
      <c r="N36" s="122"/>
      <c r="O36" s="122"/>
      <c r="P36" s="122"/>
      <c r="Q36" s="122"/>
      <c r="R36" s="11"/>
    </row>
    <row r="37" spans="1:18" ht="15" customHeight="1" x14ac:dyDescent="0.2">
      <c r="C37" s="11"/>
      <c r="D37" s="11"/>
      <c r="E37" s="11"/>
      <c r="F37" s="11"/>
      <c r="G37" s="11"/>
      <c r="H37" s="11"/>
      <c r="I37" s="11"/>
      <c r="J37" s="11"/>
      <c r="K37" s="11"/>
      <c r="L37" s="11"/>
      <c r="M37" s="11"/>
      <c r="N37" s="11"/>
      <c r="O37" s="11"/>
      <c r="P37" s="11"/>
      <c r="Q37" s="11"/>
    </row>
    <row r="38" spans="1:18" x14ac:dyDescent="0.2">
      <c r="C38" s="11"/>
      <c r="D38" s="11"/>
      <c r="E38" s="11"/>
      <c r="F38" s="11"/>
      <c r="G38" s="11"/>
      <c r="H38" s="11"/>
      <c r="I38" s="11"/>
      <c r="J38" s="11"/>
      <c r="K38" s="11"/>
      <c r="L38" s="11"/>
      <c r="M38" s="11"/>
      <c r="N38" s="11"/>
      <c r="O38" s="11"/>
      <c r="P38" s="11"/>
      <c r="Q38" s="11"/>
    </row>
    <row r="39" spans="1:18" x14ac:dyDescent="0.2">
      <c r="C39" s="11"/>
      <c r="D39" s="11"/>
      <c r="E39" s="11"/>
      <c r="F39" s="11"/>
      <c r="G39" s="11"/>
      <c r="H39" s="11"/>
      <c r="I39" s="11"/>
      <c r="J39" s="11"/>
      <c r="K39" s="11"/>
      <c r="L39" s="11"/>
      <c r="M39" s="11"/>
      <c r="N39" s="11"/>
      <c r="O39" s="11"/>
      <c r="P39" s="11"/>
      <c r="Q39" s="11"/>
    </row>
  </sheetData>
  <mergeCells count="3">
    <mergeCell ref="M32:N33"/>
    <mergeCell ref="C35:Q35"/>
    <mergeCell ref="C36:Q3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Q1</vt:lpstr>
      <vt:lpstr>Q2</vt:lpstr>
      <vt:lpstr>Q3</vt:lpstr>
      <vt:lpstr>Q4</vt:lpstr>
      <vt:lpstr>Q5</vt:lpstr>
      <vt:lpstr>Q6</vt:lpstr>
    </vt:vector>
  </TitlesOfParts>
  <Company>Swansea Institute of Higher Education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 Dowden</dc:creator>
  <cp:lastModifiedBy>Alex</cp:lastModifiedBy>
  <cp:lastPrinted>2011-02-13T19:11:45Z</cp:lastPrinted>
  <dcterms:created xsi:type="dcterms:W3CDTF">2008-02-09T17:39:24Z</dcterms:created>
  <dcterms:modified xsi:type="dcterms:W3CDTF">2020-05-04T14:00:20Z</dcterms:modified>
</cp:coreProperties>
</file>