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730" windowHeight="11760" activeTab="5"/>
  </bookViews>
  <sheets>
    <sheet name="Question" sheetId="1" r:id="rId1"/>
    <sheet name="Sheet1" sheetId="12" r:id="rId2"/>
    <sheet name="Payback" sheetId="11" r:id="rId3"/>
    <sheet name="Discounted payback" sheetId="5" r:id="rId4"/>
    <sheet name="NPV" sheetId="6" r:id="rId5"/>
    <sheet name="IRR" sheetId="7" r:id="rId6"/>
    <sheet name="Optimal investment" sheetId="4" r:id="rId7"/>
    <sheet name="Discount Tables" sheetId="9" r:id="rId8"/>
    <sheet name="IRR calc check" sheetId="10" r:id="rId9"/>
    <sheet name="Resources" sheetId="8" r:id="rId10"/>
  </sheets>
  <definedNames>
    <definedName name="_xlnm.Print_Area" localSheetId="7">'Discount Tables'!$A$1:$U$27</definedName>
    <definedName name="_xlnm.Print_Area" localSheetId="5">IRR!$A$1:$L$71</definedName>
    <definedName name="_xlnm.Print_Area" localSheetId="4">NPV!$B$1:$L$40</definedName>
    <definedName name="_xlnm.Print_Area" localSheetId="6">'Optimal investment'!$A$1:$Q$47</definedName>
  </definedNames>
  <calcPr calcId="125725"/>
</workbook>
</file>

<file path=xl/calcChain.xml><?xml version="1.0" encoding="utf-8"?>
<calcChain xmlns="http://schemas.openxmlformats.org/spreadsheetml/2006/main">
  <c r="D36" i="4"/>
  <c r="B32" i="11" l="1"/>
  <c r="B31"/>
  <c r="B30"/>
  <c r="B29"/>
  <c r="B28"/>
  <c r="B27"/>
  <c r="B24"/>
  <c r="B23"/>
  <c r="B22"/>
  <c r="B21"/>
  <c r="B20"/>
  <c r="B19"/>
  <c r="B16"/>
  <c r="B15"/>
  <c r="B14"/>
  <c r="B13"/>
  <c r="B12"/>
  <c r="B11"/>
  <c r="B8"/>
  <c r="B7"/>
  <c r="B6"/>
  <c r="B5"/>
  <c r="B4"/>
  <c r="B3"/>
  <c r="D65" i="7"/>
  <c r="D64"/>
  <c r="D63"/>
  <c r="D62"/>
  <c r="E22" i="4"/>
  <c r="F22"/>
  <c r="G22"/>
  <c r="D22"/>
  <c r="B2"/>
  <c r="B3"/>
  <c r="B1"/>
  <c r="B28" i="5" l="1"/>
  <c r="B29"/>
  <c r="B30"/>
  <c r="B31"/>
  <c r="B32"/>
  <c r="B27"/>
  <c r="B20"/>
  <c r="B21"/>
  <c r="B22"/>
  <c r="B23"/>
  <c r="B24"/>
  <c r="B19"/>
  <c r="B12"/>
  <c r="B13"/>
  <c r="B14"/>
  <c r="B15"/>
  <c r="B16"/>
  <c r="B11"/>
  <c r="B4"/>
  <c r="B5"/>
  <c r="B6"/>
  <c r="B7"/>
  <c r="B8"/>
  <c r="B3"/>
  <c r="D66" i="7"/>
  <c r="G52"/>
  <c r="G51"/>
  <c r="G50"/>
  <c r="G49"/>
  <c r="G48"/>
  <c r="D52"/>
  <c r="D51"/>
  <c r="D50"/>
  <c r="D49"/>
  <c r="D48"/>
  <c r="G14" i="10"/>
  <c r="A90"/>
  <c r="A91"/>
  <c r="A92"/>
  <c r="A93"/>
  <c r="A94"/>
  <c r="A89"/>
  <c r="G86"/>
  <c r="B75"/>
  <c r="A80" s="1"/>
  <c r="A66"/>
  <c r="A67"/>
  <c r="A68"/>
  <c r="A69"/>
  <c r="A70"/>
  <c r="A65"/>
  <c r="G62"/>
  <c r="B51"/>
  <c r="A56" s="1"/>
  <c r="G38"/>
  <c r="A42"/>
  <c r="A43"/>
  <c r="A44"/>
  <c r="A45"/>
  <c r="A46"/>
  <c r="A41"/>
  <c r="A18"/>
  <c r="A19"/>
  <c r="A20"/>
  <c r="A21"/>
  <c r="A22"/>
  <c r="A17"/>
  <c r="B27"/>
  <c r="A32" s="1"/>
  <c r="B3"/>
  <c r="A8" s="1"/>
  <c r="D31" i="7" l="1"/>
  <c r="D22"/>
  <c r="D13"/>
  <c r="D4"/>
  <c r="D30" i="6"/>
  <c r="C27" i="11" s="1"/>
  <c r="D21" i="6"/>
  <c r="C19" i="11" s="1"/>
  <c r="D32" i="6"/>
  <c r="C29" i="11" s="1"/>
  <c r="D33" i="6"/>
  <c r="C30" i="11" s="1"/>
  <c r="D34" i="6"/>
  <c r="C31" i="11" s="1"/>
  <c r="D35" i="6"/>
  <c r="C32" i="11" s="1"/>
  <c r="D31" i="6"/>
  <c r="C28" i="11" s="1"/>
  <c r="D23" i="6"/>
  <c r="C21" i="11" s="1"/>
  <c r="D24" i="6"/>
  <c r="C22" i="11" s="1"/>
  <c r="D25" i="6"/>
  <c r="C23" i="11" s="1"/>
  <c r="D26" i="6"/>
  <c r="C24" i="11" s="1"/>
  <c r="D22" i="6"/>
  <c r="C20" i="11" s="1"/>
  <c r="E33" i="6"/>
  <c r="F33" s="1"/>
  <c r="E24"/>
  <c r="D25" i="7" s="1"/>
  <c r="E15" i="6"/>
  <c r="D16" i="7" s="1"/>
  <c r="E7" i="6"/>
  <c r="D14"/>
  <c r="C13" i="11" s="1"/>
  <c r="D15" i="6"/>
  <c r="C14" i="11" s="1"/>
  <c r="D16" i="6"/>
  <c r="C15" i="11" s="1"/>
  <c r="D17" i="6"/>
  <c r="C16" i="11" s="1"/>
  <c r="D13" i="6"/>
  <c r="C12" i="11" s="1"/>
  <c r="D12" i="6"/>
  <c r="C11" i="11" s="1"/>
  <c r="D3" i="6"/>
  <c r="C3" i="11" s="1"/>
  <c r="D5" i="6"/>
  <c r="C5" i="11" s="1"/>
  <c r="D6" i="6"/>
  <c r="C6" i="11" s="1"/>
  <c r="D7" i="6"/>
  <c r="C7" i="11" s="1"/>
  <c r="D8" i="6"/>
  <c r="C8" i="11" s="1"/>
  <c r="D4" i="6"/>
  <c r="U27" i="9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U6"/>
  <c r="G8" i="7" s="1"/>
  <c r="T6" i="9"/>
  <c r="S6"/>
  <c r="R6"/>
  <c r="Q6"/>
  <c r="P6"/>
  <c r="O6"/>
  <c r="N6"/>
  <c r="M6"/>
  <c r="L6"/>
  <c r="K6"/>
  <c r="J6"/>
  <c r="I6"/>
  <c r="D7" i="5" s="1"/>
  <c r="H6" i="9"/>
  <c r="G6"/>
  <c r="F6"/>
  <c r="E6"/>
  <c r="D6"/>
  <c r="C6"/>
  <c r="B6"/>
  <c r="U5"/>
  <c r="G7" i="7" s="1"/>
  <c r="T5" i="9"/>
  <c r="S5"/>
  <c r="R5"/>
  <c r="Q5"/>
  <c r="P5"/>
  <c r="O5"/>
  <c r="N5"/>
  <c r="M5"/>
  <c r="L5"/>
  <c r="K5"/>
  <c r="J5"/>
  <c r="I5"/>
  <c r="D6" i="5" s="1"/>
  <c r="H5" i="9"/>
  <c r="G5"/>
  <c r="F5"/>
  <c r="E5"/>
  <c r="D5"/>
  <c r="C5"/>
  <c r="B5"/>
  <c r="U4"/>
  <c r="G6" i="7" s="1"/>
  <c r="T4" i="9"/>
  <c r="S4"/>
  <c r="R4"/>
  <c r="Q4"/>
  <c r="P4"/>
  <c r="O4"/>
  <c r="N4"/>
  <c r="M4"/>
  <c r="L4"/>
  <c r="K4"/>
  <c r="J4"/>
  <c r="I4"/>
  <c r="D5" i="5" s="1"/>
  <c r="H4" i="9"/>
  <c r="G4"/>
  <c r="F4"/>
  <c r="E4"/>
  <c r="D4"/>
  <c r="C4"/>
  <c r="B4"/>
  <c r="U3"/>
  <c r="G5" i="7" s="1"/>
  <c r="T3" i="9"/>
  <c r="S3"/>
  <c r="R3"/>
  <c r="Q3"/>
  <c r="P3"/>
  <c r="O3"/>
  <c r="N3"/>
  <c r="M3"/>
  <c r="L3"/>
  <c r="K3"/>
  <c r="J3"/>
  <c r="I3"/>
  <c r="D4" i="5" s="1"/>
  <c r="H3" i="9"/>
  <c r="G3"/>
  <c r="F3"/>
  <c r="E3"/>
  <c r="D3"/>
  <c r="C3"/>
  <c r="B3"/>
  <c r="D3" i="11" l="1"/>
  <c r="E4" i="6"/>
  <c r="D5" i="7" s="1"/>
  <c r="E16" i="6"/>
  <c r="D17" i="7" s="1"/>
  <c r="E25" i="6"/>
  <c r="D26" i="7" s="1"/>
  <c r="E34" i="6"/>
  <c r="D35" i="7" s="1"/>
  <c r="D15" i="11"/>
  <c r="D11"/>
  <c r="D14"/>
  <c r="D13"/>
  <c r="D16"/>
  <c r="D12"/>
  <c r="D21"/>
  <c r="D24"/>
  <c r="D20"/>
  <c r="D23"/>
  <c r="D19"/>
  <c r="D22"/>
  <c r="G23" i="7"/>
  <c r="G32"/>
  <c r="G14"/>
  <c r="D29" i="5"/>
  <c r="D21"/>
  <c r="D13"/>
  <c r="G33" i="7"/>
  <c r="G24"/>
  <c r="G15"/>
  <c r="D22" i="5"/>
  <c r="D14"/>
  <c r="D30"/>
  <c r="G25" i="7"/>
  <c r="G16"/>
  <c r="G34"/>
  <c r="D23" i="5"/>
  <c r="D15"/>
  <c r="D8"/>
  <c r="D31"/>
  <c r="G17" i="7"/>
  <c r="G18" s="1"/>
  <c r="G35"/>
  <c r="G36" s="1"/>
  <c r="G26"/>
  <c r="G27" s="1"/>
  <c r="E6" i="6"/>
  <c r="E14"/>
  <c r="D15" i="7" s="1"/>
  <c r="E23" i="6"/>
  <c r="D24" i="7" s="1"/>
  <c r="E32" i="6"/>
  <c r="D33" i="7" s="1"/>
  <c r="D31" i="11"/>
  <c r="D27"/>
  <c r="D30"/>
  <c r="D29"/>
  <c r="D32"/>
  <c r="D28"/>
  <c r="D12" i="5"/>
  <c r="D20"/>
  <c r="D28"/>
  <c r="C4" i="11"/>
  <c r="D5" s="1"/>
  <c r="E13" i="6"/>
  <c r="D14" i="7" s="1"/>
  <c r="E5" i="6"/>
  <c r="C24" i="4" s="1"/>
  <c r="E22" i="6"/>
  <c r="D23" i="7" s="1"/>
  <c r="E31" i="6"/>
  <c r="D32" i="7" s="1"/>
  <c r="G9"/>
  <c r="D8"/>
  <c r="C26" i="4"/>
  <c r="D7" i="7"/>
  <c r="C25" i="4"/>
  <c r="C5" i="7"/>
  <c r="C62" s="1"/>
  <c r="E62" s="1"/>
  <c r="C4" i="5"/>
  <c r="E4" s="1"/>
  <c r="C8" i="7"/>
  <c r="C65" s="1"/>
  <c r="E65" s="1"/>
  <c r="C7" i="5"/>
  <c r="E7" s="1"/>
  <c r="C6" i="7"/>
  <c r="C63" s="1"/>
  <c r="E63" s="1"/>
  <c r="C5" i="5"/>
  <c r="E5" s="1"/>
  <c r="C13" i="7"/>
  <c r="B41" i="10" s="1"/>
  <c r="D41" s="1"/>
  <c r="C11" i="5"/>
  <c r="C18" i="7"/>
  <c r="C16" i="5"/>
  <c r="C16" i="7"/>
  <c r="B44" i="10" s="1"/>
  <c r="C14" i="5"/>
  <c r="E14" s="1"/>
  <c r="C23" i="7"/>
  <c r="C20" i="5"/>
  <c r="E20" s="1"/>
  <c r="C26" i="7"/>
  <c r="B69" i="10" s="1"/>
  <c r="C23" i="5"/>
  <c r="E23" s="1"/>
  <c r="C24" i="7"/>
  <c r="C21" i="5"/>
  <c r="C36" i="7"/>
  <c r="B94" i="10" s="1"/>
  <c r="C32" i="5"/>
  <c r="C34" i="7"/>
  <c r="C30" i="5"/>
  <c r="E30" s="1"/>
  <c r="C22" i="7"/>
  <c r="B65" i="10" s="1"/>
  <c r="D65" s="1"/>
  <c r="C19" i="5"/>
  <c r="E23" i="7"/>
  <c r="C9"/>
  <c r="C66" s="1"/>
  <c r="E66" s="1"/>
  <c r="C8" i="5"/>
  <c r="E8" s="1"/>
  <c r="C7" i="7"/>
  <c r="C64" s="1"/>
  <c r="E64" s="1"/>
  <c r="C6" i="5"/>
  <c r="E6" s="1"/>
  <c r="C4" i="7"/>
  <c r="C61" s="1"/>
  <c r="C3" i="5"/>
  <c r="C14" i="7"/>
  <c r="B42" i="10" s="1"/>
  <c r="C12" i="5"/>
  <c r="C17" i="7"/>
  <c r="B45" i="10" s="1"/>
  <c r="C15" i="5"/>
  <c r="E15" s="1"/>
  <c r="C15" i="7"/>
  <c r="B43" i="10" s="1"/>
  <c r="C13" i="5"/>
  <c r="E13" s="1"/>
  <c r="C27" i="7"/>
  <c r="C24" i="5"/>
  <c r="C25" i="7"/>
  <c r="H25" s="1"/>
  <c r="C22" i="5"/>
  <c r="E22" s="1"/>
  <c r="C32" i="7"/>
  <c r="B90" i="10" s="1"/>
  <c r="C28" i="5"/>
  <c r="E28" s="1"/>
  <c r="C35" i="7"/>
  <c r="C31" i="5"/>
  <c r="E31" s="1"/>
  <c r="C33" i="7"/>
  <c r="E33" s="1"/>
  <c r="C29" i="5"/>
  <c r="E29" s="1"/>
  <c r="C31" i="7"/>
  <c r="B89" i="10" s="1"/>
  <c r="D89" s="1"/>
  <c r="C27" i="5"/>
  <c r="E24" i="7"/>
  <c r="E35"/>
  <c r="H5"/>
  <c r="C48"/>
  <c r="B18" i="10"/>
  <c r="C49" i="7"/>
  <c r="H18"/>
  <c r="B46" i="10"/>
  <c r="B66"/>
  <c r="H24" i="7"/>
  <c r="B67" i="10"/>
  <c r="H34" i="7"/>
  <c r="B92" i="10"/>
  <c r="C50" i="7"/>
  <c r="B17" i="10"/>
  <c r="D17" s="1"/>
  <c r="C47" i="7"/>
  <c r="H17"/>
  <c r="H27"/>
  <c r="B70" i="10"/>
  <c r="B68"/>
  <c r="H32" i="7"/>
  <c r="B93" i="10"/>
  <c r="E25" i="7"/>
  <c r="E17"/>
  <c r="E15"/>
  <c r="E17" i="6"/>
  <c r="E35"/>
  <c r="F16"/>
  <c r="F24"/>
  <c r="F22"/>
  <c r="F34"/>
  <c r="F32"/>
  <c r="D34" i="7"/>
  <c r="E34" s="1"/>
  <c r="E26" i="6"/>
  <c r="F14"/>
  <c r="F25"/>
  <c r="F23"/>
  <c r="F15"/>
  <c r="E14" i="7"/>
  <c r="F13" i="6"/>
  <c r="H9" i="7"/>
  <c r="F6" i="6"/>
  <c r="F7"/>
  <c r="F5"/>
  <c r="E8"/>
  <c r="C27" i="4" s="1"/>
  <c r="D6" i="7" l="1"/>
  <c r="H36"/>
  <c r="H15"/>
  <c r="H23"/>
  <c r="E5"/>
  <c r="B91" i="10"/>
  <c r="H16" i="7"/>
  <c r="E22"/>
  <c r="E8"/>
  <c r="H26"/>
  <c r="H8"/>
  <c r="H35"/>
  <c r="E32" i="5"/>
  <c r="D24"/>
  <c r="D32"/>
  <c r="D16"/>
  <c r="D7" i="11"/>
  <c r="E24" i="5"/>
  <c r="D4" i="11"/>
  <c r="E16" i="7"/>
  <c r="B21" i="10"/>
  <c r="E26" i="7"/>
  <c r="E21" i="5"/>
  <c r="E16"/>
  <c r="C23" i="4"/>
  <c r="D23" s="1"/>
  <c r="F4" i="6"/>
  <c r="D8" i="11"/>
  <c r="C51" i="7"/>
  <c r="E12" i="5"/>
  <c r="D6" i="11"/>
  <c r="B22" i="10"/>
  <c r="E7" i="7"/>
  <c r="B20" i="10"/>
  <c r="H7" i="7"/>
  <c r="E6"/>
  <c r="B19" i="10"/>
  <c r="H6" i="7"/>
  <c r="H33"/>
  <c r="E32"/>
  <c r="H14"/>
  <c r="D27" i="4"/>
  <c r="G27"/>
  <c r="F27"/>
  <c r="E27"/>
  <c r="D25"/>
  <c r="E25"/>
  <c r="G25"/>
  <c r="F25"/>
  <c r="F23"/>
  <c r="G23"/>
  <c r="D24"/>
  <c r="F24"/>
  <c r="E24"/>
  <c r="G24"/>
  <c r="D26"/>
  <c r="G26"/>
  <c r="F26"/>
  <c r="E26"/>
  <c r="C52" i="7"/>
  <c r="E52" s="1"/>
  <c r="H50"/>
  <c r="E50"/>
  <c r="E51"/>
  <c r="H51"/>
  <c r="E49"/>
  <c r="H49"/>
  <c r="H48"/>
  <c r="E48"/>
  <c r="F8" i="6"/>
  <c r="D9" i="7"/>
  <c r="E9" s="1"/>
  <c r="F35" i="6"/>
  <c r="D36" i="7"/>
  <c r="E36" s="1"/>
  <c r="D27"/>
  <c r="E27" s="1"/>
  <c r="F26" i="6"/>
  <c r="F17"/>
  <c r="D18" i="7"/>
  <c r="E18" s="1"/>
  <c r="E28" l="1"/>
  <c r="A52" i="10" s="1"/>
  <c r="C62" s="1"/>
  <c r="H52" i="7"/>
  <c r="G29" i="4"/>
  <c r="G31" s="1"/>
  <c r="G28"/>
  <c r="F29"/>
  <c r="F31" s="1"/>
  <c r="F28"/>
  <c r="F30" s="1"/>
  <c r="D29"/>
  <c r="D31" s="1"/>
  <c r="D28"/>
  <c r="D30" s="1"/>
  <c r="E23"/>
  <c r="F3" i="6"/>
  <c r="F9" s="1"/>
  <c r="F12"/>
  <c r="F18" s="1"/>
  <c r="F21"/>
  <c r="F27" s="1"/>
  <c r="F30"/>
  <c r="F31"/>
  <c r="E29" i="4" l="1"/>
  <c r="E31" s="1"/>
  <c r="E28"/>
  <c r="D41"/>
  <c r="F41" s="1"/>
  <c r="G30"/>
  <c r="F36" i="6"/>
  <c r="E61" i="7"/>
  <c r="E67" s="1"/>
  <c r="H47"/>
  <c r="H53" s="1"/>
  <c r="E47"/>
  <c r="E53" s="1"/>
  <c r="H31"/>
  <c r="H37" s="1"/>
  <c r="C76" i="10" s="1"/>
  <c r="D40" i="4" l="1"/>
  <c r="F40" s="1"/>
  <c r="F42" s="1"/>
  <c r="E30"/>
  <c r="J53" i="7"/>
  <c r="H22"/>
  <c r="H28" s="1"/>
  <c r="C52" i="10" s="1"/>
  <c r="B52" s="1"/>
  <c r="C56" s="1"/>
  <c r="C58" s="1"/>
  <c r="I62" s="1"/>
  <c r="K62" s="1"/>
  <c r="H13" i="7"/>
  <c r="H19" s="1"/>
  <c r="C28" i="10" s="1"/>
  <c r="H4" i="7"/>
  <c r="H10" s="1"/>
  <c r="C4" i="10" s="1"/>
  <c r="E31" i="7"/>
  <c r="E37" s="1"/>
  <c r="A76" i="10" s="1"/>
  <c r="E13" i="7"/>
  <c r="E19" s="1"/>
  <c r="A28" i="10" s="1"/>
  <c r="E4" i="7"/>
  <c r="E10" s="1"/>
  <c r="A4" i="10" s="1"/>
  <c r="C14" s="1"/>
  <c r="F27" i="5"/>
  <c r="E27"/>
  <c r="E19"/>
  <c r="F19" s="1"/>
  <c r="E11"/>
  <c r="F11" s="1"/>
  <c r="F12" s="1"/>
  <c r="F13" s="1"/>
  <c r="F14" s="1"/>
  <c r="F15" s="1"/>
  <c r="E3"/>
  <c r="F3" s="1"/>
  <c r="F28" l="1"/>
  <c r="F29" s="1"/>
  <c r="F30" s="1"/>
  <c r="F31" s="1"/>
  <c r="F4"/>
  <c r="F5" s="1"/>
  <c r="F6" s="1"/>
  <c r="F7" s="1"/>
  <c r="B76" i="10"/>
  <c r="C80" s="1"/>
  <c r="C82" s="1"/>
  <c r="C86"/>
  <c r="C38"/>
  <c r="B28"/>
  <c r="C32" s="1"/>
  <c r="C34" s="1"/>
  <c r="K28" i="7"/>
  <c r="C69" i="10"/>
  <c r="C66"/>
  <c r="D66" s="1"/>
  <c r="C67"/>
  <c r="D67" s="1"/>
  <c r="C68"/>
  <c r="D68" s="1"/>
  <c r="B4"/>
  <c r="C8" s="1"/>
  <c r="C10" s="1"/>
  <c r="I14" s="1"/>
  <c r="K14" s="1"/>
  <c r="F20" i="5"/>
  <c r="F21" s="1"/>
  <c r="F22" s="1"/>
  <c r="F23" s="1"/>
  <c r="F24" s="1"/>
  <c r="I38" i="10" l="1"/>
  <c r="K38" s="1"/>
  <c r="C43" s="1"/>
  <c r="D43" s="1"/>
  <c r="I86"/>
  <c r="K86" s="1"/>
  <c r="C93" s="1"/>
  <c r="C90"/>
  <c r="D90" s="1"/>
  <c r="K10" i="7"/>
  <c r="C19" i="10"/>
  <c r="D19" s="1"/>
  <c r="C18"/>
  <c r="D18" s="1"/>
  <c r="C20"/>
  <c r="D20" s="1"/>
  <c r="C21"/>
  <c r="C70"/>
  <c r="D70" s="1"/>
  <c r="D69"/>
  <c r="K19" i="7" l="1"/>
  <c r="C44" i="10"/>
  <c r="D44" s="1"/>
  <c r="C42"/>
  <c r="D42" s="1"/>
  <c r="C45"/>
  <c r="C46" s="1"/>
  <c r="D46" s="1"/>
  <c r="C91"/>
  <c r="D91" s="1"/>
  <c r="C92"/>
  <c r="D92" s="1"/>
  <c r="K37" i="7"/>
  <c r="D71" i="10"/>
  <c r="C94"/>
  <c r="D94" s="1"/>
  <c r="D93"/>
  <c r="C22"/>
  <c r="D22" s="1"/>
  <c r="D21"/>
  <c r="D45"/>
  <c r="D47" l="1"/>
  <c r="D23"/>
  <c r="D95"/>
</calcChain>
</file>

<file path=xl/sharedStrings.xml><?xml version="1.0" encoding="utf-8"?>
<sst xmlns="http://schemas.openxmlformats.org/spreadsheetml/2006/main" count="312" uniqueCount="126">
  <si>
    <t>It is looking at 4 projects which have the following cash flows.</t>
  </si>
  <si>
    <t>Incomes (Cash Flow)</t>
  </si>
  <si>
    <t>Year 1</t>
  </si>
  <si>
    <t>Year 2</t>
  </si>
  <si>
    <t>Year 3</t>
  </si>
  <si>
    <t>Year 4</t>
  </si>
  <si>
    <t xml:space="preserve">Calculate the: </t>
  </si>
  <si>
    <t>( i.)</t>
  </si>
  <si>
    <t>Optimal investment policy.</t>
  </si>
  <si>
    <t>(ii.)</t>
  </si>
  <si>
    <t>The resulting NPV of your choice.</t>
  </si>
  <si>
    <t>(Note the projects are divisible)</t>
  </si>
  <si>
    <t>NPV</t>
  </si>
  <si>
    <t>Profitability Index</t>
  </si>
  <si>
    <t>Cost-benefit ratio</t>
  </si>
  <si>
    <t>GPV</t>
  </si>
  <si>
    <t>Ranking</t>
  </si>
  <si>
    <t>Project NPV</t>
  </si>
  <si>
    <t>Resultant NPV</t>
  </si>
  <si>
    <t>Discounted payback</t>
  </si>
  <si>
    <t>IRR</t>
  </si>
  <si>
    <t>Project 1</t>
  </si>
  <si>
    <t>Project 2</t>
  </si>
  <si>
    <t>Project 3</t>
  </si>
  <si>
    <t>Project 4</t>
  </si>
  <si>
    <t>DPP</t>
  </si>
  <si>
    <t>http://www.experiglot.com/2006/08/09/how-to-calculate-an-internal-rate-of-return-irr-and-when-not-to-use-it/</t>
  </si>
  <si>
    <t>Discounted Payback - Ready PLC</t>
  </si>
  <si>
    <t>NPV - Ready PLC</t>
  </si>
  <si>
    <t>IRR - Ready PLC</t>
  </si>
  <si>
    <t>(iii.)</t>
  </si>
  <si>
    <t>(iv.)</t>
  </si>
  <si>
    <t>( v.)</t>
  </si>
  <si>
    <t xml:space="preserve">Calculate the following: </t>
  </si>
  <si>
    <t>Optimal investment policy</t>
  </si>
  <si>
    <t>The resulting NPV of your choice</t>
  </si>
  <si>
    <t>How to approximately derive IRR for project 1</t>
  </si>
  <si>
    <t>The calcs could be continued until absolute zero is achieved if it is considered worth doing</t>
  </si>
  <si>
    <t>Optimal investment =&gt;</t>
  </si>
  <si>
    <t>NPV Project 1</t>
  </si>
  <si>
    <t>NPV Project 2</t>
  </si>
  <si>
    <t>NPV Project 3</t>
  </si>
  <si>
    <t>NPV Project 4</t>
  </si>
  <si>
    <t>The NPV is the return on the project for its given investment so if it is positive it yields a positive return</t>
  </si>
  <si>
    <t>To reduce NPV towards zero, we must increase the discount factor.</t>
  </si>
  <si>
    <t>Difference of:</t>
  </si>
  <si>
    <t>&lt;= Net Present Value accounts for all of the future returns plus the initial investment</t>
  </si>
  <si>
    <r>
      <t xml:space="preserve">&lt;= Gross Present Value accounts for all the future returns but </t>
    </r>
    <r>
      <rPr>
        <b/>
        <sz val="11"/>
        <color theme="1"/>
        <rFont val="Calibri"/>
        <family val="2"/>
        <scheme val="minor"/>
      </rPr>
      <t>NOT</t>
    </r>
    <r>
      <rPr>
        <sz val="11"/>
        <color theme="1"/>
        <rFont val="Calibri"/>
        <family val="2"/>
        <scheme val="minor"/>
      </rPr>
      <t xml:space="preserve"> the initial investment</t>
    </r>
  </si>
  <si>
    <t>IRR is the discount factor when NPV is zero!</t>
  </si>
  <si>
    <t>Disposal</t>
  </si>
  <si>
    <t>Discount factors</t>
  </si>
  <si>
    <t>Period</t>
  </si>
  <si>
    <t>Discount factor 8%</t>
  </si>
  <si>
    <t>Project Cost
€000</t>
  </si>
  <si>
    <t>DF 1 %</t>
  </si>
  <si>
    <t>DF 2 %</t>
  </si>
  <si>
    <t>%</t>
  </si>
  <si>
    <t>=</t>
  </si>
  <si>
    <t>Change in NPV</t>
  </si>
  <si>
    <t>&lt;= For 1% change in DF then NPV changes by this much</t>
  </si>
  <si>
    <t>Increase DF to reduce NPV towards zero</t>
  </si>
  <si>
    <t>Change</t>
  </si>
  <si>
    <t xml:space="preserve">To reduce NPV from </t>
  </si>
  <si>
    <t xml:space="preserve">to zero we need to raise the DF above </t>
  </si>
  <si>
    <t xml:space="preserve">% by </t>
  </si>
  <si>
    <t xml:space="preserve">or </t>
  </si>
  <si>
    <t>Check</t>
  </si>
  <si>
    <t>DF for which NPV is zero</t>
  </si>
  <si>
    <t>Needs to be very close to zero to prove this is IRR</t>
  </si>
  <si>
    <t>Discount factor 20%</t>
  </si>
  <si>
    <t>IRR =</t>
  </si>
  <si>
    <t xml:space="preserve">IRR is approx </t>
  </si>
  <si>
    <t>Project 1 has the highest IRR followed by project 2, project 4 &amp; project 3 in that order</t>
  </si>
  <si>
    <t>Let's take an arbitrarily higher discount factor of, say, 20%, and see what that does to IRR</t>
  </si>
  <si>
    <t>See IRR calc check worksheet for more information</t>
  </si>
  <si>
    <t>&lt;=  No Payback achieved</t>
  </si>
  <si>
    <t>&lt;=  Payback in year 4 ; to be exact then 3 + (19.72/36.75) = 3.54 years</t>
  </si>
  <si>
    <t>&lt;=  Payback in year 4; to be exact then 3 + (30.86/40.43) = 3.76 years</t>
  </si>
  <si>
    <t>&lt;=  Payback in year 4; to be exact then 3 + (12.98/29.4) = 3.44 years</t>
  </si>
  <si>
    <t>Project 3 does not reach payback.</t>
  </si>
  <si>
    <t>Assume average cost of weighted capital (WACC) at 8%</t>
  </si>
  <si>
    <t>Initial investment</t>
  </si>
  <si>
    <t>Project =&gt;</t>
  </si>
  <si>
    <t>DF @ 8%</t>
  </si>
  <si>
    <t xml:space="preserve"> €160K available</t>
  </si>
  <si>
    <r>
      <t xml:space="preserve">&lt;= Cost-benefit ratio is the comparison of the </t>
    </r>
    <r>
      <rPr>
        <b/>
        <sz val="11"/>
        <color theme="1"/>
        <rFont val="Calibri"/>
        <family val="2"/>
        <scheme val="minor"/>
      </rPr>
      <t>NPV</t>
    </r>
    <r>
      <rPr>
        <sz val="11"/>
        <color theme="1"/>
        <rFont val="Calibri"/>
        <family val="2"/>
        <scheme val="minor"/>
      </rPr>
      <t xml:space="preserve"> of a project with its initial cost. 
 </t>
    </r>
  </si>
  <si>
    <t>Not viable</t>
  </si>
  <si>
    <t>Ready Plc has €160,000 available for investment now.</t>
  </si>
  <si>
    <r>
      <t xml:space="preserve">&lt;= Profitability Index is the comparison of the </t>
    </r>
    <r>
      <rPr>
        <b/>
        <sz val="11"/>
        <color theme="1"/>
        <rFont val="Calibri"/>
        <family val="2"/>
        <scheme val="minor"/>
      </rPr>
      <t>GPV</t>
    </r>
    <r>
      <rPr>
        <sz val="11"/>
        <color theme="1"/>
        <rFont val="Calibri"/>
        <family val="2"/>
        <scheme val="minor"/>
      </rPr>
      <t xml:space="preserve"> of a project with its initial cost. 
 </t>
    </r>
  </si>
  <si>
    <t>(A ratio of greater than one indicates that the project is a viable one).</t>
  </si>
  <si>
    <t>Highest NPV is Project 2, followed by projects 4 &amp; 1 in that order. Project 3 is negative and so should not be undertaken</t>
  </si>
  <si>
    <t xml:space="preserve">Best payback period is project 1 because this is the shortest time at 3.44 years, followed by Project 2 and then Project 4. </t>
  </si>
  <si>
    <t>At 8% discount factor, project 1 has an NPV of 16.42</t>
  </si>
  <si>
    <t>Therefore for a 12% increase in discount factor, the NPV has reduced from 16.42 to -7.96 (equals a difference of 24.38)</t>
  </si>
  <si>
    <t>Therefore we can say that for a 1% change in discount factor we affect the NPV by (24.38/12) or 2.03</t>
  </si>
  <si>
    <t>Discount factor 16.08%</t>
  </si>
  <si>
    <t>To reduce NPV from 16.42 to zero we need to raise the discount factor above 8% by (16.42/2.03) or 8.08%</t>
  </si>
  <si>
    <t xml:space="preserve">Therefore at a discount factor of (8% + 8.09%) or  16.08%, NPV should be closer to zero </t>
  </si>
  <si>
    <t>Now the NPV is reasonably close to zero, and is a little below 16.08% to be accurate (effects of rounding)</t>
  </si>
  <si>
    <t>100% project 2</t>
  </si>
  <si>
    <t>Two thirds (60/90) project 4</t>
  </si>
  <si>
    <t>&lt;= NPV for project 2</t>
  </si>
  <si>
    <t>&lt;= 2/3 of NPV for project 4</t>
  </si>
  <si>
    <t>NOTE: If the projects were indivisible then only Project 2 could be undertaken since the other 3 projects all require more than the remaining €60K investment to be fully completed.</t>
  </si>
  <si>
    <t>PP</t>
  </si>
  <si>
    <t>&lt;=  Payback at the end of year 3 exactly</t>
  </si>
  <si>
    <t>&lt;=  Payback during year 4 ; to be exact then 3 + (5/50) = 3.1 years</t>
  </si>
  <si>
    <t>&lt;=  Payback during year 4; to be exact then 3 + (20/35) = 3.57 years</t>
  </si>
  <si>
    <t>&lt;=  Payback during year 4; to be exact then 3 + (20/55) = 3.36 years</t>
  </si>
  <si>
    <t xml:space="preserve">Best payback period is project 1 because this is the shortest time at 3 years, followed by Project 2, Project 4 and Project 3. </t>
  </si>
  <si>
    <t>Compare this payback period with Discounted Payback where the time value of money is taken into account and is a more accurate reflection.</t>
  </si>
  <si>
    <t>Payback - Ready PLC</t>
  </si>
  <si>
    <t>PV</t>
  </si>
  <si>
    <t>PV @ 8%</t>
  </si>
  <si>
    <t>PV @ 20%</t>
  </si>
  <si>
    <t>New PV</t>
  </si>
  <si>
    <t>Project</t>
  </si>
  <si>
    <t>(€000s)</t>
  </si>
  <si>
    <t>Resultant NPV (€000s)</t>
  </si>
  <si>
    <t>The resultant NPV of €45,457 is the BEST POSSIBLE  return that can be obtained with these 4 projects from an initial investment of €160,000.</t>
  </si>
  <si>
    <t>Disposal Year 4</t>
  </si>
  <si>
    <t>Have enough to undertake 100% of project 2 (€100K)</t>
  </si>
  <si>
    <t>Remaining €60K is only 66.67% of the total investment of €90K to undertake all of project 4</t>
  </si>
  <si>
    <t>% of project undertaken</t>
  </si>
  <si>
    <t>The optimal investment is 100% of project 2 and 66.67% of project 4</t>
  </si>
  <si>
    <t>Therefore: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</si>
</sst>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_);[Red]\(#,##0.000\)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thick">
        <color rgb="FF008000"/>
      </top>
      <bottom/>
      <diagonal/>
    </border>
    <border>
      <left/>
      <right/>
      <top/>
      <bottom style="medium">
        <color rgb="FF008000"/>
      </bottom>
      <diagonal/>
    </border>
    <border>
      <left/>
      <right/>
      <top/>
      <bottom style="thick">
        <color rgb="FF008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07">
    <xf numFmtId="0" fontId="0" fillId="0" borderId="0" xfId="0"/>
    <xf numFmtId="0" fontId="4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5" fillId="0" borderId="1" xfId="0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top" wrapText="1"/>
    </xf>
    <xf numFmtId="3" fontId="3" fillId="0" borderId="0" xfId="0" applyNumberFormat="1" applyFont="1" applyAlignment="1">
      <alignment horizontal="center" vertical="top" wrapText="1"/>
    </xf>
    <xf numFmtId="3" fontId="3" fillId="0" borderId="3" xfId="0" applyNumberFormat="1" applyFont="1" applyBorder="1" applyAlignment="1">
      <alignment horizontal="center" vertical="top" wrapText="1"/>
    </xf>
    <xf numFmtId="0" fontId="4" fillId="0" borderId="0" xfId="0" applyFont="1" applyAlignment="1"/>
    <xf numFmtId="0" fontId="3" fillId="0" borderId="0" xfId="0" applyFont="1" applyAlignment="1">
      <alignment vertical="top"/>
    </xf>
    <xf numFmtId="0" fontId="0" fillId="0" borderId="0" xfId="0" applyAlignment="1"/>
    <xf numFmtId="3" fontId="3" fillId="0" borderId="3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3" fontId="5" fillId="0" borderId="0" xfId="0" applyNumberFormat="1" applyFont="1" applyBorder="1" applyAlignment="1">
      <alignment horizontal="center" vertical="top" wrapText="1"/>
    </xf>
    <xf numFmtId="0" fontId="6" fillId="0" borderId="0" xfId="0" applyFont="1" applyAlignment="1"/>
    <xf numFmtId="0" fontId="7" fillId="0" borderId="0" xfId="0" applyFont="1"/>
    <xf numFmtId="0" fontId="6" fillId="0" borderId="0" xfId="0" applyFont="1"/>
    <xf numFmtId="0" fontId="7" fillId="0" borderId="0" xfId="0" applyFont="1" applyAlignment="1"/>
    <xf numFmtId="0" fontId="5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4" fillId="0" borderId="0" xfId="0" applyFont="1" applyAlignment="1">
      <alignment vertical="top"/>
    </xf>
    <xf numFmtId="2" fontId="0" fillId="2" borderId="0" xfId="0" applyNumberFormat="1" applyFill="1"/>
    <xf numFmtId="2" fontId="0" fillId="0" borderId="0" xfId="0" applyNumberFormat="1" applyFill="1"/>
    <xf numFmtId="0" fontId="4" fillId="0" borderId="0" xfId="0" applyFont="1"/>
    <xf numFmtId="4" fontId="0" fillId="0" borderId="0" xfId="0" applyNumberFormat="1" applyAlignment="1">
      <alignment horizontal="center"/>
    </xf>
    <xf numFmtId="9" fontId="0" fillId="0" borderId="0" xfId="0" applyNumberFormat="1"/>
    <xf numFmtId="0" fontId="0" fillId="0" borderId="0" xfId="0" applyAlignment="1">
      <alignment wrapText="1"/>
    </xf>
    <xf numFmtId="0" fontId="9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10" fillId="0" borderId="0" xfId="0" applyFont="1"/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vertical="top"/>
    </xf>
    <xf numFmtId="2" fontId="0" fillId="2" borderId="4" xfId="0" applyNumberFormat="1" applyFill="1" applyBorder="1"/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5" fillId="0" borderId="1" xfId="0" applyFont="1" applyBorder="1" applyAlignment="1">
      <alignment horizontal="center" vertical="top" wrapText="1"/>
    </xf>
    <xf numFmtId="2" fontId="8" fillId="0" borderId="0" xfId="0" applyNumberFormat="1" applyFont="1" applyAlignment="1">
      <alignment horizontal="left"/>
    </xf>
    <xf numFmtId="3" fontId="3" fillId="0" borderId="0" xfId="0" applyNumberFormat="1" applyFont="1" applyBorder="1" applyAlignment="1">
      <alignment horizontal="left" vertical="top" wrapText="1"/>
    </xf>
    <xf numFmtId="3" fontId="3" fillId="0" borderId="0" xfId="0" applyNumberFormat="1" applyFont="1" applyBorder="1" applyAlignment="1">
      <alignment horizontal="center" vertical="top" wrapText="1"/>
    </xf>
    <xf numFmtId="0" fontId="12" fillId="0" borderId="0" xfId="1" applyFont="1" applyBorder="1"/>
    <xf numFmtId="0" fontId="13" fillId="0" borderId="8" xfId="1" applyFont="1" applyBorder="1"/>
    <xf numFmtId="9" fontId="13" fillId="0" borderId="9" xfId="1" applyNumberFormat="1" applyFont="1" applyBorder="1"/>
    <xf numFmtId="9" fontId="13" fillId="0" borderId="10" xfId="1" applyNumberFormat="1" applyFont="1" applyBorder="1"/>
    <xf numFmtId="9" fontId="13" fillId="0" borderId="0" xfId="1" applyNumberFormat="1" applyFont="1" applyBorder="1"/>
    <xf numFmtId="0" fontId="13" fillId="0" borderId="0" xfId="1" applyFont="1" applyBorder="1"/>
    <xf numFmtId="0" fontId="13" fillId="0" borderId="11" xfId="1" applyFont="1" applyBorder="1"/>
    <xf numFmtId="165" fontId="13" fillId="0" borderId="0" xfId="1" applyNumberFormat="1" applyFont="1" applyBorder="1"/>
    <xf numFmtId="165" fontId="13" fillId="0" borderId="12" xfId="1" applyNumberFormat="1" applyFont="1" applyBorder="1"/>
    <xf numFmtId="165" fontId="13" fillId="0" borderId="9" xfId="1" applyNumberFormat="1" applyFont="1" applyBorder="1"/>
    <xf numFmtId="165" fontId="13" fillId="0" borderId="10" xfId="1" applyNumberFormat="1" applyFont="1" applyBorder="1"/>
    <xf numFmtId="3" fontId="0" fillId="0" borderId="0" xfId="0" applyNumberFormat="1"/>
    <xf numFmtId="0" fontId="9" fillId="0" borderId="0" xfId="0" quotePrefix="1" applyFont="1" applyAlignment="1">
      <alignment horizontal="center"/>
    </xf>
    <xf numFmtId="9" fontId="9" fillId="0" borderId="0" xfId="0" applyNumberFormat="1" applyFont="1" applyAlignment="1">
      <alignment horizontal="center"/>
    </xf>
    <xf numFmtId="164" fontId="9" fillId="0" borderId="0" xfId="0" applyNumberFormat="1" applyFont="1"/>
    <xf numFmtId="2" fontId="9" fillId="0" borderId="0" xfId="0" applyNumberFormat="1" applyFont="1"/>
    <xf numFmtId="2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15" fillId="2" borderId="13" xfId="0" applyNumberFormat="1" applyFont="1" applyFill="1" applyBorder="1" applyAlignment="1">
      <alignment horizontal="center"/>
    </xf>
    <xf numFmtId="3" fontId="14" fillId="0" borderId="0" xfId="0" applyNumberFormat="1" applyFont="1"/>
    <xf numFmtId="2" fontId="0" fillId="0" borderId="0" xfId="0" applyNumberFormat="1" applyFill="1" applyBorder="1"/>
    <xf numFmtId="2" fontId="14" fillId="0" borderId="0" xfId="0" applyNumberFormat="1" applyFont="1" applyAlignment="1">
      <alignment horizontal="center"/>
    </xf>
    <xf numFmtId="2" fontId="9" fillId="3" borderId="13" xfId="0" applyNumberFormat="1" applyFont="1" applyFill="1" applyBorder="1"/>
    <xf numFmtId="0" fontId="9" fillId="0" borderId="14" xfId="0" applyFont="1" applyBorder="1"/>
    <xf numFmtId="2" fontId="0" fillId="0" borderId="0" xfId="0" applyNumberFormat="1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0" fillId="0" borderId="5" xfId="0" applyNumberFormat="1" applyFont="1" applyFill="1" applyBorder="1" applyAlignment="1">
      <alignment horizontal="center" vertical="top" wrapText="1"/>
    </xf>
    <xf numFmtId="2" fontId="0" fillId="0" borderId="5" xfId="0" applyNumberFormat="1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5" fillId="0" borderId="0" xfId="0" applyFont="1"/>
    <xf numFmtId="2" fontId="0" fillId="2" borderId="15" xfId="0" applyNumberFormat="1" applyFill="1" applyBorder="1" applyAlignment="1">
      <alignment horizontal="left"/>
    </xf>
    <xf numFmtId="0" fontId="0" fillId="2" borderId="16" xfId="0" applyFill="1" applyBorder="1"/>
    <xf numFmtId="1" fontId="0" fillId="0" borderId="0" xfId="0" applyNumberFormat="1"/>
    <xf numFmtId="1" fontId="0" fillId="2" borderId="0" xfId="0" applyNumberFormat="1" applyFill="1"/>
    <xf numFmtId="1" fontId="0" fillId="0" borderId="0" xfId="0" applyNumberFormat="1" applyFill="1"/>
    <xf numFmtId="0" fontId="0" fillId="0" borderId="0" xfId="0" quotePrefix="1" applyAlignment="1">
      <alignment horizontal="left"/>
    </xf>
    <xf numFmtId="0" fontId="0" fillId="0" borderId="0" xfId="0" applyAlignment="1">
      <alignment horizontal="center" vertical="center" wrapText="1"/>
    </xf>
    <xf numFmtId="164" fontId="2" fillId="2" borderId="13" xfId="0" applyNumberFormat="1" applyFont="1" applyFill="1" applyBorder="1"/>
    <xf numFmtId="164" fontId="2" fillId="0" borderId="0" xfId="0" applyNumberFormat="1" applyFont="1" applyFill="1" applyBorder="1"/>
    <xf numFmtId="9" fontId="0" fillId="2" borderId="0" xfId="0" applyNumberFormat="1" applyFill="1"/>
    <xf numFmtId="10" fontId="0" fillId="2" borderId="0" xfId="0" applyNumberFormat="1" applyFill="1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2" fillId="0" borderId="5" xfId="1" applyFont="1" applyBorder="1" applyAlignment="1">
      <alignment horizontal="left" wrapText="1"/>
    </xf>
    <xf numFmtId="0" fontId="11" fillId="0" borderId="6" xfId="1" applyBorder="1" applyAlignment="1">
      <alignment wrapText="1"/>
    </xf>
    <xf numFmtId="0" fontId="11" fillId="0" borderId="7" xfId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7"/>
  <sheetViews>
    <sheetView showGridLines="0" showRuler="0" zoomScaleNormal="100" workbookViewId="0">
      <selection activeCell="I12" sqref="I12"/>
    </sheetView>
  </sheetViews>
  <sheetFormatPr defaultRowHeight="15"/>
  <cols>
    <col min="1" max="1" width="4.42578125" customWidth="1"/>
    <col min="2" max="2" width="16" customWidth="1"/>
    <col min="3" max="3" width="12.5703125" customWidth="1"/>
    <col min="4" max="6" width="12.28515625" bestFit="1" customWidth="1"/>
  </cols>
  <sheetData>
    <row r="1" spans="2:6" ht="15.75">
      <c r="B1" s="1"/>
    </row>
    <row r="2" spans="2:6" ht="15.75">
      <c r="B2" s="9" t="s">
        <v>87</v>
      </c>
    </row>
    <row r="3" spans="2:6" ht="15.75">
      <c r="B3" s="9" t="s">
        <v>0</v>
      </c>
    </row>
    <row r="4" spans="2:6" ht="15.75">
      <c r="B4" s="36" t="s">
        <v>80</v>
      </c>
    </row>
    <row r="5" spans="2:6" ht="16.5" thickBot="1">
      <c r="B5" s="1"/>
    </row>
    <row r="6" spans="2:6" ht="15.75" thickTop="1">
      <c r="B6" s="101" t="s">
        <v>53</v>
      </c>
      <c r="C6" s="3">
        <v>1</v>
      </c>
      <c r="D6" s="3">
        <v>2</v>
      </c>
      <c r="E6" s="3">
        <v>3</v>
      </c>
      <c r="F6" s="3">
        <v>4</v>
      </c>
    </row>
    <row r="7" spans="2:6" ht="15.75" thickBot="1">
      <c r="B7" s="102"/>
      <c r="C7" s="4">
        <v>85</v>
      </c>
      <c r="D7" s="4">
        <v>100</v>
      </c>
      <c r="E7" s="4">
        <v>100</v>
      </c>
      <c r="F7" s="4">
        <v>90</v>
      </c>
    </row>
    <row r="8" spans="2:6">
      <c r="B8" s="13"/>
      <c r="C8" s="14"/>
      <c r="D8" s="14"/>
      <c r="E8" s="14"/>
      <c r="F8" s="14"/>
    </row>
    <row r="9" spans="2:6" ht="15.75">
      <c r="B9" s="10" t="s">
        <v>1</v>
      </c>
      <c r="C9" s="6"/>
      <c r="D9" s="6"/>
      <c r="E9" s="6"/>
      <c r="F9" s="6"/>
    </row>
    <row r="10" spans="2:6" ht="15.75">
      <c r="B10" s="5" t="s">
        <v>2</v>
      </c>
      <c r="C10" s="7">
        <v>20</v>
      </c>
      <c r="D10" s="7">
        <v>20</v>
      </c>
      <c r="E10" s="7">
        <v>25</v>
      </c>
      <c r="F10" s="7">
        <v>15</v>
      </c>
    </row>
    <row r="11" spans="2:6" ht="15.75">
      <c r="B11" s="5" t="s">
        <v>3</v>
      </c>
      <c r="C11" s="7">
        <v>30</v>
      </c>
      <c r="D11" s="7">
        <v>35</v>
      </c>
      <c r="E11" s="7">
        <v>25</v>
      </c>
      <c r="F11" s="7">
        <v>25</v>
      </c>
    </row>
    <row r="12" spans="2:6" ht="15.75">
      <c r="B12" s="5" t="s">
        <v>4</v>
      </c>
      <c r="C12" s="7">
        <v>35</v>
      </c>
      <c r="D12" s="7">
        <v>40</v>
      </c>
      <c r="E12" s="7">
        <v>30</v>
      </c>
      <c r="F12" s="7">
        <v>30</v>
      </c>
    </row>
    <row r="13" spans="2:6" ht="15.75">
      <c r="B13" s="52" t="s">
        <v>5</v>
      </c>
      <c r="C13" s="53">
        <v>40</v>
      </c>
      <c r="D13" s="53">
        <v>50</v>
      </c>
      <c r="E13" s="53">
        <v>35</v>
      </c>
      <c r="F13" s="53">
        <v>55</v>
      </c>
    </row>
    <row r="14" spans="2:6" ht="16.5" thickBot="1">
      <c r="B14" s="12" t="s">
        <v>49</v>
      </c>
      <c r="C14" s="8">
        <v>0</v>
      </c>
      <c r="D14" s="8">
        <v>20</v>
      </c>
      <c r="E14" s="8">
        <v>0</v>
      </c>
      <c r="F14" s="8">
        <v>15</v>
      </c>
    </row>
    <row r="15" spans="2:6" ht="16.5" thickTop="1">
      <c r="B15" s="52"/>
      <c r="C15" s="53"/>
      <c r="D15" s="53"/>
      <c r="E15" s="53"/>
      <c r="F15" s="53"/>
    </row>
    <row r="16" spans="2:6" ht="15.75">
      <c r="B16" s="2"/>
    </row>
    <row r="17" spans="2:9" ht="15.75">
      <c r="B17" s="9" t="s">
        <v>11</v>
      </c>
    </row>
    <row r="18" spans="2:9" ht="15.75">
      <c r="B18" s="9"/>
    </row>
    <row r="19" spans="2:9" ht="15.75">
      <c r="B19" s="9" t="s">
        <v>33</v>
      </c>
      <c r="D19" s="88" t="s">
        <v>7</v>
      </c>
      <c r="E19" s="43" t="s">
        <v>12</v>
      </c>
      <c r="F19" s="43"/>
      <c r="G19" s="43"/>
      <c r="I19" s="43"/>
    </row>
    <row r="20" spans="2:9" ht="15.75">
      <c r="B20" s="9"/>
      <c r="D20" s="88" t="s">
        <v>9</v>
      </c>
      <c r="E20" s="45" t="s">
        <v>19</v>
      </c>
      <c r="F20" s="43"/>
      <c r="G20" s="43"/>
      <c r="I20" s="43"/>
    </row>
    <row r="21" spans="2:9" ht="15.75">
      <c r="B21" s="9"/>
      <c r="D21" s="88" t="s">
        <v>30</v>
      </c>
      <c r="E21" s="43" t="s">
        <v>20</v>
      </c>
      <c r="F21" s="43"/>
      <c r="G21" s="43"/>
      <c r="I21" s="43"/>
    </row>
    <row r="22" spans="2:9" s="11" customFormat="1">
      <c r="D22" s="88" t="s">
        <v>31</v>
      </c>
      <c r="E22" s="44" t="s">
        <v>34</v>
      </c>
      <c r="F22" s="44"/>
      <c r="G22" s="44"/>
      <c r="I22" s="44"/>
    </row>
    <row r="23" spans="2:9" s="11" customFormat="1">
      <c r="D23" s="88" t="s">
        <v>32</v>
      </c>
      <c r="E23" s="44" t="s">
        <v>35</v>
      </c>
      <c r="F23" s="44"/>
      <c r="G23" s="44"/>
      <c r="I23" s="44"/>
    </row>
    <row r="24" spans="2:9" s="11" customFormat="1" ht="15.75">
      <c r="B24" s="9"/>
    </row>
    <row r="25" spans="2:9" s="11" customFormat="1"/>
    <row r="26" spans="2:9" s="11" customFormat="1"/>
    <row r="27" spans="2:9">
      <c r="B27" s="33"/>
    </row>
  </sheetData>
  <mergeCells count="1">
    <mergeCell ref="B6:B7"/>
  </mergeCells>
  <pageMargins left="0.7" right="0.7" top="0.75" bottom="0.75" header="0.3" footer="0.3"/>
  <pageSetup orientation="portrait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5"/>
  <sheetViews>
    <sheetView showRuler="0" zoomScaleNormal="100" workbookViewId="0">
      <selection activeCell="G29" sqref="G29"/>
    </sheetView>
  </sheetViews>
  <sheetFormatPr defaultRowHeight="15"/>
  <cols>
    <col min="1" max="1" width="3" customWidth="1"/>
    <col min="3" max="3" width="12" customWidth="1"/>
    <col min="9" max="9" width="11.28515625" customWidth="1"/>
  </cols>
  <sheetData>
    <row r="1" spans="1:5">
      <c r="A1" t="s">
        <v>111</v>
      </c>
    </row>
    <row r="2" spans="1:5">
      <c r="D2" s="20" t="s">
        <v>104</v>
      </c>
    </row>
    <row r="3" spans="1:5">
      <c r="B3" t="str">
        <f>NPV!C3</f>
        <v>Project 1</v>
      </c>
      <c r="C3" s="65">
        <f>NPV!D3</f>
        <v>-85</v>
      </c>
      <c r="D3" s="65">
        <f>C3</f>
        <v>-85</v>
      </c>
    </row>
    <row r="4" spans="1:5">
      <c r="B4" t="str">
        <f>NPV!C4</f>
        <v>Year 1</v>
      </c>
      <c r="C4" s="65">
        <f>NPV!D4</f>
        <v>20</v>
      </c>
      <c r="D4" s="92">
        <f>C3+C4</f>
        <v>-65</v>
      </c>
    </row>
    <row r="5" spans="1:5">
      <c r="B5" t="str">
        <f>NPV!C5</f>
        <v>Year 2</v>
      </c>
      <c r="C5" s="65">
        <f>NPV!D5</f>
        <v>30</v>
      </c>
      <c r="D5" s="92">
        <f>SUM(C3:C5)</f>
        <v>-35</v>
      </c>
    </row>
    <row r="6" spans="1:5">
      <c r="B6" t="str">
        <f>NPV!C6</f>
        <v>Year 3</v>
      </c>
      <c r="C6" s="65">
        <f>NPV!D6</f>
        <v>35</v>
      </c>
      <c r="D6" s="93">
        <f>SUM(C3:C6)</f>
        <v>0</v>
      </c>
      <c r="E6" t="s">
        <v>105</v>
      </c>
    </row>
    <row r="7" spans="1:5">
      <c r="B7" t="str">
        <f>NPV!C7</f>
        <v>Year 4</v>
      </c>
      <c r="C7" s="65">
        <f>NPV!D7</f>
        <v>40</v>
      </c>
      <c r="D7" s="94">
        <f>SUM(C3:C7)</f>
        <v>40</v>
      </c>
    </row>
    <row r="8" spans="1:5">
      <c r="B8" t="str">
        <f>NPV!C8</f>
        <v>Disposal</v>
      </c>
      <c r="C8" s="65">
        <f>NPV!D8</f>
        <v>0</v>
      </c>
      <c r="D8" s="92">
        <f>SUM(C3:C8)</f>
        <v>40</v>
      </c>
    </row>
    <row r="9" spans="1:5">
      <c r="C9" s="65"/>
    </row>
    <row r="10" spans="1:5">
      <c r="D10" s="20" t="s">
        <v>104</v>
      </c>
    </row>
    <row r="11" spans="1:5">
      <c r="B11" t="str">
        <f>NPV!C12</f>
        <v>Project 2</v>
      </c>
      <c r="C11" s="65">
        <f>NPV!D12</f>
        <v>-100</v>
      </c>
      <c r="D11" s="65">
        <f>C11</f>
        <v>-100</v>
      </c>
    </row>
    <row r="12" spans="1:5">
      <c r="B12" t="str">
        <f>NPV!C13</f>
        <v>Year 1</v>
      </c>
      <c r="C12" s="65">
        <f>NPV!D13</f>
        <v>20</v>
      </c>
      <c r="D12" s="94">
        <f>SUM(C11:C12)</f>
        <v>-80</v>
      </c>
    </row>
    <row r="13" spans="1:5">
      <c r="B13" t="str">
        <f>NPV!C14</f>
        <v>Year 2</v>
      </c>
      <c r="C13" s="65">
        <f>NPV!D14</f>
        <v>35</v>
      </c>
      <c r="D13" s="94">
        <f>SUM(C11:C13)</f>
        <v>-45</v>
      </c>
    </row>
    <row r="14" spans="1:5">
      <c r="B14" t="str">
        <f>NPV!C15</f>
        <v>Year 3</v>
      </c>
      <c r="C14" s="65">
        <f>NPV!D15</f>
        <v>40</v>
      </c>
      <c r="D14" s="94">
        <f>SUM(C11:C14)</f>
        <v>-5</v>
      </c>
    </row>
    <row r="15" spans="1:5">
      <c r="B15" t="str">
        <f>NPV!C16</f>
        <v>Year 4</v>
      </c>
      <c r="C15" s="65">
        <f>NPV!D16</f>
        <v>50</v>
      </c>
      <c r="D15" s="93">
        <f>SUM(C11:C15)</f>
        <v>45</v>
      </c>
      <c r="E15" t="s">
        <v>106</v>
      </c>
    </row>
    <row r="16" spans="1:5">
      <c r="B16" t="str">
        <f>NPV!C17</f>
        <v>Disposal</v>
      </c>
      <c r="C16" s="65">
        <f>NPV!D17</f>
        <v>20</v>
      </c>
      <c r="D16" s="94">
        <f>SUM(C11:C16)</f>
        <v>65</v>
      </c>
    </row>
    <row r="17" spans="2:5">
      <c r="C17" s="65"/>
      <c r="D17" s="35"/>
    </row>
    <row r="18" spans="2:5">
      <c r="D18" s="20" t="s">
        <v>104</v>
      </c>
    </row>
    <row r="19" spans="2:5">
      <c r="B19" t="str">
        <f>NPV!C21</f>
        <v>Project 3</v>
      </c>
      <c r="C19" s="65">
        <f>NPV!D21</f>
        <v>-100</v>
      </c>
      <c r="D19" s="65">
        <f>C19</f>
        <v>-100</v>
      </c>
    </row>
    <row r="20" spans="2:5">
      <c r="B20" t="str">
        <f>NPV!C22</f>
        <v>Year 1</v>
      </c>
      <c r="C20" s="65">
        <f>NPV!D22</f>
        <v>25</v>
      </c>
      <c r="D20" s="94">
        <f>SUM(C19:C20)</f>
        <v>-75</v>
      </c>
    </row>
    <row r="21" spans="2:5">
      <c r="B21" t="str">
        <f>NPV!C23</f>
        <v>Year 2</v>
      </c>
      <c r="C21" s="65">
        <f>NPV!D23</f>
        <v>25</v>
      </c>
      <c r="D21" s="94">
        <f>SUM(C19:C21)</f>
        <v>-50</v>
      </c>
    </row>
    <row r="22" spans="2:5">
      <c r="B22" t="str">
        <f>NPV!C24</f>
        <v>Year 3</v>
      </c>
      <c r="C22" s="65">
        <f>NPV!D24</f>
        <v>30</v>
      </c>
      <c r="D22" s="94">
        <f>SUM(C19:C22)</f>
        <v>-20</v>
      </c>
    </row>
    <row r="23" spans="2:5">
      <c r="B23" t="str">
        <f>NPV!C25</f>
        <v>Year 4</v>
      </c>
      <c r="C23" s="65">
        <f>NPV!D25</f>
        <v>35</v>
      </c>
      <c r="D23" s="93">
        <f>SUM(C19:C23)</f>
        <v>15</v>
      </c>
      <c r="E23" t="s">
        <v>107</v>
      </c>
    </row>
    <row r="24" spans="2:5">
      <c r="B24" t="str">
        <f>NPV!C26</f>
        <v>Disposal</v>
      </c>
      <c r="C24" s="65">
        <f>NPV!D26</f>
        <v>0</v>
      </c>
      <c r="D24" s="94">
        <f>SUM(C19:C24)</f>
        <v>15</v>
      </c>
    </row>
    <row r="26" spans="2:5">
      <c r="D26" s="20" t="s">
        <v>104</v>
      </c>
    </row>
    <row r="27" spans="2:5">
      <c r="B27" t="str">
        <f>NPV!C30</f>
        <v>Project 4</v>
      </c>
      <c r="C27" s="65">
        <f>NPV!D30</f>
        <v>-90</v>
      </c>
      <c r="D27" s="65">
        <f>C27</f>
        <v>-90</v>
      </c>
    </row>
    <row r="28" spans="2:5">
      <c r="B28" t="str">
        <f>NPV!C31</f>
        <v>Year 1</v>
      </c>
      <c r="C28" s="65">
        <f>NPV!D31</f>
        <v>15</v>
      </c>
      <c r="D28" s="92">
        <f>SUM(C27:C28)</f>
        <v>-75</v>
      </c>
    </row>
    <row r="29" spans="2:5">
      <c r="B29" t="str">
        <f>NPV!C32</f>
        <v>Year 2</v>
      </c>
      <c r="C29" s="65">
        <f>NPV!D32</f>
        <v>25</v>
      </c>
      <c r="D29" s="92">
        <f>SUM(C27:C29)</f>
        <v>-50</v>
      </c>
    </row>
    <row r="30" spans="2:5">
      <c r="B30" t="str">
        <f>NPV!C33</f>
        <v>Year 3</v>
      </c>
      <c r="C30" s="65">
        <f>NPV!D33</f>
        <v>30</v>
      </c>
      <c r="D30" s="92">
        <f>SUM(C27:C30)</f>
        <v>-20</v>
      </c>
    </row>
    <row r="31" spans="2:5">
      <c r="B31" t="str">
        <f>NPV!C34</f>
        <v>Year 4</v>
      </c>
      <c r="C31" s="65">
        <f>NPV!D34</f>
        <v>55</v>
      </c>
      <c r="D31" s="93">
        <f>SUM(C27:C31)</f>
        <v>35</v>
      </c>
      <c r="E31" t="s">
        <v>108</v>
      </c>
    </row>
    <row r="32" spans="2:5">
      <c r="B32" t="str">
        <f>NPV!C35</f>
        <v>Disposal</v>
      </c>
      <c r="C32" s="65">
        <f>NPV!D35</f>
        <v>15</v>
      </c>
      <c r="D32" s="92">
        <f>SUM(C27:C32)</f>
        <v>50</v>
      </c>
    </row>
    <row r="33" spans="2:3">
      <c r="C33" s="65"/>
    </row>
    <row r="34" spans="2:3">
      <c r="B34" t="s">
        <v>109</v>
      </c>
    </row>
    <row r="35" spans="2:3">
      <c r="B35" t="s">
        <v>110</v>
      </c>
    </row>
  </sheetData>
  <pageMargins left="0.39370078740157483" right="0.39370078740157483" top="0.39370078740157483" bottom="0.39370078740157483" header="0.31496062992125984" footer="0.31496062992125984"/>
  <pageSetup orientation="landscape" r:id="rId1"/>
  <headerFooter>
    <oddFooter>&amp;C&amp;F    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35"/>
  <sheetViews>
    <sheetView showRuler="0" zoomScaleNormal="100" workbookViewId="0">
      <selection activeCell="J27" sqref="J27"/>
    </sheetView>
  </sheetViews>
  <sheetFormatPr defaultRowHeight="15"/>
  <cols>
    <col min="1" max="1" width="3" customWidth="1"/>
    <col min="3" max="3" width="12" customWidth="1"/>
    <col min="4" max="4" width="16" customWidth="1"/>
    <col min="11" max="11" width="11.28515625" customWidth="1"/>
  </cols>
  <sheetData>
    <row r="1" spans="1:7">
      <c r="A1" t="s">
        <v>27</v>
      </c>
    </row>
    <row r="2" spans="1:7">
      <c r="D2" s="27" t="s">
        <v>52</v>
      </c>
      <c r="E2" s="20" t="s">
        <v>112</v>
      </c>
      <c r="F2" s="20" t="s">
        <v>25</v>
      </c>
    </row>
    <row r="3" spans="1:7">
      <c r="B3" t="str">
        <f>NPV!C3</f>
        <v>Project 1</v>
      </c>
      <c r="C3" s="65">
        <f>NPV!D3</f>
        <v>-85</v>
      </c>
      <c r="D3">
        <v>1</v>
      </c>
      <c r="E3">
        <f>D3*C3</f>
        <v>-85</v>
      </c>
      <c r="F3">
        <f>E3</f>
        <v>-85</v>
      </c>
    </row>
    <row r="4" spans="1:7">
      <c r="B4" t="str">
        <f>NPV!C4</f>
        <v>Year 1</v>
      </c>
      <c r="C4" s="65">
        <f>NPV!D4</f>
        <v>20</v>
      </c>
      <c r="D4" s="31">
        <f>'Discount Tables'!I3</f>
        <v>0.92592592592592582</v>
      </c>
      <c r="E4" s="32">
        <f t="shared" ref="E4:E8" si="0">D4*C4</f>
        <v>18.518518518518515</v>
      </c>
      <c r="F4" s="32">
        <f>F3+E4</f>
        <v>-66.481481481481481</v>
      </c>
    </row>
    <row r="5" spans="1:7">
      <c r="B5" t="str">
        <f>NPV!C5</f>
        <v>Year 2</v>
      </c>
      <c r="C5" s="65">
        <f>NPV!D5</f>
        <v>30</v>
      </c>
      <c r="D5" s="31">
        <f>'Discount Tables'!I4</f>
        <v>0.85733882030178321</v>
      </c>
      <c r="E5" s="32">
        <f t="shared" si="0"/>
        <v>25.720164609053498</v>
      </c>
      <c r="F5" s="32">
        <f t="shared" ref="F5:F7" si="1">F4+E5</f>
        <v>-40.761316872427983</v>
      </c>
    </row>
    <row r="6" spans="1:7">
      <c r="B6" t="str">
        <f>NPV!C6</f>
        <v>Year 3</v>
      </c>
      <c r="C6" s="65">
        <f>NPV!D6</f>
        <v>35</v>
      </c>
      <c r="D6" s="31">
        <f>'Discount Tables'!I5</f>
        <v>0.79383224102016958</v>
      </c>
      <c r="E6" s="32">
        <f t="shared" si="0"/>
        <v>27.784128435705934</v>
      </c>
      <c r="F6" s="32">
        <f t="shared" si="1"/>
        <v>-12.977188436722049</v>
      </c>
    </row>
    <row r="7" spans="1:7">
      <c r="B7" t="str">
        <f>NPV!C7</f>
        <v>Year 4</v>
      </c>
      <c r="C7" s="65">
        <f>NPV!D7</f>
        <v>40</v>
      </c>
      <c r="D7" s="31">
        <f>'Discount Tables'!I6</f>
        <v>0.73502985279645328</v>
      </c>
      <c r="E7" s="32">
        <f t="shared" si="0"/>
        <v>29.401194111858132</v>
      </c>
      <c r="F7" s="34">
        <f t="shared" si="1"/>
        <v>16.424005675136083</v>
      </c>
      <c r="G7" t="s">
        <v>78</v>
      </c>
    </row>
    <row r="8" spans="1:7">
      <c r="B8" t="str">
        <f>NPV!C8</f>
        <v>Disposal</v>
      </c>
      <c r="C8" s="65">
        <f>NPV!D8</f>
        <v>0</v>
      </c>
      <c r="D8" s="31">
        <f>D7</f>
        <v>0.73502985279645328</v>
      </c>
      <c r="E8" s="32">
        <f t="shared" si="0"/>
        <v>0</v>
      </c>
    </row>
    <row r="9" spans="1:7">
      <c r="C9" s="65"/>
      <c r="D9" s="31"/>
      <c r="E9" s="32"/>
    </row>
    <row r="10" spans="1:7">
      <c r="D10" s="27" t="s">
        <v>52</v>
      </c>
      <c r="E10" s="20" t="s">
        <v>112</v>
      </c>
      <c r="F10" s="20" t="s">
        <v>25</v>
      </c>
    </row>
    <row r="11" spans="1:7">
      <c r="B11" t="str">
        <f>NPV!C12</f>
        <v>Project 2</v>
      </c>
      <c r="C11" s="65">
        <f>NPV!D12</f>
        <v>-100</v>
      </c>
      <c r="D11">
        <v>1</v>
      </c>
      <c r="E11">
        <f>D11*C11</f>
        <v>-100</v>
      </c>
      <c r="F11">
        <f>E11</f>
        <v>-100</v>
      </c>
    </row>
    <row r="12" spans="1:7">
      <c r="B12" t="str">
        <f>NPV!C13</f>
        <v>Year 1</v>
      </c>
      <c r="C12" s="65">
        <f>NPV!D13</f>
        <v>20</v>
      </c>
      <c r="D12" s="31">
        <f>D4</f>
        <v>0.92592592592592582</v>
      </c>
      <c r="E12" s="32">
        <f t="shared" ref="E12:E16" si="2">D12*C12</f>
        <v>18.518518518518515</v>
      </c>
      <c r="F12" s="35">
        <f>F11+E12</f>
        <v>-81.481481481481481</v>
      </c>
    </row>
    <row r="13" spans="1:7">
      <c r="B13" t="str">
        <f>NPV!C14</f>
        <v>Year 2</v>
      </c>
      <c r="C13" s="65">
        <f>NPV!D14</f>
        <v>35</v>
      </c>
      <c r="D13" s="31">
        <f t="shared" ref="D13:D16" si="3">D5</f>
        <v>0.85733882030178321</v>
      </c>
      <c r="E13" s="32">
        <f t="shared" si="2"/>
        <v>30.006858710562412</v>
      </c>
      <c r="F13" s="35">
        <f t="shared" ref="F13:F15" si="4">F12+E13</f>
        <v>-51.474622770919069</v>
      </c>
    </row>
    <row r="14" spans="1:7">
      <c r="B14" t="str">
        <f>NPV!C15</f>
        <v>Year 3</v>
      </c>
      <c r="C14" s="65">
        <f>NPV!D15</f>
        <v>40</v>
      </c>
      <c r="D14" s="31">
        <f t="shared" si="3"/>
        <v>0.79383224102016958</v>
      </c>
      <c r="E14" s="32">
        <f t="shared" si="2"/>
        <v>31.753289640806784</v>
      </c>
      <c r="F14" s="35">
        <f t="shared" si="4"/>
        <v>-19.721333130112285</v>
      </c>
    </row>
    <row r="15" spans="1:7">
      <c r="B15" t="str">
        <f>NPV!C16</f>
        <v>Year 4</v>
      </c>
      <c r="C15" s="65">
        <f>NPV!D16</f>
        <v>50</v>
      </c>
      <c r="D15" s="31">
        <f t="shared" si="3"/>
        <v>0.73502985279645328</v>
      </c>
      <c r="E15" s="32">
        <f t="shared" si="2"/>
        <v>36.751492639822665</v>
      </c>
      <c r="F15" s="34">
        <f t="shared" si="4"/>
        <v>17.03015950971038</v>
      </c>
      <c r="G15" t="s">
        <v>76</v>
      </c>
    </row>
    <row r="16" spans="1:7">
      <c r="B16" t="str">
        <f>NPV!C17</f>
        <v>Disposal</v>
      </c>
      <c r="C16" s="65">
        <f>NPV!D17</f>
        <v>20</v>
      </c>
      <c r="D16" s="31">
        <f t="shared" si="3"/>
        <v>0.73502985279645328</v>
      </c>
      <c r="E16" s="32">
        <f t="shared" si="2"/>
        <v>14.700597055929066</v>
      </c>
      <c r="F16" s="35"/>
    </row>
    <row r="17" spans="2:7">
      <c r="C17" s="65"/>
      <c r="D17" s="31"/>
      <c r="E17" s="32"/>
      <c r="F17" s="35"/>
    </row>
    <row r="18" spans="2:7">
      <c r="D18" s="27" t="s">
        <v>52</v>
      </c>
      <c r="E18" s="20" t="s">
        <v>112</v>
      </c>
      <c r="F18" s="20" t="s">
        <v>25</v>
      </c>
    </row>
    <row r="19" spans="2:7">
      <c r="B19" t="str">
        <f>NPV!C21</f>
        <v>Project 3</v>
      </c>
      <c r="C19" s="65">
        <f>NPV!D21</f>
        <v>-100</v>
      </c>
      <c r="D19">
        <v>1</v>
      </c>
      <c r="E19">
        <f>D19*C19</f>
        <v>-100</v>
      </c>
      <c r="F19">
        <f>E19</f>
        <v>-100</v>
      </c>
    </row>
    <row r="20" spans="2:7">
      <c r="B20" t="str">
        <f>NPV!C22</f>
        <v>Year 1</v>
      </c>
      <c r="C20" s="65">
        <f>NPV!D22</f>
        <v>25</v>
      </c>
      <c r="D20" s="31">
        <f>D4</f>
        <v>0.92592592592592582</v>
      </c>
      <c r="E20" s="32">
        <f t="shared" ref="E20:E24" si="5">D20*C20</f>
        <v>23.148148148148145</v>
      </c>
      <c r="F20" s="35">
        <f>F19+E20</f>
        <v>-76.851851851851848</v>
      </c>
    </row>
    <row r="21" spans="2:7">
      <c r="B21" t="str">
        <f>NPV!C23</f>
        <v>Year 2</v>
      </c>
      <c r="C21" s="65">
        <f>NPV!D23</f>
        <v>25</v>
      </c>
      <c r="D21" s="31">
        <f t="shared" ref="D21:D24" si="6">D5</f>
        <v>0.85733882030178321</v>
      </c>
      <c r="E21" s="32">
        <f t="shared" si="5"/>
        <v>21.43347050754458</v>
      </c>
      <c r="F21" s="35">
        <f t="shared" ref="F21:F24" si="7">F20+E21</f>
        <v>-55.418381344307264</v>
      </c>
    </row>
    <row r="22" spans="2:7">
      <c r="B22" t="str">
        <f>NPV!C24</f>
        <v>Year 3</v>
      </c>
      <c r="C22" s="65">
        <f>NPV!D24</f>
        <v>30</v>
      </c>
      <c r="D22" s="31">
        <f t="shared" si="6"/>
        <v>0.79383224102016958</v>
      </c>
      <c r="E22" s="32">
        <f t="shared" si="5"/>
        <v>23.814967230605088</v>
      </c>
      <c r="F22" s="35">
        <f t="shared" si="7"/>
        <v>-31.603414113702176</v>
      </c>
    </row>
    <row r="23" spans="2:7">
      <c r="B23" t="str">
        <f>NPV!C25</f>
        <v>Year 4</v>
      </c>
      <c r="C23" s="65">
        <f>NPV!D25</f>
        <v>35</v>
      </c>
      <c r="D23" s="31">
        <f t="shared" si="6"/>
        <v>0.73502985279645328</v>
      </c>
      <c r="E23" s="32">
        <f t="shared" si="5"/>
        <v>25.726044847875865</v>
      </c>
      <c r="F23" s="35">
        <f t="shared" si="7"/>
        <v>-5.8773692658263101</v>
      </c>
    </row>
    <row r="24" spans="2:7">
      <c r="B24" t="str">
        <f>NPV!C26</f>
        <v>Disposal</v>
      </c>
      <c r="C24" s="65">
        <f>NPV!D26</f>
        <v>0</v>
      </c>
      <c r="D24" s="31">
        <f t="shared" si="6"/>
        <v>0.73502985279645328</v>
      </c>
      <c r="E24">
        <f t="shared" si="5"/>
        <v>0</v>
      </c>
      <c r="F24" s="35">
        <f t="shared" si="7"/>
        <v>-5.8773692658263101</v>
      </c>
      <c r="G24" t="s">
        <v>75</v>
      </c>
    </row>
    <row r="26" spans="2:7">
      <c r="D26" s="27" t="s">
        <v>52</v>
      </c>
      <c r="E26" s="20" t="s">
        <v>112</v>
      </c>
      <c r="F26" s="20" t="s">
        <v>25</v>
      </c>
    </row>
    <row r="27" spans="2:7">
      <c r="B27" t="str">
        <f>NPV!C30</f>
        <v>Project 4</v>
      </c>
      <c r="C27" s="65">
        <f>NPV!D30</f>
        <v>-90</v>
      </c>
      <c r="D27">
        <v>1</v>
      </c>
      <c r="E27">
        <f>D27*C27</f>
        <v>-90</v>
      </c>
      <c r="F27">
        <f>C27</f>
        <v>-90</v>
      </c>
    </row>
    <row r="28" spans="2:7">
      <c r="B28" t="str">
        <f>NPV!C31</f>
        <v>Year 1</v>
      </c>
      <c r="C28" s="65">
        <f>NPV!D31</f>
        <v>15</v>
      </c>
      <c r="D28" s="31">
        <f>D4</f>
        <v>0.92592592592592582</v>
      </c>
      <c r="E28" s="32">
        <f t="shared" ref="E28:E32" si="8">D28*C28</f>
        <v>13.888888888888888</v>
      </c>
      <c r="F28" s="32">
        <f>F27+E28</f>
        <v>-76.111111111111114</v>
      </c>
    </row>
    <row r="29" spans="2:7">
      <c r="B29" t="str">
        <f>NPV!C32</f>
        <v>Year 2</v>
      </c>
      <c r="C29" s="65">
        <f>NPV!D32</f>
        <v>25</v>
      </c>
      <c r="D29" s="31">
        <f t="shared" ref="D29:D32" si="9">D5</f>
        <v>0.85733882030178321</v>
      </c>
      <c r="E29" s="32">
        <f t="shared" si="8"/>
        <v>21.43347050754458</v>
      </c>
      <c r="F29" s="32">
        <f t="shared" ref="F29:F31" si="10">F28+E29</f>
        <v>-54.67764060356653</v>
      </c>
    </row>
    <row r="30" spans="2:7">
      <c r="B30" t="str">
        <f>NPV!C33</f>
        <v>Year 3</v>
      </c>
      <c r="C30" s="65">
        <f>NPV!D33</f>
        <v>30</v>
      </c>
      <c r="D30" s="31">
        <f t="shared" si="9"/>
        <v>0.79383224102016958</v>
      </c>
      <c r="E30" s="32">
        <f t="shared" si="8"/>
        <v>23.814967230605088</v>
      </c>
      <c r="F30" s="32">
        <f t="shared" si="10"/>
        <v>-30.862673372961442</v>
      </c>
    </row>
    <row r="31" spans="2:7">
      <c r="B31" t="str">
        <f>NPV!C34</f>
        <v>Year 4</v>
      </c>
      <c r="C31" s="65">
        <f>NPV!D34</f>
        <v>55</v>
      </c>
      <c r="D31" s="31">
        <f t="shared" si="9"/>
        <v>0.73502985279645328</v>
      </c>
      <c r="E31" s="32">
        <f t="shared" si="8"/>
        <v>40.426641903804928</v>
      </c>
      <c r="F31" s="34">
        <f t="shared" si="10"/>
        <v>9.5639685308434856</v>
      </c>
      <c r="G31" t="s">
        <v>77</v>
      </c>
    </row>
    <row r="32" spans="2:7">
      <c r="B32" t="str">
        <f>NPV!C35</f>
        <v>Disposal</v>
      </c>
      <c r="C32" s="65">
        <f>NPV!D35</f>
        <v>15</v>
      </c>
      <c r="D32" s="31">
        <f t="shared" si="9"/>
        <v>0.73502985279645328</v>
      </c>
      <c r="E32" s="32">
        <f t="shared" si="8"/>
        <v>11.025447791946799</v>
      </c>
      <c r="F32" s="32"/>
    </row>
    <row r="33" spans="2:3">
      <c r="C33" s="65"/>
    </row>
    <row r="34" spans="2:3">
      <c r="B34" t="s">
        <v>91</v>
      </c>
    </row>
    <row r="35" spans="2:3">
      <c r="B35" t="s">
        <v>79</v>
      </c>
    </row>
  </sheetData>
  <pageMargins left="0.39370078740157483" right="0.39370078740157483" top="0.39370078740157483" bottom="0.39370078740157483" header="0.31496062992125984" footer="0.31496062992125984"/>
  <pageSetup orientation="landscape" r:id="rId1"/>
  <headerFooter>
    <oddFooter>&amp;C&amp;F      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B1:G39"/>
  <sheetViews>
    <sheetView showRuler="0" zoomScaleNormal="100" workbookViewId="0">
      <selection activeCell="H30" sqref="H30"/>
    </sheetView>
  </sheetViews>
  <sheetFormatPr defaultRowHeight="15"/>
  <cols>
    <col min="1" max="1" width="2.7109375" customWidth="1"/>
    <col min="4" max="4" width="12" customWidth="1"/>
    <col min="5" max="5" width="15.28515625" customWidth="1"/>
    <col min="7" max="7" width="16.28515625" customWidth="1"/>
  </cols>
  <sheetData>
    <row r="1" spans="2:7">
      <c r="B1" t="s">
        <v>28</v>
      </c>
    </row>
    <row r="2" spans="2:7">
      <c r="E2" s="27" t="s">
        <v>52</v>
      </c>
      <c r="F2" s="20" t="s">
        <v>112</v>
      </c>
    </row>
    <row r="3" spans="2:7">
      <c r="C3" t="s">
        <v>21</v>
      </c>
      <c r="D3" s="65">
        <f>-Question!C7</f>
        <v>-85</v>
      </c>
      <c r="E3">
        <v>1</v>
      </c>
      <c r="F3">
        <f>E3*D3</f>
        <v>-85</v>
      </c>
    </row>
    <row r="4" spans="2:7">
      <c r="C4" t="s">
        <v>2</v>
      </c>
      <c r="D4" s="65">
        <f>Question!C10</f>
        <v>20</v>
      </c>
      <c r="E4" s="31">
        <f>'Discount Tables'!I3</f>
        <v>0.92592592592592582</v>
      </c>
      <c r="F4" s="32">
        <f t="shared" ref="F4:F8" si="0">E4*D4</f>
        <v>18.518518518518515</v>
      </c>
    </row>
    <row r="5" spans="2:7">
      <c r="C5" t="s">
        <v>3</v>
      </c>
      <c r="D5" s="65">
        <f>Question!C11</f>
        <v>30</v>
      </c>
      <c r="E5" s="31">
        <f>'Discount Tables'!I4</f>
        <v>0.85733882030178321</v>
      </c>
      <c r="F5" s="32">
        <f t="shared" si="0"/>
        <v>25.720164609053498</v>
      </c>
    </row>
    <row r="6" spans="2:7">
      <c r="C6" t="s">
        <v>4</v>
      </c>
      <c r="D6" s="65">
        <f>Question!C12</f>
        <v>35</v>
      </c>
      <c r="E6" s="31">
        <f>'Discount Tables'!I5</f>
        <v>0.79383224102016958</v>
      </c>
      <c r="F6" s="32">
        <f t="shared" si="0"/>
        <v>27.784128435705934</v>
      </c>
    </row>
    <row r="7" spans="2:7">
      <c r="C7" t="s">
        <v>5</v>
      </c>
      <c r="D7" s="65">
        <f>Question!C13</f>
        <v>40</v>
      </c>
      <c r="E7" s="31">
        <f>'Discount Tables'!I6</f>
        <v>0.73502985279645328</v>
      </c>
      <c r="F7" s="32">
        <f t="shared" si="0"/>
        <v>29.401194111858132</v>
      </c>
    </row>
    <row r="8" spans="2:7">
      <c r="C8" t="s">
        <v>49</v>
      </c>
      <c r="D8" s="65">
        <f>Question!C14</f>
        <v>0</v>
      </c>
      <c r="E8" s="31">
        <f>E7</f>
        <v>0.73502985279645328</v>
      </c>
      <c r="F8" s="32">
        <f t="shared" si="0"/>
        <v>0</v>
      </c>
    </row>
    <row r="9" spans="2:7" ht="15.75" thickBot="1">
      <c r="E9" s="31"/>
      <c r="F9" s="46">
        <f>SUM(F3:F8)</f>
        <v>16.424005675136083</v>
      </c>
      <c r="G9" t="s">
        <v>39</v>
      </c>
    </row>
    <row r="10" spans="2:7">
      <c r="E10" s="31"/>
      <c r="F10" s="74"/>
    </row>
    <row r="11" spans="2:7">
      <c r="E11" s="27" t="s">
        <v>52</v>
      </c>
      <c r="F11" s="20" t="s">
        <v>112</v>
      </c>
    </row>
    <row r="12" spans="2:7">
      <c r="C12" t="s">
        <v>22</v>
      </c>
      <c r="D12" s="65">
        <f>-Question!D7</f>
        <v>-100</v>
      </c>
      <c r="E12">
        <v>1</v>
      </c>
      <c r="F12">
        <f>E12*D12</f>
        <v>-100</v>
      </c>
    </row>
    <row r="13" spans="2:7">
      <c r="C13" t="s">
        <v>2</v>
      </c>
      <c r="D13" s="65">
        <f>Question!D10</f>
        <v>20</v>
      </c>
      <c r="E13" s="31">
        <f>'Discount Tables'!I3</f>
        <v>0.92592592592592582</v>
      </c>
      <c r="F13" s="32">
        <f t="shared" ref="F13:F17" si="1">E13*D13</f>
        <v>18.518518518518515</v>
      </c>
    </row>
    <row r="14" spans="2:7">
      <c r="C14" t="s">
        <v>3</v>
      </c>
      <c r="D14" s="65">
        <f>Question!D11</f>
        <v>35</v>
      </c>
      <c r="E14" s="31">
        <f>'Discount Tables'!I4</f>
        <v>0.85733882030178321</v>
      </c>
      <c r="F14" s="32">
        <f t="shared" si="1"/>
        <v>30.006858710562412</v>
      </c>
    </row>
    <row r="15" spans="2:7">
      <c r="C15" t="s">
        <v>4</v>
      </c>
      <c r="D15" s="65">
        <f>Question!D12</f>
        <v>40</v>
      </c>
      <c r="E15" s="31">
        <f>'Discount Tables'!I5</f>
        <v>0.79383224102016958</v>
      </c>
      <c r="F15" s="32">
        <f t="shared" si="1"/>
        <v>31.753289640806784</v>
      </c>
    </row>
    <row r="16" spans="2:7">
      <c r="C16" t="s">
        <v>5</v>
      </c>
      <c r="D16" s="65">
        <f>Question!D13</f>
        <v>50</v>
      </c>
      <c r="E16" s="31">
        <f>'Discount Tables'!I6</f>
        <v>0.73502985279645328</v>
      </c>
      <c r="F16" s="32">
        <f t="shared" si="1"/>
        <v>36.751492639822665</v>
      </c>
    </row>
    <row r="17" spans="3:7">
      <c r="C17" t="s">
        <v>49</v>
      </c>
      <c r="D17" s="65">
        <f>Question!D14</f>
        <v>20</v>
      </c>
      <c r="E17" s="31">
        <f>E16</f>
        <v>0.73502985279645328</v>
      </c>
      <c r="F17" s="32">
        <f t="shared" si="1"/>
        <v>14.700597055929066</v>
      </c>
    </row>
    <row r="18" spans="3:7" ht="15.75" thickBot="1">
      <c r="E18" s="31"/>
      <c r="F18" s="46">
        <f>SUM(F12:F17)</f>
        <v>31.730756565639446</v>
      </c>
      <c r="G18" t="s">
        <v>40</v>
      </c>
    </row>
    <row r="20" spans="3:7">
      <c r="E20" s="27" t="s">
        <v>52</v>
      </c>
      <c r="F20" s="20" t="s">
        <v>112</v>
      </c>
    </row>
    <row r="21" spans="3:7">
      <c r="C21" t="s">
        <v>23</v>
      </c>
      <c r="D21" s="65">
        <f>-Question!E7</f>
        <v>-100</v>
      </c>
      <c r="E21">
        <v>1</v>
      </c>
      <c r="F21">
        <f>E21*D21</f>
        <v>-100</v>
      </c>
    </row>
    <row r="22" spans="3:7">
      <c r="C22" t="s">
        <v>2</v>
      </c>
      <c r="D22" s="65">
        <f>Question!E10</f>
        <v>25</v>
      </c>
      <c r="E22" s="31">
        <f>'Discount Tables'!I3</f>
        <v>0.92592592592592582</v>
      </c>
      <c r="F22" s="32">
        <f t="shared" ref="F22:F26" si="2">E22*D22</f>
        <v>23.148148148148145</v>
      </c>
    </row>
    <row r="23" spans="3:7">
      <c r="C23" t="s">
        <v>3</v>
      </c>
      <c r="D23" s="65">
        <f>Question!E11</f>
        <v>25</v>
      </c>
      <c r="E23" s="31">
        <f>'Discount Tables'!I4</f>
        <v>0.85733882030178321</v>
      </c>
      <c r="F23" s="32">
        <f t="shared" si="2"/>
        <v>21.43347050754458</v>
      </c>
    </row>
    <row r="24" spans="3:7">
      <c r="C24" t="s">
        <v>4</v>
      </c>
      <c r="D24" s="65">
        <f>Question!E12</f>
        <v>30</v>
      </c>
      <c r="E24" s="31">
        <f>'Discount Tables'!I5</f>
        <v>0.79383224102016958</v>
      </c>
      <c r="F24" s="32">
        <f t="shared" si="2"/>
        <v>23.814967230605088</v>
      </c>
    </row>
    <row r="25" spans="3:7">
      <c r="C25" t="s">
        <v>5</v>
      </c>
      <c r="D25" s="65">
        <f>Question!E13</f>
        <v>35</v>
      </c>
      <c r="E25" s="31">
        <f>'Discount Tables'!I6</f>
        <v>0.73502985279645328</v>
      </c>
      <c r="F25" s="32">
        <f t="shared" si="2"/>
        <v>25.726044847875865</v>
      </c>
    </row>
    <row r="26" spans="3:7">
      <c r="C26" t="s">
        <v>49</v>
      </c>
      <c r="D26" s="65">
        <f>Question!E14</f>
        <v>0</v>
      </c>
      <c r="E26" s="31">
        <f>E25</f>
        <v>0.73502985279645328</v>
      </c>
      <c r="F26" s="32">
        <f t="shared" si="2"/>
        <v>0</v>
      </c>
    </row>
    <row r="27" spans="3:7" ht="15.75" thickBot="1">
      <c r="E27" s="31"/>
      <c r="F27" s="46">
        <f>SUM(F21:F26)</f>
        <v>-5.8773692658263101</v>
      </c>
      <c r="G27" t="s">
        <v>41</v>
      </c>
    </row>
    <row r="29" spans="3:7">
      <c r="E29" s="27" t="s">
        <v>52</v>
      </c>
      <c r="F29" s="20" t="s">
        <v>112</v>
      </c>
    </row>
    <row r="30" spans="3:7">
      <c r="C30" t="s">
        <v>24</v>
      </c>
      <c r="D30" s="65">
        <f>-Question!F7</f>
        <v>-90</v>
      </c>
      <c r="E30">
        <v>1</v>
      </c>
      <c r="F30">
        <f>E30*D30</f>
        <v>-90</v>
      </c>
    </row>
    <row r="31" spans="3:7">
      <c r="C31" t="s">
        <v>2</v>
      </c>
      <c r="D31" s="65">
        <f>Question!F10</f>
        <v>15</v>
      </c>
      <c r="E31" s="31">
        <f>'Discount Tables'!I3</f>
        <v>0.92592592592592582</v>
      </c>
      <c r="F31" s="32">
        <f t="shared" ref="F31:F35" si="3">E31*D31</f>
        <v>13.888888888888888</v>
      </c>
    </row>
    <row r="32" spans="3:7">
      <c r="C32" t="s">
        <v>3</v>
      </c>
      <c r="D32" s="65">
        <f>Question!F11</f>
        <v>25</v>
      </c>
      <c r="E32" s="31">
        <f>'Discount Tables'!I4</f>
        <v>0.85733882030178321</v>
      </c>
      <c r="F32" s="32">
        <f t="shared" si="3"/>
        <v>21.43347050754458</v>
      </c>
    </row>
    <row r="33" spans="2:7">
      <c r="C33" t="s">
        <v>4</v>
      </c>
      <c r="D33" s="65">
        <f>Question!F12</f>
        <v>30</v>
      </c>
      <c r="E33" s="31">
        <f>'Discount Tables'!I5</f>
        <v>0.79383224102016958</v>
      </c>
      <c r="F33" s="32">
        <f t="shared" si="3"/>
        <v>23.814967230605088</v>
      </c>
    </row>
    <row r="34" spans="2:7">
      <c r="C34" t="s">
        <v>5</v>
      </c>
      <c r="D34" s="65">
        <f>Question!F13</f>
        <v>55</v>
      </c>
      <c r="E34" s="31">
        <f>'Discount Tables'!I6</f>
        <v>0.73502985279645328</v>
      </c>
      <c r="F34" s="32">
        <f t="shared" si="3"/>
        <v>40.426641903804928</v>
      </c>
    </row>
    <row r="35" spans="2:7">
      <c r="C35" t="s">
        <v>49</v>
      </c>
      <c r="D35" s="65">
        <f>Question!F14</f>
        <v>15</v>
      </c>
      <c r="E35" s="31">
        <f>E34</f>
        <v>0.73502985279645328</v>
      </c>
      <c r="F35" s="32">
        <f t="shared" si="3"/>
        <v>11.025447791946799</v>
      </c>
    </row>
    <row r="36" spans="2:7" ht="15.75" thickBot="1">
      <c r="E36" s="31"/>
      <c r="F36" s="46">
        <f>SUM(F30:F35)</f>
        <v>20.589416322790285</v>
      </c>
      <c r="G36" t="s">
        <v>42</v>
      </c>
    </row>
    <row r="37" spans="2:7">
      <c r="E37" s="31"/>
      <c r="F37" s="31"/>
    </row>
    <row r="38" spans="2:7">
      <c r="B38" t="s">
        <v>90</v>
      </c>
    </row>
    <row r="39" spans="2:7">
      <c r="B39" t="s">
        <v>43</v>
      </c>
      <c r="C39" s="11"/>
      <c r="D39" s="11"/>
      <c r="E39" s="11"/>
      <c r="F39" s="11"/>
    </row>
  </sheetData>
  <pageMargins left="0.39370078740157483" right="0.39370078740157483" top="0.39370078740157483" bottom="0.39370078740157483" header="0.31496062992125984" footer="0.31496062992125984"/>
  <pageSetup scale="94" orientation="landscape" r:id="rId1"/>
  <headerFooter>
    <oddFooter>&amp;C&amp;F      &amp;A</oddFooter>
  </headerFooter>
  <rowBreaks count="1" manualBreakCount="1">
    <brk id="40" min="1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L71"/>
  <sheetViews>
    <sheetView tabSelected="1" showRuler="0" zoomScaleNormal="100" workbookViewId="0">
      <selection activeCell="E61" sqref="E61"/>
    </sheetView>
  </sheetViews>
  <sheetFormatPr defaultRowHeight="15"/>
  <cols>
    <col min="3" max="3" width="12" customWidth="1"/>
    <col min="4" max="4" width="15.7109375" customWidth="1"/>
    <col min="7" max="7" width="15.140625" customWidth="1"/>
    <col min="9" max="9" width="4.140625" customWidth="1"/>
    <col min="11" max="11" width="5.28515625" style="47" customWidth="1"/>
    <col min="12" max="12" width="3.42578125" customWidth="1"/>
  </cols>
  <sheetData>
    <row r="1" spans="1:12">
      <c r="A1" t="s">
        <v>29</v>
      </c>
    </row>
    <row r="2" spans="1:12">
      <c r="A2" t="s">
        <v>48</v>
      </c>
    </row>
    <row r="3" spans="1:12">
      <c r="D3" s="27" t="s">
        <v>52</v>
      </c>
      <c r="E3" s="27" t="s">
        <v>113</v>
      </c>
      <c r="G3" s="27" t="s">
        <v>69</v>
      </c>
      <c r="H3" s="27" t="s">
        <v>114</v>
      </c>
    </row>
    <row r="4" spans="1:12">
      <c r="B4" t="s">
        <v>21</v>
      </c>
      <c r="C4" s="65">
        <f>NPV!D3</f>
        <v>-85</v>
      </c>
      <c r="D4">
        <f>NPV!E3</f>
        <v>1</v>
      </c>
      <c r="E4">
        <f>D4*C4</f>
        <v>-85</v>
      </c>
      <c r="G4">
        <v>1</v>
      </c>
      <c r="H4">
        <f t="shared" ref="H4:H9" si="0">G4*C4</f>
        <v>-85</v>
      </c>
    </row>
    <row r="5" spans="1:12">
      <c r="B5" t="s">
        <v>2</v>
      </c>
      <c r="C5" s="65">
        <f>NPV!D4</f>
        <v>20</v>
      </c>
      <c r="D5" s="31">
        <f>NPV!E4</f>
        <v>0.92592592592592582</v>
      </c>
      <c r="E5" s="32">
        <f t="shared" ref="E5:E9" si="1">D5*C5</f>
        <v>18.518518518518515</v>
      </c>
      <c r="F5" s="32"/>
      <c r="G5" s="31">
        <f>'Discount Tables'!U3</f>
        <v>0.83333333333333337</v>
      </c>
      <c r="H5" s="32">
        <f t="shared" si="0"/>
        <v>16.666666666666668</v>
      </c>
    </row>
    <row r="6" spans="1:12">
      <c r="B6" t="s">
        <v>3</v>
      </c>
      <c r="C6" s="65">
        <f>NPV!D5</f>
        <v>30</v>
      </c>
      <c r="D6" s="31">
        <f>NPV!E5</f>
        <v>0.85733882030178321</v>
      </c>
      <c r="E6" s="32">
        <f t="shared" si="1"/>
        <v>25.720164609053498</v>
      </c>
      <c r="F6" s="32"/>
      <c r="G6" s="31">
        <f>'Discount Tables'!U4</f>
        <v>0.69444444444444442</v>
      </c>
      <c r="H6" s="32">
        <f t="shared" si="0"/>
        <v>20.833333333333332</v>
      </c>
    </row>
    <row r="7" spans="1:12">
      <c r="B7" t="s">
        <v>4</v>
      </c>
      <c r="C7" s="65">
        <f>NPV!D6</f>
        <v>35</v>
      </c>
      <c r="D7" s="31">
        <f>NPV!E6</f>
        <v>0.79383224102016958</v>
      </c>
      <c r="E7" s="32">
        <f t="shared" si="1"/>
        <v>27.784128435705934</v>
      </c>
      <c r="G7" s="31">
        <f>'Discount Tables'!U5</f>
        <v>0.57870370370370372</v>
      </c>
      <c r="H7" s="32">
        <f t="shared" si="0"/>
        <v>20.25462962962963</v>
      </c>
    </row>
    <row r="8" spans="1:12">
      <c r="B8" t="s">
        <v>5</v>
      </c>
      <c r="C8" s="65">
        <f>NPV!D7</f>
        <v>40</v>
      </c>
      <c r="D8" s="31">
        <f>NPV!E7</f>
        <v>0.73502985279645328</v>
      </c>
      <c r="E8" s="32">
        <f t="shared" si="1"/>
        <v>29.401194111858132</v>
      </c>
      <c r="G8" s="31">
        <f>'Discount Tables'!U6</f>
        <v>0.48225308641975312</v>
      </c>
      <c r="H8" s="32">
        <f t="shared" si="0"/>
        <v>19.290123456790123</v>
      </c>
    </row>
    <row r="9" spans="1:12" ht="15.75" thickBot="1">
      <c r="B9" t="s">
        <v>49</v>
      </c>
      <c r="C9" s="65">
        <f>NPV!D8</f>
        <v>0</v>
      </c>
      <c r="D9" s="31">
        <f>NPV!E8</f>
        <v>0.73502985279645328</v>
      </c>
      <c r="E9" s="32">
        <f t="shared" si="1"/>
        <v>0</v>
      </c>
      <c r="G9" s="31">
        <f>G8</f>
        <v>0.48225308641975312</v>
      </c>
      <c r="H9" s="32">
        <f t="shared" si="0"/>
        <v>0</v>
      </c>
    </row>
    <row r="10" spans="1:12" ht="15.75" thickBot="1">
      <c r="C10" s="38"/>
      <c r="D10" s="31"/>
      <c r="E10" s="34">
        <f>SUM(E4:E9)</f>
        <v>16.424005675136083</v>
      </c>
      <c r="H10" s="34">
        <f>SUM(H4:H9)</f>
        <v>-7.9552469135802468</v>
      </c>
      <c r="I10" s="47"/>
      <c r="J10" s="21" t="s">
        <v>71</v>
      </c>
      <c r="K10" s="90">
        <f>'IRR calc check'!K14</f>
        <v>16.084253911576148</v>
      </c>
      <c r="L10" s="91" t="s">
        <v>56</v>
      </c>
    </row>
    <row r="11" spans="1:12">
      <c r="D11" s="31"/>
      <c r="E11" s="31"/>
      <c r="H11" s="32"/>
    </row>
    <row r="12" spans="1:12">
      <c r="D12" s="27" t="s">
        <v>52</v>
      </c>
      <c r="E12" s="27" t="s">
        <v>113</v>
      </c>
      <c r="G12" s="27" t="s">
        <v>69</v>
      </c>
      <c r="H12" s="27" t="s">
        <v>114</v>
      </c>
      <c r="J12" s="38"/>
    </row>
    <row r="13" spans="1:12">
      <c r="B13" t="s">
        <v>22</v>
      </c>
      <c r="C13" s="65">
        <f>NPV!D12</f>
        <v>-100</v>
      </c>
      <c r="D13">
        <f>NPV!E12</f>
        <v>1</v>
      </c>
      <c r="E13">
        <f>D13*C13</f>
        <v>-100</v>
      </c>
      <c r="G13">
        <v>1</v>
      </c>
      <c r="H13">
        <f t="shared" ref="H13:H18" si="2">G13*C13</f>
        <v>-100</v>
      </c>
    </row>
    <row r="14" spans="1:12">
      <c r="B14" t="s">
        <v>2</v>
      </c>
      <c r="C14" s="65">
        <f>NPV!D13</f>
        <v>20</v>
      </c>
      <c r="D14" s="31">
        <f>NPV!E13</f>
        <v>0.92592592592592582</v>
      </c>
      <c r="E14" s="32">
        <f t="shared" ref="E14:E18" si="3">D14*C14</f>
        <v>18.518518518518515</v>
      </c>
      <c r="G14" s="31">
        <f>G5</f>
        <v>0.83333333333333337</v>
      </c>
      <c r="H14" s="32">
        <f t="shared" si="2"/>
        <v>16.666666666666668</v>
      </c>
    </row>
    <row r="15" spans="1:12">
      <c r="B15" t="s">
        <v>3</v>
      </c>
      <c r="C15" s="65">
        <f>NPV!D14</f>
        <v>35</v>
      </c>
      <c r="D15" s="31">
        <f>NPV!E14</f>
        <v>0.85733882030178321</v>
      </c>
      <c r="E15" s="32">
        <f t="shared" si="3"/>
        <v>30.006858710562412</v>
      </c>
      <c r="G15" s="31">
        <f t="shared" ref="G15:G17" si="4">G6</f>
        <v>0.69444444444444442</v>
      </c>
      <c r="H15" s="32">
        <f t="shared" si="2"/>
        <v>24.305555555555554</v>
      </c>
    </row>
    <row r="16" spans="1:12">
      <c r="B16" t="s">
        <v>4</v>
      </c>
      <c r="C16" s="65">
        <f>NPV!D15</f>
        <v>40</v>
      </c>
      <c r="D16" s="31">
        <f>NPV!E15</f>
        <v>0.79383224102016958</v>
      </c>
      <c r="E16" s="32">
        <f t="shared" si="3"/>
        <v>31.753289640806784</v>
      </c>
      <c r="G16" s="31">
        <f t="shared" si="4"/>
        <v>0.57870370370370372</v>
      </c>
      <c r="H16" s="32">
        <f t="shared" si="2"/>
        <v>23.148148148148149</v>
      </c>
    </row>
    <row r="17" spans="2:12">
      <c r="B17" t="s">
        <v>5</v>
      </c>
      <c r="C17" s="65">
        <f>NPV!D16</f>
        <v>50</v>
      </c>
      <c r="D17" s="31">
        <f>NPV!E16</f>
        <v>0.73502985279645328</v>
      </c>
      <c r="E17" s="32">
        <f t="shared" si="3"/>
        <v>36.751492639822665</v>
      </c>
      <c r="G17" s="31">
        <f t="shared" si="4"/>
        <v>0.48225308641975312</v>
      </c>
      <c r="H17" s="32">
        <f t="shared" si="2"/>
        <v>24.112654320987655</v>
      </c>
    </row>
    <row r="18" spans="2:12" ht="15.75" thickBot="1">
      <c r="B18" t="s">
        <v>49</v>
      </c>
      <c r="C18" s="65">
        <f>NPV!D17</f>
        <v>20</v>
      </c>
      <c r="D18" s="31">
        <f>NPV!E17</f>
        <v>0.73502985279645328</v>
      </c>
      <c r="E18" s="32">
        <f t="shared" si="3"/>
        <v>14.700597055929066</v>
      </c>
      <c r="G18" s="31">
        <f>G17</f>
        <v>0.48225308641975312</v>
      </c>
      <c r="H18" s="32">
        <f t="shared" si="2"/>
        <v>9.6450617283950617</v>
      </c>
    </row>
    <row r="19" spans="2:12" ht="15.75" thickBot="1">
      <c r="C19" s="38"/>
      <c r="D19" s="31"/>
      <c r="E19" s="34">
        <f>SUM(E13:E18)</f>
        <v>31.730756565639446</v>
      </c>
      <c r="H19" s="34">
        <f>SUM(H13:H18)</f>
        <v>-2.1219135802469022</v>
      </c>
      <c r="J19" s="21" t="s">
        <v>71</v>
      </c>
      <c r="K19" s="90">
        <f>'IRR calc check'!K38</f>
        <v>19.247829998247362</v>
      </c>
      <c r="L19" s="91" t="s">
        <v>56</v>
      </c>
    </row>
    <row r="20" spans="2:12">
      <c r="D20" s="31"/>
      <c r="E20" s="31"/>
      <c r="F20" s="31"/>
      <c r="G20" s="31"/>
      <c r="H20" s="31"/>
    </row>
    <row r="21" spans="2:12">
      <c r="D21" s="27" t="s">
        <v>52</v>
      </c>
      <c r="E21" s="27" t="s">
        <v>113</v>
      </c>
      <c r="G21" s="27" t="s">
        <v>69</v>
      </c>
      <c r="H21" s="27" t="s">
        <v>114</v>
      </c>
      <c r="J21" s="38"/>
    </row>
    <row r="22" spans="2:12">
      <c r="B22" t="s">
        <v>23</v>
      </c>
      <c r="C22" s="65">
        <f>NPV!D21</f>
        <v>-100</v>
      </c>
      <c r="D22">
        <f>NPV!E21</f>
        <v>1</v>
      </c>
      <c r="E22" s="32">
        <f t="shared" ref="E22:E27" si="5">D22*C22</f>
        <v>-100</v>
      </c>
      <c r="G22">
        <v>1</v>
      </c>
      <c r="H22">
        <f t="shared" ref="H22:H27" si="6">G22*C22</f>
        <v>-100</v>
      </c>
      <c r="J22" s="38"/>
    </row>
    <row r="23" spans="2:12">
      <c r="B23" t="s">
        <v>2</v>
      </c>
      <c r="C23" s="65">
        <f>NPV!D22</f>
        <v>25</v>
      </c>
      <c r="D23" s="31">
        <f>NPV!E22</f>
        <v>0.92592592592592582</v>
      </c>
      <c r="E23" s="32">
        <f t="shared" si="5"/>
        <v>23.148148148148145</v>
      </c>
      <c r="G23" s="31">
        <f>G5</f>
        <v>0.83333333333333337</v>
      </c>
      <c r="H23" s="32">
        <f t="shared" si="6"/>
        <v>20.833333333333336</v>
      </c>
    </row>
    <row r="24" spans="2:12">
      <c r="B24" t="s">
        <v>3</v>
      </c>
      <c r="C24" s="65">
        <f>NPV!D23</f>
        <v>25</v>
      </c>
      <c r="D24" s="31">
        <f>NPV!E23</f>
        <v>0.85733882030178321</v>
      </c>
      <c r="E24" s="32">
        <f t="shared" si="5"/>
        <v>21.43347050754458</v>
      </c>
      <c r="G24" s="31">
        <f t="shared" ref="G24:G26" si="7">G6</f>
        <v>0.69444444444444442</v>
      </c>
      <c r="H24" s="32">
        <f t="shared" si="6"/>
        <v>17.361111111111111</v>
      </c>
    </row>
    <row r="25" spans="2:12">
      <c r="B25" t="s">
        <v>4</v>
      </c>
      <c r="C25" s="65">
        <f>NPV!D24</f>
        <v>30</v>
      </c>
      <c r="D25" s="31">
        <f>NPV!E24</f>
        <v>0.79383224102016958</v>
      </c>
      <c r="E25" s="32">
        <f t="shared" si="5"/>
        <v>23.814967230605088</v>
      </c>
      <c r="G25" s="31">
        <f t="shared" si="7"/>
        <v>0.57870370370370372</v>
      </c>
      <c r="H25" s="32">
        <f t="shared" si="6"/>
        <v>17.361111111111111</v>
      </c>
    </row>
    <row r="26" spans="2:12">
      <c r="B26" t="s">
        <v>5</v>
      </c>
      <c r="C26" s="65">
        <f>NPV!D25</f>
        <v>35</v>
      </c>
      <c r="D26" s="31">
        <f>NPV!E25</f>
        <v>0.73502985279645328</v>
      </c>
      <c r="E26" s="32">
        <f t="shared" si="5"/>
        <v>25.726044847875865</v>
      </c>
      <c r="G26" s="31">
        <f t="shared" si="7"/>
        <v>0.48225308641975312</v>
      </c>
      <c r="H26" s="32">
        <f t="shared" si="6"/>
        <v>16.878858024691358</v>
      </c>
    </row>
    <row r="27" spans="2:12" ht="15.75" thickBot="1">
      <c r="B27" t="s">
        <v>49</v>
      </c>
      <c r="C27" s="65">
        <f>NPV!D26</f>
        <v>0</v>
      </c>
      <c r="D27" s="31">
        <f>NPV!E26</f>
        <v>0.73502985279645328</v>
      </c>
      <c r="E27" s="32">
        <f t="shared" si="5"/>
        <v>0</v>
      </c>
      <c r="G27" s="31">
        <f>G26</f>
        <v>0.48225308641975312</v>
      </c>
      <c r="H27">
        <f t="shared" si="6"/>
        <v>0</v>
      </c>
    </row>
    <row r="28" spans="2:12" ht="15.75" thickBot="1">
      <c r="C28" s="38"/>
      <c r="D28" s="31"/>
      <c r="E28" s="34">
        <f>SUM(E22:E27)</f>
        <v>-5.8773692658263101</v>
      </c>
      <c r="H28" s="34">
        <f>SUM(H22:H27)</f>
        <v>-27.565586419753071</v>
      </c>
      <c r="J28" s="21" t="s">
        <v>71</v>
      </c>
      <c r="K28" s="90">
        <f>'IRR calc check'!K62</f>
        <v>4.7480761240374161</v>
      </c>
      <c r="L28" s="91" t="s">
        <v>56</v>
      </c>
    </row>
    <row r="30" spans="2:12">
      <c r="D30" s="27" t="s">
        <v>52</v>
      </c>
      <c r="E30" s="27" t="s">
        <v>113</v>
      </c>
      <c r="G30" s="27" t="s">
        <v>69</v>
      </c>
      <c r="H30" s="27" t="s">
        <v>114</v>
      </c>
    </row>
    <row r="31" spans="2:12">
      <c r="B31" t="s">
        <v>24</v>
      </c>
      <c r="C31" s="65">
        <f>NPV!D30</f>
        <v>-90</v>
      </c>
      <c r="D31">
        <f>NPV!E30</f>
        <v>1</v>
      </c>
      <c r="E31">
        <f>D31*C31</f>
        <v>-90</v>
      </c>
      <c r="G31">
        <v>1</v>
      </c>
      <c r="H31">
        <f t="shared" ref="H31:H36" si="8">G31*C31</f>
        <v>-90</v>
      </c>
    </row>
    <row r="32" spans="2:12">
      <c r="B32" t="s">
        <v>2</v>
      </c>
      <c r="C32" s="65">
        <f>NPV!D31</f>
        <v>15</v>
      </c>
      <c r="D32" s="31">
        <f>NPV!E31</f>
        <v>0.92592592592592582</v>
      </c>
      <c r="E32" s="32">
        <f t="shared" ref="E32:E36" si="9">D32*C32</f>
        <v>13.888888888888888</v>
      </c>
      <c r="G32" s="31">
        <f>G5</f>
        <v>0.83333333333333337</v>
      </c>
      <c r="H32" s="32">
        <f t="shared" si="8"/>
        <v>12.5</v>
      </c>
    </row>
    <row r="33" spans="2:12">
      <c r="B33" t="s">
        <v>3</v>
      </c>
      <c r="C33" s="65">
        <f>NPV!D32</f>
        <v>25</v>
      </c>
      <c r="D33" s="31">
        <f>NPV!E32</f>
        <v>0.85733882030178321</v>
      </c>
      <c r="E33" s="32">
        <f t="shared" si="9"/>
        <v>21.43347050754458</v>
      </c>
      <c r="G33" s="31">
        <f t="shared" ref="G33:G35" si="10">G6</f>
        <v>0.69444444444444442</v>
      </c>
      <c r="H33" s="32">
        <f t="shared" si="8"/>
        <v>17.361111111111111</v>
      </c>
    </row>
    <row r="34" spans="2:12">
      <c r="B34" t="s">
        <v>4</v>
      </c>
      <c r="C34" s="65">
        <f>NPV!D33</f>
        <v>30</v>
      </c>
      <c r="D34" s="31">
        <f>NPV!E33</f>
        <v>0.79383224102016958</v>
      </c>
      <c r="E34" s="32">
        <f t="shared" si="9"/>
        <v>23.814967230605088</v>
      </c>
      <c r="G34" s="31">
        <f t="shared" si="10"/>
        <v>0.57870370370370372</v>
      </c>
      <c r="H34" s="32">
        <f t="shared" si="8"/>
        <v>17.361111111111111</v>
      </c>
    </row>
    <row r="35" spans="2:12">
      <c r="B35" t="s">
        <v>5</v>
      </c>
      <c r="C35" s="65">
        <f>NPV!D34</f>
        <v>55</v>
      </c>
      <c r="D35" s="31">
        <f>NPV!E34</f>
        <v>0.73502985279645328</v>
      </c>
      <c r="E35" s="32">
        <f t="shared" si="9"/>
        <v>40.426641903804928</v>
      </c>
      <c r="G35" s="31">
        <f t="shared" si="10"/>
        <v>0.48225308641975312</v>
      </c>
      <c r="H35" s="32">
        <f t="shared" si="8"/>
        <v>26.523919753086421</v>
      </c>
    </row>
    <row r="36" spans="2:12" ht="15.75" thickBot="1">
      <c r="B36" t="s">
        <v>49</v>
      </c>
      <c r="C36" s="65">
        <f>NPV!D35</f>
        <v>15</v>
      </c>
      <c r="D36" s="31">
        <f>NPV!E35</f>
        <v>0.73502985279645328</v>
      </c>
      <c r="E36">
        <f t="shared" si="9"/>
        <v>11.025447791946799</v>
      </c>
      <c r="G36" s="31">
        <f>G35</f>
        <v>0.48225308641975312</v>
      </c>
      <c r="H36">
        <f t="shared" si="8"/>
        <v>7.2337962962962967</v>
      </c>
    </row>
    <row r="37" spans="2:12" ht="15.75" thickBot="1">
      <c r="C37" s="38"/>
      <c r="D37" s="31"/>
      <c r="E37" s="34">
        <f>SUM(E31:E36)</f>
        <v>20.589416322790285</v>
      </c>
      <c r="H37" s="34">
        <f>SUM(H31:H36)</f>
        <v>-9.0200617283950528</v>
      </c>
      <c r="J37" s="21" t="s">
        <v>71</v>
      </c>
      <c r="K37" s="90">
        <f>'IRR calc check'!K86</f>
        <v>16.344388761138344</v>
      </c>
      <c r="L37" s="91" t="s">
        <v>56</v>
      </c>
    </row>
    <row r="39" spans="2:12">
      <c r="B39" t="s">
        <v>72</v>
      </c>
    </row>
    <row r="41" spans="2:12">
      <c r="B41" s="42" t="s">
        <v>36</v>
      </c>
    </row>
    <row r="42" spans="2:12">
      <c r="B42" t="s">
        <v>92</v>
      </c>
    </row>
    <row r="43" spans="2:12">
      <c r="B43" t="s">
        <v>44</v>
      </c>
    </row>
    <row r="44" spans="2:12">
      <c r="B44" t="s">
        <v>73</v>
      </c>
    </row>
    <row r="46" spans="2:12">
      <c r="D46" s="27" t="s">
        <v>52</v>
      </c>
      <c r="E46" s="20" t="s">
        <v>112</v>
      </c>
      <c r="G46" s="40" t="s">
        <v>69</v>
      </c>
      <c r="H46" s="27" t="s">
        <v>115</v>
      </c>
    </row>
    <row r="47" spans="2:12">
      <c r="B47" t="s">
        <v>21</v>
      </c>
      <c r="C47" s="65">
        <f>C4</f>
        <v>-85</v>
      </c>
      <c r="D47">
        <v>1</v>
      </c>
      <c r="E47">
        <f>D47*C47</f>
        <v>-85</v>
      </c>
      <c r="G47" s="21">
        <v>1</v>
      </c>
      <c r="H47">
        <f t="shared" ref="H47:H52" si="11">C47*G47</f>
        <v>-85</v>
      </c>
    </row>
    <row r="48" spans="2:12">
      <c r="B48" t="s">
        <v>2</v>
      </c>
      <c r="C48" s="65">
        <f t="shared" ref="C48:C52" si="12">C5</f>
        <v>20</v>
      </c>
      <c r="D48" s="31">
        <f>1/(1.08)</f>
        <v>0.92592592592592582</v>
      </c>
      <c r="E48" s="32">
        <f t="shared" ref="E48:E52" si="13">D48*C48</f>
        <v>18.518518518518515</v>
      </c>
      <c r="G48" s="41">
        <f>1/(1.2)</f>
        <v>0.83333333333333337</v>
      </c>
      <c r="H48" s="32">
        <f t="shared" si="11"/>
        <v>16.666666666666668</v>
      </c>
      <c r="I48" s="32"/>
    </row>
    <row r="49" spans="1:10">
      <c r="B49" t="s">
        <v>3</v>
      </c>
      <c r="C49" s="65">
        <f t="shared" si="12"/>
        <v>30</v>
      </c>
      <c r="D49" s="31">
        <f>1/(1.08*1.08)</f>
        <v>0.85733882030178321</v>
      </c>
      <c r="E49" s="32">
        <f t="shared" si="13"/>
        <v>25.720164609053498</v>
      </c>
      <c r="G49" s="41">
        <f>1/(1.2*1.2)</f>
        <v>0.69444444444444442</v>
      </c>
      <c r="H49" s="32">
        <f t="shared" si="11"/>
        <v>20.833333333333332</v>
      </c>
      <c r="I49" s="32"/>
    </row>
    <row r="50" spans="1:10">
      <c r="B50" t="s">
        <v>4</v>
      </c>
      <c r="C50" s="65">
        <f t="shared" si="12"/>
        <v>35</v>
      </c>
      <c r="D50" s="31">
        <f>1/(1.08*1.08*1.08)</f>
        <v>0.79383224102016958</v>
      </c>
      <c r="E50" s="32">
        <f t="shared" si="13"/>
        <v>27.784128435705934</v>
      </c>
      <c r="G50" s="41">
        <f>1/(1.2*1.2*1.2)</f>
        <v>0.57870370370370372</v>
      </c>
      <c r="H50" s="32">
        <f t="shared" si="11"/>
        <v>20.25462962962963</v>
      </c>
      <c r="I50" s="32"/>
    </row>
    <row r="51" spans="1:10">
      <c r="B51" t="s">
        <v>5</v>
      </c>
      <c r="C51" s="65">
        <f t="shared" si="12"/>
        <v>40</v>
      </c>
      <c r="D51" s="31">
        <f>1/(1.08*1.08*1.08*1.08)</f>
        <v>0.73502985279645328</v>
      </c>
      <c r="E51" s="32">
        <f t="shared" si="13"/>
        <v>29.401194111858132</v>
      </c>
      <c r="G51" s="41">
        <f>1/(1.2*1.2*1.2*1.2)</f>
        <v>0.48225308641975312</v>
      </c>
      <c r="H51" s="32">
        <f t="shared" si="11"/>
        <v>19.290123456790123</v>
      </c>
    </row>
    <row r="52" spans="1:10">
      <c r="B52" t="s">
        <v>49</v>
      </c>
      <c r="C52" s="65">
        <f t="shared" si="12"/>
        <v>0</v>
      </c>
      <c r="D52" s="31">
        <f>D51</f>
        <v>0.73502985279645328</v>
      </c>
      <c r="E52" s="32">
        <f t="shared" si="13"/>
        <v>0</v>
      </c>
      <c r="G52" s="41">
        <f>G51</f>
        <v>0.48225308641975312</v>
      </c>
      <c r="H52" s="32">
        <f t="shared" si="11"/>
        <v>0</v>
      </c>
      <c r="I52" s="49" t="s">
        <v>45</v>
      </c>
    </row>
    <row r="53" spans="1:10">
      <c r="C53" s="38"/>
      <c r="D53" s="31"/>
      <c r="E53" s="34">
        <f>SUM(E47:E52)</f>
        <v>16.424005675136083</v>
      </c>
      <c r="H53" s="34">
        <f>SUM(H47:H52)</f>
        <v>-7.9552469135802468</v>
      </c>
      <c r="J53" s="24">
        <f>E53-H53</f>
        <v>24.37925258871633</v>
      </c>
    </row>
    <row r="55" spans="1:10">
      <c r="A55" t="s">
        <v>93</v>
      </c>
    </row>
    <row r="56" spans="1:10">
      <c r="A56" t="s">
        <v>94</v>
      </c>
    </row>
    <row r="57" spans="1:10">
      <c r="A57" t="s">
        <v>96</v>
      </c>
    </row>
    <row r="58" spans="1:10">
      <c r="A58" t="s">
        <v>97</v>
      </c>
    </row>
    <row r="60" spans="1:10">
      <c r="D60" s="27" t="s">
        <v>95</v>
      </c>
      <c r="E60" s="20" t="s">
        <v>112</v>
      </c>
      <c r="F60" s="40"/>
      <c r="G60" s="27"/>
    </row>
    <row r="61" spans="1:10">
      <c r="B61" t="s">
        <v>21</v>
      </c>
      <c r="C61" s="65">
        <f>C4</f>
        <v>-85</v>
      </c>
      <c r="D61">
        <v>1</v>
      </c>
      <c r="E61">
        <f>D61*C61</f>
        <v>-85</v>
      </c>
      <c r="F61" s="21"/>
    </row>
    <row r="62" spans="1:10">
      <c r="B62" t="s">
        <v>2</v>
      </c>
      <c r="C62" s="65">
        <f t="shared" ref="C62:C66" si="14">C5</f>
        <v>20</v>
      </c>
      <c r="D62" s="31">
        <f>1/(1.1608)</f>
        <v>0.86147484493452786</v>
      </c>
      <c r="E62" s="32">
        <f t="shared" ref="E62:E66" si="15">D62*C62</f>
        <v>17.229496898690556</v>
      </c>
      <c r="F62" s="41"/>
    </row>
    <row r="63" spans="1:10">
      <c r="B63" t="s">
        <v>3</v>
      </c>
      <c r="C63" s="65">
        <f t="shared" si="14"/>
        <v>30</v>
      </c>
      <c r="D63" s="31">
        <f>1/(1.1608*1.1608)</f>
        <v>0.74213890845496888</v>
      </c>
      <c r="E63" s="32">
        <f t="shared" si="15"/>
        <v>22.264167253649067</v>
      </c>
      <c r="F63" s="41"/>
    </row>
    <row r="64" spans="1:10">
      <c r="B64" t="s">
        <v>4</v>
      </c>
      <c r="C64" s="65">
        <f t="shared" si="14"/>
        <v>35</v>
      </c>
      <c r="D64" s="31">
        <f>1/(1.1608*1.1608*1.1608)</f>
        <v>0.63933400108112404</v>
      </c>
      <c r="E64" s="32">
        <f t="shared" si="15"/>
        <v>22.376690037839342</v>
      </c>
      <c r="F64" s="41"/>
    </row>
    <row r="65" spans="1:6">
      <c r="B65" t="s">
        <v>5</v>
      </c>
      <c r="C65" s="65">
        <f t="shared" si="14"/>
        <v>40</v>
      </c>
      <c r="D65" s="31">
        <f>1/(1.1608*1.1608*1.1608*1.1608)</f>
        <v>0.55077015944273267</v>
      </c>
      <c r="E65" s="32">
        <f t="shared" si="15"/>
        <v>22.030806377709307</v>
      </c>
      <c r="F65" s="41"/>
    </row>
    <row r="66" spans="1:6">
      <c r="B66" t="s">
        <v>49</v>
      </c>
      <c r="C66" s="65">
        <f t="shared" si="14"/>
        <v>0</v>
      </c>
      <c r="D66" s="31">
        <f>D65</f>
        <v>0.55077015944273267</v>
      </c>
      <c r="E66" s="32">
        <f t="shared" si="15"/>
        <v>0</v>
      </c>
      <c r="F66" s="41"/>
    </row>
    <row r="67" spans="1:6">
      <c r="C67" s="38"/>
      <c r="D67" s="31"/>
      <c r="E67" s="34">
        <f>SUM(E61:E66)</f>
        <v>-1.0988394321117312</v>
      </c>
    </row>
    <row r="69" spans="1:6">
      <c r="A69" t="s">
        <v>98</v>
      </c>
    </row>
    <row r="70" spans="1:6">
      <c r="A70" t="s">
        <v>37</v>
      </c>
    </row>
    <row r="71" spans="1:6">
      <c r="A71" t="s">
        <v>74</v>
      </c>
    </row>
  </sheetData>
  <pageMargins left="0.39370078740157483" right="0.39370078740157483" top="0.39370078740157483" bottom="0.39370078740157483" header="0.31496062992125984" footer="0.31496062992125984"/>
  <pageSetup scale="95" orientation="landscape" r:id="rId1"/>
  <headerFooter>
    <oddFooter>&amp;C&amp;F      &amp;A</oddFooter>
  </headerFooter>
  <rowBreaks count="1" manualBreakCount="1">
    <brk id="39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B1:N47"/>
  <sheetViews>
    <sheetView showRuler="0" topLeftCell="A34" zoomScaleNormal="100" workbookViewId="0">
      <selection activeCell="C50" sqref="C50"/>
    </sheetView>
  </sheetViews>
  <sheetFormatPr defaultRowHeight="15"/>
  <cols>
    <col min="1" max="1" width="2.140625" customWidth="1"/>
    <col min="2" max="2" width="17.28515625" customWidth="1"/>
    <col min="3" max="3" width="13.5703125" customWidth="1"/>
    <col min="4" max="4" width="14" customWidth="1"/>
    <col min="5" max="5" width="13" customWidth="1"/>
    <col min="6" max="6" width="14.5703125" customWidth="1"/>
    <col min="7" max="7" width="11.140625" customWidth="1"/>
    <col min="8" max="8" width="9.28515625" customWidth="1"/>
    <col min="9" max="9" width="11.140625" bestFit="1" customWidth="1"/>
  </cols>
  <sheetData>
    <row r="1" spans="2:6">
      <c r="B1" t="str">
        <f>Question!B2</f>
        <v>Ready Plc has €160,000 available for investment now.</v>
      </c>
    </row>
    <row r="2" spans="2:6" s="16" customFormat="1">
      <c r="B2" t="str">
        <f>Question!B3</f>
        <v>It is looking at 4 projects which have the following cash flows.</v>
      </c>
    </row>
    <row r="3" spans="2:6" s="16" customFormat="1">
      <c r="B3" t="str">
        <f>Question!B4</f>
        <v>Assume average cost of weighted capital (WACC) at 8%</v>
      </c>
    </row>
    <row r="4" spans="2:6" s="17" customFormat="1" ht="15.75" thickBot="1">
      <c r="B4"/>
    </row>
    <row r="5" spans="2:6" ht="15.75" thickTop="1">
      <c r="B5" s="101" t="s">
        <v>53</v>
      </c>
      <c r="C5" s="50">
        <v>1</v>
      </c>
      <c r="D5" s="50">
        <v>2</v>
      </c>
      <c r="E5" s="50">
        <v>3</v>
      </c>
      <c r="F5" s="50">
        <v>4</v>
      </c>
    </row>
    <row r="6" spans="2:6" ht="15.75" thickBot="1">
      <c r="B6" s="102"/>
      <c r="C6" s="4">
        <v>85</v>
      </c>
      <c r="D6" s="4">
        <v>100</v>
      </c>
      <c r="E6" s="4">
        <v>100</v>
      </c>
      <c r="F6" s="4">
        <v>90</v>
      </c>
    </row>
    <row r="7" spans="2:6">
      <c r="B7" s="13"/>
      <c r="C7" s="14"/>
      <c r="D7" s="14"/>
      <c r="E7" s="14"/>
      <c r="F7" s="14"/>
    </row>
    <row r="8" spans="2:6" ht="15.75">
      <c r="B8" s="10" t="s">
        <v>1</v>
      </c>
      <c r="C8" s="6"/>
      <c r="D8" s="6"/>
      <c r="E8" s="6"/>
      <c r="F8" s="6"/>
    </row>
    <row r="9" spans="2:6" ht="15.75">
      <c r="B9" s="5" t="s">
        <v>2</v>
      </c>
      <c r="C9" s="7">
        <v>20</v>
      </c>
      <c r="D9" s="7">
        <v>20</v>
      </c>
      <c r="E9" s="7">
        <v>25</v>
      </c>
      <c r="F9" s="7">
        <v>15</v>
      </c>
    </row>
    <row r="10" spans="2:6" ht="15.75">
      <c r="B10" s="5" t="s">
        <v>3</v>
      </c>
      <c r="C10" s="7">
        <v>30</v>
      </c>
      <c r="D10" s="7">
        <v>35</v>
      </c>
      <c r="E10" s="7">
        <v>25</v>
      </c>
      <c r="F10" s="7">
        <v>25</v>
      </c>
    </row>
    <row r="11" spans="2:6" ht="15.75">
      <c r="B11" s="5" t="s">
        <v>4</v>
      </c>
      <c r="C11" s="7">
        <v>35</v>
      </c>
      <c r="D11" s="7">
        <v>40</v>
      </c>
      <c r="E11" s="7">
        <v>30</v>
      </c>
      <c r="F11" s="7">
        <v>30</v>
      </c>
    </row>
    <row r="12" spans="2:6" ht="15.75">
      <c r="B12" s="52" t="s">
        <v>5</v>
      </c>
      <c r="C12" s="53">
        <v>40</v>
      </c>
      <c r="D12" s="53">
        <v>50</v>
      </c>
      <c r="E12" s="53">
        <v>35</v>
      </c>
      <c r="F12" s="53">
        <v>55</v>
      </c>
    </row>
    <row r="13" spans="2:6" ht="17.25" customHeight="1" thickBot="1">
      <c r="B13" s="12" t="s">
        <v>49</v>
      </c>
      <c r="C13" s="8">
        <v>0</v>
      </c>
      <c r="D13" s="8">
        <v>20</v>
      </c>
      <c r="E13" s="8">
        <v>0</v>
      </c>
      <c r="F13" s="8">
        <v>15</v>
      </c>
    </row>
    <row r="14" spans="2:6" ht="16.5" thickTop="1">
      <c r="B14" s="52"/>
      <c r="C14" s="53"/>
      <c r="D14" s="53"/>
      <c r="E14" s="53"/>
      <c r="F14" s="53"/>
    </row>
    <row r="15" spans="2:6" ht="15.75">
      <c r="B15" s="2"/>
    </row>
    <row r="16" spans="2:6" s="18" customFormat="1" ht="12.75">
      <c r="B16" s="15" t="s">
        <v>6</v>
      </c>
      <c r="E16" s="84" t="s">
        <v>7</v>
      </c>
      <c r="F16" s="15" t="s">
        <v>8</v>
      </c>
    </row>
    <row r="17" spans="2:9" s="18" customFormat="1" ht="12.75">
      <c r="E17" s="84" t="s">
        <v>9</v>
      </c>
      <c r="F17" s="15" t="s">
        <v>10</v>
      </c>
    </row>
    <row r="18" spans="2:9" s="18" customFormat="1" ht="12.75">
      <c r="B18" s="15"/>
    </row>
    <row r="19" spans="2:9" s="18" customFormat="1" ht="12.75">
      <c r="B19" s="15" t="s">
        <v>11</v>
      </c>
    </row>
    <row r="20" spans="2:9" s="11" customFormat="1">
      <c r="D20" s="20" t="s">
        <v>117</v>
      </c>
      <c r="E20" s="20" t="s">
        <v>117</v>
      </c>
      <c r="F20" s="20" t="s">
        <v>117</v>
      </c>
      <c r="G20" s="20" t="s">
        <v>117</v>
      </c>
    </row>
    <row r="21" spans="2:9">
      <c r="C21" s="20" t="s">
        <v>82</v>
      </c>
      <c r="D21" s="19">
        <v>1</v>
      </c>
      <c r="E21" s="19">
        <v>2</v>
      </c>
      <c r="F21" s="19">
        <v>3</v>
      </c>
      <c r="G21" s="19">
        <v>4</v>
      </c>
    </row>
    <row r="22" spans="2:9">
      <c r="B22" s="21" t="s">
        <v>81</v>
      </c>
      <c r="C22" s="82" t="s">
        <v>83</v>
      </c>
      <c r="D22" s="80">
        <f>-C6</f>
        <v>-85</v>
      </c>
      <c r="E22" s="80">
        <f t="shared" ref="E22:G22" si="0">-D6</f>
        <v>-100</v>
      </c>
      <c r="F22" s="80">
        <f t="shared" si="0"/>
        <v>-100</v>
      </c>
      <c r="G22" s="80">
        <f t="shared" si="0"/>
        <v>-90</v>
      </c>
    </row>
    <row r="23" spans="2:9">
      <c r="B23" s="21" t="s">
        <v>2</v>
      </c>
      <c r="C23" s="83">
        <f>NPV!E4</f>
        <v>0.92592592592592582</v>
      </c>
      <c r="D23" s="81">
        <f>$C$23*C9</f>
        <v>18.518518518518515</v>
      </c>
      <c r="E23" s="81">
        <f>$C$23*D9</f>
        <v>18.518518518518515</v>
      </c>
      <c r="F23" s="81">
        <f t="shared" ref="F23:G23" si="1">$C$23*E9</f>
        <v>23.148148148148145</v>
      </c>
      <c r="G23" s="81">
        <f t="shared" si="1"/>
        <v>13.888888888888888</v>
      </c>
    </row>
    <row r="24" spans="2:9">
      <c r="B24" s="21" t="s">
        <v>3</v>
      </c>
      <c r="C24" s="83">
        <f>NPV!E5</f>
        <v>0.85733882030178321</v>
      </c>
      <c r="D24" s="81">
        <f>$C$24*C10</f>
        <v>25.720164609053498</v>
      </c>
      <c r="E24" s="81">
        <f t="shared" ref="E24:G24" si="2">$C$24*D10</f>
        <v>30.006858710562412</v>
      </c>
      <c r="F24" s="81">
        <f t="shared" si="2"/>
        <v>21.43347050754458</v>
      </c>
      <c r="G24" s="81">
        <f t="shared" si="2"/>
        <v>21.43347050754458</v>
      </c>
    </row>
    <row r="25" spans="2:9">
      <c r="B25" s="21" t="s">
        <v>4</v>
      </c>
      <c r="C25" s="83">
        <f>NPV!E6</f>
        <v>0.79383224102016958</v>
      </c>
      <c r="D25" s="81">
        <f>$C$25*C11</f>
        <v>27.784128435705934</v>
      </c>
      <c r="E25" s="81">
        <f t="shared" ref="E25:G25" si="3">$C$25*D11</f>
        <v>31.753289640806784</v>
      </c>
      <c r="F25" s="81">
        <f t="shared" si="3"/>
        <v>23.814967230605088</v>
      </c>
      <c r="G25" s="81">
        <f t="shared" si="3"/>
        <v>23.814967230605088</v>
      </c>
    </row>
    <row r="26" spans="2:9">
      <c r="B26" s="21" t="s">
        <v>5</v>
      </c>
      <c r="C26" s="83">
        <f>NPV!E7</f>
        <v>0.73502985279645328</v>
      </c>
      <c r="D26" s="81">
        <f>$C$26*C12</f>
        <v>29.401194111858132</v>
      </c>
      <c r="E26" s="81">
        <f t="shared" ref="E26:G26" si="4">$C$26*D12</f>
        <v>36.751492639822665</v>
      </c>
      <c r="F26" s="81">
        <f t="shared" si="4"/>
        <v>25.726044847875865</v>
      </c>
      <c r="G26" s="81">
        <f t="shared" si="4"/>
        <v>40.426641903804928</v>
      </c>
    </row>
    <row r="27" spans="2:9">
      <c r="B27" s="21" t="s">
        <v>120</v>
      </c>
      <c r="C27" s="83">
        <f>NPV!E8</f>
        <v>0.73502985279645328</v>
      </c>
      <c r="D27" s="81">
        <f>$C$27*C13</f>
        <v>0</v>
      </c>
      <c r="E27" s="81">
        <f t="shared" ref="E27:G27" si="5">$C$27*D13</f>
        <v>14.700597055929066</v>
      </c>
      <c r="F27" s="81">
        <f t="shared" si="5"/>
        <v>0</v>
      </c>
      <c r="G27" s="81">
        <f t="shared" si="5"/>
        <v>11.025447791946799</v>
      </c>
    </row>
    <row r="28" spans="2:9">
      <c r="C28" s="21" t="s">
        <v>12</v>
      </c>
      <c r="D28" s="78">
        <f>SUM(D22:D27)</f>
        <v>16.424005675136083</v>
      </c>
      <c r="E28" s="78">
        <f t="shared" ref="E28:G28" si="6">SUM(E22:E27)</f>
        <v>31.730756565639446</v>
      </c>
      <c r="F28" s="78">
        <f t="shared" si="6"/>
        <v>-5.8773692658263101</v>
      </c>
      <c r="G28" s="78">
        <f t="shared" si="6"/>
        <v>20.589416322790285</v>
      </c>
      <c r="H28" t="s">
        <v>46</v>
      </c>
    </row>
    <row r="29" spans="2:9">
      <c r="C29" s="21" t="s">
        <v>15</v>
      </c>
      <c r="D29" s="37">
        <f>SUM(D23:D27)</f>
        <v>101.42400567513609</v>
      </c>
      <c r="E29" s="37">
        <f t="shared" ref="E29:F29" si="7">SUM(E23:E27)</f>
        <v>131.73075656563947</v>
      </c>
      <c r="F29" s="37">
        <f t="shared" si="7"/>
        <v>94.122630734173683</v>
      </c>
      <c r="G29" s="37">
        <f>SUM(G23:G27)</f>
        <v>110.58941632279029</v>
      </c>
      <c r="H29" t="s">
        <v>47</v>
      </c>
    </row>
    <row r="30" spans="2:9">
      <c r="C30" s="21" t="s">
        <v>14</v>
      </c>
      <c r="D30" s="23">
        <f>D28/-D22</f>
        <v>0.19322359617807155</v>
      </c>
      <c r="E30" s="23">
        <f t="shared" ref="E30:G30" si="8">E28/-E22</f>
        <v>0.31730756565639445</v>
      </c>
      <c r="F30" s="23">
        <f t="shared" si="8"/>
        <v>-5.8773692658263099E-2</v>
      </c>
      <c r="G30" s="23">
        <f t="shared" si="8"/>
        <v>0.22877129247544761</v>
      </c>
      <c r="H30" s="11" t="s">
        <v>85</v>
      </c>
    </row>
    <row r="31" spans="2:9">
      <c r="C31" s="21" t="s">
        <v>13</v>
      </c>
      <c r="D31" s="23">
        <f>D29/-D22</f>
        <v>1.1932235961780715</v>
      </c>
      <c r="E31" s="23">
        <f t="shared" ref="E31:G31" si="9">E29/-E22</f>
        <v>1.3173075656563946</v>
      </c>
      <c r="F31" s="23">
        <f t="shared" si="9"/>
        <v>0.94122630734173685</v>
      </c>
      <c r="G31" s="23">
        <f t="shared" si="9"/>
        <v>1.2287712924754477</v>
      </c>
      <c r="H31" s="11" t="s">
        <v>88</v>
      </c>
    </row>
    <row r="32" spans="2:9">
      <c r="C32" s="21" t="s">
        <v>16</v>
      </c>
      <c r="D32" s="79">
        <v>3</v>
      </c>
      <c r="E32" s="30">
        <v>1</v>
      </c>
      <c r="F32" s="79" t="s">
        <v>86</v>
      </c>
      <c r="G32" s="30">
        <v>2</v>
      </c>
      <c r="I32" t="s">
        <v>89</v>
      </c>
    </row>
    <row r="34" spans="2:14">
      <c r="C34" s="28" t="s">
        <v>38</v>
      </c>
      <c r="D34" t="s">
        <v>84</v>
      </c>
    </row>
    <row r="35" spans="2:14">
      <c r="C35" s="22" t="s">
        <v>99</v>
      </c>
      <c r="D35" s="20">
        <v>100</v>
      </c>
      <c r="E35" t="s">
        <v>121</v>
      </c>
    </row>
    <row r="36" spans="2:14">
      <c r="C36" s="22" t="s">
        <v>100</v>
      </c>
      <c r="D36" s="25">
        <f>90*66.67%</f>
        <v>60.003000000000007</v>
      </c>
      <c r="E36" s="95" t="s">
        <v>122</v>
      </c>
    </row>
    <row r="37" spans="2:14">
      <c r="C37" s="22"/>
      <c r="D37" s="20"/>
      <c r="E37" s="20"/>
    </row>
    <row r="38" spans="2:14" ht="12" customHeight="1">
      <c r="L38" s="85"/>
    </row>
    <row r="39" spans="2:14" ht="30">
      <c r="C39" s="85" t="s">
        <v>116</v>
      </c>
      <c r="D39" s="85" t="s">
        <v>17</v>
      </c>
      <c r="E39" s="96" t="s">
        <v>123</v>
      </c>
      <c r="F39" t="s">
        <v>18</v>
      </c>
      <c r="K39" s="85"/>
      <c r="L39" s="86"/>
      <c r="M39" s="87"/>
      <c r="N39" s="24"/>
    </row>
    <row r="40" spans="2:14">
      <c r="C40" s="20">
        <v>2</v>
      </c>
      <c r="D40" s="24">
        <f>E28</f>
        <v>31.730756565639446</v>
      </c>
      <c r="E40" s="99">
        <v>1</v>
      </c>
      <c r="F40" s="31">
        <f>D40*E40</f>
        <v>31.730756565639446</v>
      </c>
      <c r="G40" s="51" t="s">
        <v>101</v>
      </c>
      <c r="K40" s="23"/>
      <c r="L40" s="25"/>
      <c r="M40" s="23"/>
    </row>
    <row r="41" spans="2:14" ht="15.75" thickBot="1">
      <c r="C41" s="20">
        <v>4</v>
      </c>
      <c r="D41" s="24">
        <f>G28</f>
        <v>20.589416322790285</v>
      </c>
      <c r="E41" s="100">
        <v>0.66669999999999996</v>
      </c>
      <c r="F41" s="31">
        <f>D41*E41</f>
        <v>13.726963862404283</v>
      </c>
      <c r="G41" s="51" t="s">
        <v>102</v>
      </c>
      <c r="K41" s="23"/>
      <c r="L41" s="20"/>
      <c r="M41" s="23"/>
    </row>
    <row r="42" spans="2:14" ht="15.75" thickBot="1">
      <c r="F42" s="97">
        <f>SUM(F40:F41)</f>
        <v>45.457720428043729</v>
      </c>
      <c r="G42" s="29" t="s">
        <v>118</v>
      </c>
      <c r="M42" s="23"/>
    </row>
    <row r="43" spans="2:14">
      <c r="B43" t="s">
        <v>125</v>
      </c>
      <c r="G43" s="29"/>
      <c r="M43" s="23"/>
    </row>
    <row r="44" spans="2:14">
      <c r="B44" t="s">
        <v>124</v>
      </c>
      <c r="F44" s="98"/>
      <c r="G44" s="29"/>
      <c r="M44" s="23"/>
    </row>
    <row r="45" spans="2:14" ht="30.75" customHeight="1">
      <c r="B45" s="103" t="s">
        <v>119</v>
      </c>
      <c r="C45" s="103"/>
      <c r="D45" s="103"/>
      <c r="E45" s="103"/>
      <c r="F45" s="103"/>
      <c r="G45" s="103"/>
      <c r="H45" s="103"/>
      <c r="I45" s="103"/>
      <c r="J45" s="103"/>
    </row>
    <row r="46" spans="2:14" ht="15" customHeight="1">
      <c r="B46" s="39"/>
      <c r="C46" s="39"/>
      <c r="D46" s="39"/>
      <c r="E46" s="39"/>
      <c r="F46" s="39"/>
      <c r="G46" s="39"/>
      <c r="H46" s="39"/>
      <c r="I46" s="39"/>
      <c r="J46" s="39"/>
    </row>
    <row r="47" spans="2:14" ht="29.25" customHeight="1">
      <c r="B47" s="103" t="s">
        <v>103</v>
      </c>
      <c r="C47" s="103"/>
      <c r="D47" s="103"/>
      <c r="E47" s="103"/>
      <c r="F47" s="103"/>
      <c r="G47" s="103"/>
      <c r="H47" s="103"/>
      <c r="I47" s="103"/>
      <c r="J47" s="103"/>
    </row>
  </sheetData>
  <mergeCells count="3">
    <mergeCell ref="B45:J45"/>
    <mergeCell ref="B47:J47"/>
    <mergeCell ref="B5:B6"/>
  </mergeCells>
  <pageMargins left="0.39370078740157483" right="0.39370078740157483" top="0.39370078740157483" bottom="0.39370078740157483" header="0.31496062992125984" footer="0.31496062992125984"/>
  <pageSetup scale="72" orientation="landscape" r:id="rId1"/>
  <headerFooter>
    <oddFooter>&amp;C&amp;F      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BK27"/>
  <sheetViews>
    <sheetView zoomScaleNormal="100" workbookViewId="0">
      <selection activeCell="I3" sqref="I3"/>
    </sheetView>
  </sheetViews>
  <sheetFormatPr defaultRowHeight="12"/>
  <cols>
    <col min="1" max="1" width="6.140625" style="59" bestFit="1" customWidth="1"/>
    <col min="2" max="10" width="7" style="59" bestFit="1" customWidth="1"/>
    <col min="11" max="21" width="6" style="59" bestFit="1" customWidth="1"/>
    <col min="22" max="16384" width="9.140625" style="59"/>
  </cols>
  <sheetData>
    <row r="1" spans="1:63" s="54" customFormat="1" ht="20.25">
      <c r="A1" s="104" t="s">
        <v>50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6"/>
    </row>
    <row r="2" spans="1:63">
      <c r="A2" s="55" t="s">
        <v>51</v>
      </c>
      <c r="B2" s="56">
        <v>0.01</v>
      </c>
      <c r="C2" s="56">
        <v>0.02</v>
      </c>
      <c r="D2" s="56">
        <v>0.03</v>
      </c>
      <c r="E2" s="56">
        <v>0.04</v>
      </c>
      <c r="F2" s="57">
        <v>0.05</v>
      </c>
      <c r="G2" s="56">
        <v>0.06</v>
      </c>
      <c r="H2" s="56">
        <v>7.0000000000000007E-2</v>
      </c>
      <c r="I2" s="56">
        <v>0.08</v>
      </c>
      <c r="J2" s="56">
        <v>0.09</v>
      </c>
      <c r="K2" s="57">
        <v>0.1</v>
      </c>
      <c r="L2" s="56">
        <v>0.11</v>
      </c>
      <c r="M2" s="56">
        <v>0.12</v>
      </c>
      <c r="N2" s="56">
        <v>0.13</v>
      </c>
      <c r="O2" s="56">
        <v>0.14000000000000001</v>
      </c>
      <c r="P2" s="57">
        <v>0.15</v>
      </c>
      <c r="Q2" s="56">
        <v>0.16</v>
      </c>
      <c r="R2" s="56">
        <v>0.17</v>
      </c>
      <c r="S2" s="56">
        <v>0.18</v>
      </c>
      <c r="T2" s="56">
        <v>0.19</v>
      </c>
      <c r="U2" s="57">
        <v>0.2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</row>
    <row r="3" spans="1:63">
      <c r="A3" s="60">
        <v>1</v>
      </c>
      <c r="B3" s="61">
        <f t="shared" ref="B3:Q18" si="0">1/(1+B$2)^$A3</f>
        <v>0.99009900990099009</v>
      </c>
      <c r="C3" s="61">
        <f t="shared" si="0"/>
        <v>0.98039215686274506</v>
      </c>
      <c r="D3" s="61">
        <f t="shared" si="0"/>
        <v>0.970873786407767</v>
      </c>
      <c r="E3" s="61">
        <f t="shared" si="0"/>
        <v>0.96153846153846145</v>
      </c>
      <c r="F3" s="62">
        <f t="shared" si="0"/>
        <v>0.95238095238095233</v>
      </c>
      <c r="G3" s="61">
        <f t="shared" si="0"/>
        <v>0.94339622641509424</v>
      </c>
      <c r="H3" s="61">
        <f t="shared" si="0"/>
        <v>0.93457943925233644</v>
      </c>
      <c r="I3" s="61">
        <f t="shared" si="0"/>
        <v>0.92592592592592582</v>
      </c>
      <c r="J3" s="61">
        <f t="shared" si="0"/>
        <v>0.9174311926605504</v>
      </c>
      <c r="K3" s="62">
        <f t="shared" si="0"/>
        <v>0.90909090909090906</v>
      </c>
      <c r="L3" s="61">
        <f t="shared" si="0"/>
        <v>0.9009009009009008</v>
      </c>
      <c r="M3" s="61">
        <f t="shared" si="0"/>
        <v>0.89285714285714279</v>
      </c>
      <c r="N3" s="61">
        <f t="shared" si="0"/>
        <v>0.88495575221238942</v>
      </c>
      <c r="O3" s="61">
        <f t="shared" si="0"/>
        <v>0.8771929824561403</v>
      </c>
      <c r="P3" s="62">
        <f t="shared" si="0"/>
        <v>0.86956521739130443</v>
      </c>
      <c r="Q3" s="61">
        <f t="shared" si="0"/>
        <v>0.86206896551724144</v>
      </c>
      <c r="R3" s="61">
        <f t="shared" ref="R3:U17" si="1">1/(1+R$2)^$A3</f>
        <v>0.85470085470085477</v>
      </c>
      <c r="S3" s="61">
        <f t="shared" si="1"/>
        <v>0.84745762711864414</v>
      </c>
      <c r="T3" s="61">
        <f t="shared" si="1"/>
        <v>0.84033613445378152</v>
      </c>
      <c r="U3" s="62">
        <f t="shared" si="1"/>
        <v>0.83333333333333337</v>
      </c>
    </row>
    <row r="4" spans="1:63">
      <c r="A4" s="60">
        <v>2</v>
      </c>
      <c r="B4" s="61">
        <f t="shared" si="0"/>
        <v>0.98029604940692083</v>
      </c>
      <c r="C4" s="61">
        <f t="shared" si="0"/>
        <v>0.96116878123798544</v>
      </c>
      <c r="D4" s="61">
        <f t="shared" si="0"/>
        <v>0.94259590913375435</v>
      </c>
      <c r="E4" s="61">
        <f t="shared" si="0"/>
        <v>0.92455621301775137</v>
      </c>
      <c r="F4" s="62">
        <f t="shared" si="0"/>
        <v>0.90702947845804982</v>
      </c>
      <c r="G4" s="61">
        <f t="shared" si="0"/>
        <v>0.88999644001423983</v>
      </c>
      <c r="H4" s="61">
        <f t="shared" si="0"/>
        <v>0.87343872827321156</v>
      </c>
      <c r="I4" s="61">
        <f t="shared" si="0"/>
        <v>0.85733882030178321</v>
      </c>
      <c r="J4" s="61">
        <f t="shared" si="0"/>
        <v>0.84167999326655996</v>
      </c>
      <c r="K4" s="62">
        <f t="shared" si="0"/>
        <v>0.82644628099173545</v>
      </c>
      <c r="L4" s="61">
        <f t="shared" si="0"/>
        <v>0.8116224332440547</v>
      </c>
      <c r="M4" s="61">
        <f t="shared" si="0"/>
        <v>0.79719387755102034</v>
      </c>
      <c r="N4" s="61">
        <f t="shared" si="0"/>
        <v>0.78314668337379612</v>
      </c>
      <c r="O4" s="61">
        <f t="shared" si="0"/>
        <v>0.76946752847029842</v>
      </c>
      <c r="P4" s="62">
        <f t="shared" si="0"/>
        <v>0.7561436672967865</v>
      </c>
      <c r="Q4" s="61">
        <f t="shared" si="0"/>
        <v>0.74316290130796681</v>
      </c>
      <c r="R4" s="61">
        <f t="shared" si="1"/>
        <v>0.73051355102637161</v>
      </c>
      <c r="S4" s="61">
        <f t="shared" si="1"/>
        <v>0.71818442976156283</v>
      </c>
      <c r="T4" s="61">
        <f t="shared" si="1"/>
        <v>0.70616481886872395</v>
      </c>
      <c r="U4" s="62">
        <f t="shared" si="1"/>
        <v>0.69444444444444442</v>
      </c>
    </row>
    <row r="5" spans="1:63">
      <c r="A5" s="60">
        <v>3</v>
      </c>
      <c r="B5" s="61">
        <f t="shared" si="0"/>
        <v>0.97059014792764453</v>
      </c>
      <c r="C5" s="61">
        <f t="shared" si="0"/>
        <v>0.94232233454704462</v>
      </c>
      <c r="D5" s="61">
        <f t="shared" si="0"/>
        <v>0.91514165935315961</v>
      </c>
      <c r="E5" s="61">
        <f t="shared" si="0"/>
        <v>0.88899635867091487</v>
      </c>
      <c r="F5" s="62">
        <f t="shared" si="0"/>
        <v>0.86383759853147601</v>
      </c>
      <c r="G5" s="61">
        <f t="shared" si="0"/>
        <v>0.8396192830323016</v>
      </c>
      <c r="H5" s="61">
        <f t="shared" si="0"/>
        <v>0.81629787689085187</v>
      </c>
      <c r="I5" s="61">
        <f t="shared" si="0"/>
        <v>0.79383224102016958</v>
      </c>
      <c r="J5" s="61">
        <f t="shared" si="0"/>
        <v>0.77218348006106419</v>
      </c>
      <c r="K5" s="62">
        <f t="shared" si="0"/>
        <v>0.75131480090157754</v>
      </c>
      <c r="L5" s="61">
        <f t="shared" si="0"/>
        <v>0.73119138130095018</v>
      </c>
      <c r="M5" s="61">
        <f t="shared" si="0"/>
        <v>0.71178024781341087</v>
      </c>
      <c r="N5" s="61">
        <f t="shared" si="0"/>
        <v>0.69305016227769578</v>
      </c>
      <c r="O5" s="61">
        <f t="shared" si="0"/>
        <v>0.67497151620201612</v>
      </c>
      <c r="P5" s="62">
        <f t="shared" si="0"/>
        <v>0.65751623243198831</v>
      </c>
      <c r="Q5" s="61">
        <f t="shared" si="0"/>
        <v>0.64065767354135073</v>
      </c>
      <c r="R5" s="61">
        <f t="shared" si="1"/>
        <v>0.62437055643279626</v>
      </c>
      <c r="S5" s="61">
        <f t="shared" si="1"/>
        <v>0.6086308726792905</v>
      </c>
      <c r="T5" s="61">
        <f t="shared" si="1"/>
        <v>0.59341581417539835</v>
      </c>
      <c r="U5" s="62">
        <f t="shared" si="1"/>
        <v>0.57870370370370372</v>
      </c>
    </row>
    <row r="6" spans="1:63">
      <c r="A6" s="60">
        <v>4</v>
      </c>
      <c r="B6" s="61">
        <f t="shared" si="0"/>
        <v>0.96098034448281622</v>
      </c>
      <c r="C6" s="61">
        <f t="shared" si="0"/>
        <v>0.9238454260265142</v>
      </c>
      <c r="D6" s="61">
        <f t="shared" si="0"/>
        <v>0.888487047915689</v>
      </c>
      <c r="E6" s="61">
        <f t="shared" si="0"/>
        <v>0.85480419102972571</v>
      </c>
      <c r="F6" s="62">
        <f t="shared" si="0"/>
        <v>0.82270247479188197</v>
      </c>
      <c r="G6" s="61">
        <f t="shared" si="0"/>
        <v>0.79209366323802044</v>
      </c>
      <c r="H6" s="61">
        <f t="shared" si="0"/>
        <v>0.7628952120475252</v>
      </c>
      <c r="I6" s="61">
        <f t="shared" si="0"/>
        <v>0.73502985279645328</v>
      </c>
      <c r="J6" s="61">
        <f t="shared" si="0"/>
        <v>0.7084252110651964</v>
      </c>
      <c r="K6" s="62">
        <f t="shared" si="0"/>
        <v>0.68301345536507052</v>
      </c>
      <c r="L6" s="61">
        <f t="shared" si="0"/>
        <v>0.65873097414500015</v>
      </c>
      <c r="M6" s="61">
        <f t="shared" si="0"/>
        <v>0.63551807840483121</v>
      </c>
      <c r="N6" s="61">
        <f t="shared" si="0"/>
        <v>0.61331872767937679</v>
      </c>
      <c r="O6" s="61">
        <f t="shared" si="0"/>
        <v>0.59208027737018942</v>
      </c>
      <c r="P6" s="62">
        <f t="shared" si="0"/>
        <v>0.57175324559303342</v>
      </c>
      <c r="Q6" s="61">
        <f t="shared" si="0"/>
        <v>0.5522910978804747</v>
      </c>
      <c r="R6" s="61">
        <f t="shared" si="1"/>
        <v>0.53365004823315931</v>
      </c>
      <c r="S6" s="61">
        <f t="shared" si="1"/>
        <v>0.51578887515194116</v>
      </c>
      <c r="T6" s="61">
        <f t="shared" si="1"/>
        <v>0.49866875140789779</v>
      </c>
      <c r="U6" s="62">
        <f t="shared" si="1"/>
        <v>0.48225308641975312</v>
      </c>
    </row>
    <row r="7" spans="1:63">
      <c r="A7" s="55">
        <v>5</v>
      </c>
      <c r="B7" s="63">
        <f t="shared" si="0"/>
        <v>0.95146568760674888</v>
      </c>
      <c r="C7" s="63">
        <f t="shared" si="0"/>
        <v>0.90573080982991594</v>
      </c>
      <c r="D7" s="63">
        <f t="shared" si="0"/>
        <v>0.86260878438416411</v>
      </c>
      <c r="E7" s="63">
        <f t="shared" si="0"/>
        <v>0.82192710675935154</v>
      </c>
      <c r="F7" s="64">
        <f t="shared" si="0"/>
        <v>0.78352616646845896</v>
      </c>
      <c r="G7" s="63">
        <f t="shared" si="0"/>
        <v>0.74725817286605689</v>
      </c>
      <c r="H7" s="63">
        <f t="shared" si="0"/>
        <v>0.71298617948366838</v>
      </c>
      <c r="I7" s="63">
        <f t="shared" si="0"/>
        <v>0.68058319703375303</v>
      </c>
      <c r="J7" s="63">
        <f t="shared" si="0"/>
        <v>0.64993138629834524</v>
      </c>
      <c r="K7" s="64">
        <f t="shared" si="0"/>
        <v>0.62092132305915493</v>
      </c>
      <c r="L7" s="63">
        <f t="shared" si="0"/>
        <v>0.5934513280585586</v>
      </c>
      <c r="M7" s="63">
        <f t="shared" si="0"/>
        <v>0.56742685571859919</v>
      </c>
      <c r="N7" s="63">
        <f t="shared" si="0"/>
        <v>0.54275993599944861</v>
      </c>
      <c r="O7" s="63">
        <f t="shared" si="0"/>
        <v>0.51936866435981521</v>
      </c>
      <c r="P7" s="64">
        <f t="shared" si="0"/>
        <v>0.49717673529828987</v>
      </c>
      <c r="Q7" s="63">
        <f t="shared" si="0"/>
        <v>0.47611301541420237</v>
      </c>
      <c r="R7" s="63">
        <f t="shared" si="1"/>
        <v>0.45611115233603361</v>
      </c>
      <c r="S7" s="63">
        <f t="shared" si="1"/>
        <v>0.43710921623045873</v>
      </c>
      <c r="T7" s="63">
        <f t="shared" si="1"/>
        <v>0.41904937093100653</v>
      </c>
      <c r="U7" s="64">
        <f t="shared" si="1"/>
        <v>0.4018775720164609</v>
      </c>
    </row>
    <row r="8" spans="1:63">
      <c r="A8" s="60">
        <v>6</v>
      </c>
      <c r="B8" s="61">
        <f t="shared" si="0"/>
        <v>0.94204523525420658</v>
      </c>
      <c r="C8" s="61">
        <f t="shared" si="0"/>
        <v>0.88797138218619198</v>
      </c>
      <c r="D8" s="61">
        <f t="shared" si="0"/>
        <v>0.83748425668365445</v>
      </c>
      <c r="E8" s="61">
        <f t="shared" si="0"/>
        <v>0.79031452573014571</v>
      </c>
      <c r="F8" s="62">
        <f t="shared" si="0"/>
        <v>0.74621539663662761</v>
      </c>
      <c r="G8" s="61">
        <f t="shared" si="0"/>
        <v>0.70496054043967626</v>
      </c>
      <c r="H8" s="61">
        <f t="shared" si="0"/>
        <v>0.66634222381651254</v>
      </c>
      <c r="I8" s="61">
        <f t="shared" si="0"/>
        <v>0.63016962688310452</v>
      </c>
      <c r="J8" s="61">
        <f t="shared" si="0"/>
        <v>0.5962673268792158</v>
      </c>
      <c r="K8" s="62">
        <f t="shared" si="0"/>
        <v>0.56447393005377722</v>
      </c>
      <c r="L8" s="61">
        <f t="shared" si="0"/>
        <v>0.53464083608879154</v>
      </c>
      <c r="M8" s="61">
        <f t="shared" si="0"/>
        <v>0.50663112117732068</v>
      </c>
      <c r="N8" s="61">
        <f t="shared" si="0"/>
        <v>0.48031852743314046</v>
      </c>
      <c r="O8" s="61">
        <f t="shared" si="0"/>
        <v>0.45558654768404844</v>
      </c>
      <c r="P8" s="62">
        <f t="shared" si="0"/>
        <v>0.43232759591155645</v>
      </c>
      <c r="Q8" s="61">
        <f t="shared" si="0"/>
        <v>0.41044225466741585</v>
      </c>
      <c r="R8" s="61">
        <f t="shared" si="1"/>
        <v>0.38983859174019969</v>
      </c>
      <c r="S8" s="61">
        <f t="shared" si="1"/>
        <v>0.37043153917835481</v>
      </c>
      <c r="T8" s="61">
        <f t="shared" si="1"/>
        <v>0.3521423285134509</v>
      </c>
      <c r="U8" s="62">
        <f t="shared" si="1"/>
        <v>0.33489797668038412</v>
      </c>
    </row>
    <row r="9" spans="1:63">
      <c r="A9" s="60">
        <v>7</v>
      </c>
      <c r="B9" s="61">
        <f t="shared" si="0"/>
        <v>0.93271805470713554</v>
      </c>
      <c r="C9" s="61">
        <f t="shared" si="0"/>
        <v>0.87056017861391388</v>
      </c>
      <c r="D9" s="61">
        <f t="shared" si="0"/>
        <v>0.81309151134335378</v>
      </c>
      <c r="E9" s="61">
        <f t="shared" si="0"/>
        <v>0.75991781320206331</v>
      </c>
      <c r="F9" s="62">
        <f t="shared" si="0"/>
        <v>0.71068133013012147</v>
      </c>
      <c r="G9" s="61">
        <f t="shared" si="0"/>
        <v>0.66505711362233599</v>
      </c>
      <c r="H9" s="61">
        <f t="shared" si="0"/>
        <v>0.62274974188459109</v>
      </c>
      <c r="I9" s="61">
        <f t="shared" si="0"/>
        <v>0.58349039526213387</v>
      </c>
      <c r="J9" s="61">
        <f t="shared" si="0"/>
        <v>0.54703424484331731</v>
      </c>
      <c r="K9" s="62">
        <f t="shared" si="0"/>
        <v>0.51315811823070645</v>
      </c>
      <c r="L9" s="61">
        <f t="shared" si="0"/>
        <v>0.48165841089080319</v>
      </c>
      <c r="M9" s="61">
        <f t="shared" si="0"/>
        <v>0.45234921533689343</v>
      </c>
      <c r="N9" s="61">
        <f t="shared" si="0"/>
        <v>0.425060643746142</v>
      </c>
      <c r="O9" s="61">
        <f t="shared" si="0"/>
        <v>0.39963732252986695</v>
      </c>
      <c r="P9" s="62">
        <f t="shared" si="0"/>
        <v>0.37593703992309269</v>
      </c>
      <c r="Q9" s="61">
        <f t="shared" si="0"/>
        <v>0.35382952988570338</v>
      </c>
      <c r="R9" s="61">
        <f t="shared" si="1"/>
        <v>0.33319537755572626</v>
      </c>
      <c r="S9" s="61">
        <f t="shared" si="1"/>
        <v>0.31392503320199561</v>
      </c>
      <c r="T9" s="61">
        <f t="shared" si="1"/>
        <v>0.29591792312054699</v>
      </c>
      <c r="U9" s="62">
        <f t="shared" si="1"/>
        <v>0.27908164723365342</v>
      </c>
    </row>
    <row r="10" spans="1:63">
      <c r="A10" s="60">
        <v>8</v>
      </c>
      <c r="B10" s="61">
        <f t="shared" si="0"/>
        <v>0.92348322248231218</v>
      </c>
      <c r="C10" s="61">
        <f t="shared" si="0"/>
        <v>0.85349037119011162</v>
      </c>
      <c r="D10" s="61">
        <f t="shared" si="0"/>
        <v>0.78940923431393573</v>
      </c>
      <c r="E10" s="61">
        <f t="shared" si="0"/>
        <v>0.73069020500198378</v>
      </c>
      <c r="F10" s="62">
        <f t="shared" si="0"/>
        <v>0.67683936202868722</v>
      </c>
      <c r="G10" s="61">
        <f t="shared" si="0"/>
        <v>0.62741237134182648</v>
      </c>
      <c r="H10" s="61">
        <f t="shared" si="0"/>
        <v>0.5820091045650384</v>
      </c>
      <c r="I10" s="61">
        <f t="shared" si="0"/>
        <v>0.54026888450197574</v>
      </c>
      <c r="J10" s="61">
        <f t="shared" si="0"/>
        <v>0.50186627967276809</v>
      </c>
      <c r="K10" s="62">
        <f t="shared" si="0"/>
        <v>0.46650738020973315</v>
      </c>
      <c r="L10" s="61">
        <f t="shared" si="0"/>
        <v>0.43392649629802077</v>
      </c>
      <c r="M10" s="61">
        <f t="shared" si="0"/>
        <v>0.4038832279793691</v>
      </c>
      <c r="N10" s="61">
        <f t="shared" si="0"/>
        <v>0.37615986172224958</v>
      </c>
      <c r="O10" s="61">
        <f t="shared" si="0"/>
        <v>0.35055905485076044</v>
      </c>
      <c r="P10" s="62">
        <f t="shared" si="0"/>
        <v>0.32690177384616753</v>
      </c>
      <c r="Q10" s="61">
        <f t="shared" si="0"/>
        <v>0.30502545679802012</v>
      </c>
      <c r="R10" s="61">
        <f t="shared" si="1"/>
        <v>0.28478237397925327</v>
      </c>
      <c r="S10" s="61">
        <f t="shared" si="1"/>
        <v>0.26603816373050476</v>
      </c>
      <c r="T10" s="61">
        <f t="shared" si="1"/>
        <v>0.24867052363071171</v>
      </c>
      <c r="U10" s="62">
        <f t="shared" si="1"/>
        <v>0.23256803936137788</v>
      </c>
    </row>
    <row r="11" spans="1:63">
      <c r="A11" s="60">
        <v>9</v>
      </c>
      <c r="B11" s="61">
        <f t="shared" si="0"/>
        <v>0.91433982423991289</v>
      </c>
      <c r="C11" s="61">
        <f t="shared" si="0"/>
        <v>0.83675526587265847</v>
      </c>
      <c r="D11" s="61">
        <f t="shared" si="0"/>
        <v>0.76641673234362695</v>
      </c>
      <c r="E11" s="61">
        <f t="shared" si="0"/>
        <v>0.70258673557883045</v>
      </c>
      <c r="F11" s="62">
        <f t="shared" si="0"/>
        <v>0.64460891621779726</v>
      </c>
      <c r="G11" s="61">
        <f t="shared" si="0"/>
        <v>0.59189846353002495</v>
      </c>
      <c r="H11" s="61">
        <f t="shared" si="0"/>
        <v>0.54393374258414806</v>
      </c>
      <c r="I11" s="61">
        <f t="shared" si="0"/>
        <v>0.50024896713145905</v>
      </c>
      <c r="J11" s="61">
        <f t="shared" si="0"/>
        <v>0.46042777951630098</v>
      </c>
      <c r="K11" s="62">
        <f t="shared" si="0"/>
        <v>0.42409761837248466</v>
      </c>
      <c r="L11" s="61">
        <f t="shared" si="0"/>
        <v>0.39092477143965831</v>
      </c>
      <c r="M11" s="61">
        <f t="shared" si="0"/>
        <v>0.36061002498157957</v>
      </c>
      <c r="N11" s="61">
        <f t="shared" si="0"/>
        <v>0.33288483338252178</v>
      </c>
      <c r="O11" s="61">
        <f t="shared" si="0"/>
        <v>0.3075079428515442</v>
      </c>
      <c r="P11" s="62">
        <f t="shared" si="0"/>
        <v>0.28426241204014574</v>
      </c>
      <c r="Q11" s="61">
        <f t="shared" si="0"/>
        <v>0.26295297999829326</v>
      </c>
      <c r="R11" s="61">
        <f t="shared" si="1"/>
        <v>0.24340373844380622</v>
      </c>
      <c r="S11" s="61">
        <f t="shared" si="1"/>
        <v>0.22545607095805489</v>
      </c>
      <c r="T11" s="61">
        <f t="shared" si="1"/>
        <v>0.20896682658043003</v>
      </c>
      <c r="U11" s="62">
        <f t="shared" si="1"/>
        <v>0.1938066994678149</v>
      </c>
    </row>
    <row r="12" spans="1:63">
      <c r="A12" s="55">
        <v>10</v>
      </c>
      <c r="B12" s="63">
        <f t="shared" si="0"/>
        <v>0.90528695469298315</v>
      </c>
      <c r="C12" s="63">
        <f t="shared" si="0"/>
        <v>0.82034829987515534</v>
      </c>
      <c r="D12" s="63">
        <f t="shared" si="0"/>
        <v>0.74409391489672516</v>
      </c>
      <c r="E12" s="63">
        <f t="shared" si="0"/>
        <v>0.67556416882579851</v>
      </c>
      <c r="F12" s="64">
        <f t="shared" si="0"/>
        <v>0.61391325354075932</v>
      </c>
      <c r="G12" s="63">
        <f t="shared" si="0"/>
        <v>0.55839477691511785</v>
      </c>
      <c r="H12" s="63">
        <f t="shared" si="0"/>
        <v>0.5083492921347178</v>
      </c>
      <c r="I12" s="63">
        <f t="shared" si="0"/>
        <v>0.46319348808468425</v>
      </c>
      <c r="J12" s="63">
        <f t="shared" si="0"/>
        <v>0.42241080689568894</v>
      </c>
      <c r="K12" s="64">
        <f t="shared" si="0"/>
        <v>0.38554328942953148</v>
      </c>
      <c r="L12" s="63">
        <f t="shared" si="0"/>
        <v>0.3521844787744669</v>
      </c>
      <c r="M12" s="63">
        <f t="shared" si="0"/>
        <v>0.32197323659069599</v>
      </c>
      <c r="N12" s="63">
        <f t="shared" si="0"/>
        <v>0.2945883481261255</v>
      </c>
      <c r="O12" s="63">
        <f t="shared" si="0"/>
        <v>0.26974380951889843</v>
      </c>
      <c r="P12" s="64">
        <f t="shared" si="0"/>
        <v>0.24718470612186585</v>
      </c>
      <c r="Q12" s="63">
        <f t="shared" si="0"/>
        <v>0.22668360344680452</v>
      </c>
      <c r="R12" s="63">
        <f t="shared" si="1"/>
        <v>0.20803738328530447</v>
      </c>
      <c r="S12" s="63">
        <f t="shared" si="1"/>
        <v>0.19106446691360587</v>
      </c>
      <c r="T12" s="63">
        <f t="shared" si="1"/>
        <v>0.17560237527767228</v>
      </c>
      <c r="U12" s="64">
        <f t="shared" si="1"/>
        <v>0.16150558288984573</v>
      </c>
    </row>
    <row r="13" spans="1:63">
      <c r="A13" s="60">
        <v>11</v>
      </c>
      <c r="B13" s="61">
        <f t="shared" si="0"/>
        <v>0.89632371751780526</v>
      </c>
      <c r="C13" s="61">
        <f t="shared" si="0"/>
        <v>0.80426303909328967</v>
      </c>
      <c r="D13" s="61">
        <f t="shared" si="0"/>
        <v>0.72242127659876232</v>
      </c>
      <c r="E13" s="61">
        <f t="shared" si="0"/>
        <v>0.6495809315632679</v>
      </c>
      <c r="F13" s="62">
        <f t="shared" si="0"/>
        <v>0.5846792890864374</v>
      </c>
      <c r="G13" s="61">
        <f t="shared" si="0"/>
        <v>0.52678752539162055</v>
      </c>
      <c r="H13" s="61">
        <f t="shared" si="0"/>
        <v>0.47509279638758667</v>
      </c>
      <c r="I13" s="61">
        <f t="shared" si="0"/>
        <v>0.42888285933767062</v>
      </c>
      <c r="J13" s="61">
        <f t="shared" si="0"/>
        <v>0.38753285036301738</v>
      </c>
      <c r="K13" s="62">
        <f t="shared" si="0"/>
        <v>0.3504938994813922</v>
      </c>
      <c r="L13" s="61">
        <f t="shared" si="0"/>
        <v>0.31728331421123146</v>
      </c>
      <c r="M13" s="61">
        <f t="shared" si="0"/>
        <v>0.28747610409883567</v>
      </c>
      <c r="N13" s="61">
        <f t="shared" si="0"/>
        <v>0.26069765320896066</v>
      </c>
      <c r="O13" s="61">
        <f t="shared" si="0"/>
        <v>0.23661737677096348</v>
      </c>
      <c r="P13" s="62">
        <f t="shared" si="0"/>
        <v>0.21494322271466598</v>
      </c>
      <c r="Q13" s="61">
        <f t="shared" si="0"/>
        <v>0.19541689952310734</v>
      </c>
      <c r="R13" s="61">
        <f t="shared" si="1"/>
        <v>0.17780972930367903</v>
      </c>
      <c r="S13" s="61">
        <f t="shared" si="1"/>
        <v>0.1619190397572931</v>
      </c>
      <c r="T13" s="61">
        <f t="shared" si="1"/>
        <v>0.14756502124174142</v>
      </c>
      <c r="U13" s="62">
        <f t="shared" si="1"/>
        <v>0.13458798574153813</v>
      </c>
    </row>
    <row r="14" spans="1:63">
      <c r="A14" s="60">
        <v>12</v>
      </c>
      <c r="B14" s="61">
        <f t="shared" si="0"/>
        <v>0.88744922526515368</v>
      </c>
      <c r="C14" s="61">
        <f t="shared" si="0"/>
        <v>0.78849317558165644</v>
      </c>
      <c r="D14" s="61">
        <f t="shared" si="0"/>
        <v>0.70137988019297326</v>
      </c>
      <c r="E14" s="61">
        <f t="shared" si="0"/>
        <v>0.62459704958006512</v>
      </c>
      <c r="F14" s="62">
        <f t="shared" si="0"/>
        <v>0.5568374181775595</v>
      </c>
      <c r="G14" s="61">
        <f t="shared" si="0"/>
        <v>0.4969693635770005</v>
      </c>
      <c r="H14" s="61">
        <f t="shared" si="0"/>
        <v>0.44401195924073528</v>
      </c>
      <c r="I14" s="61">
        <f t="shared" si="0"/>
        <v>0.39711375864599124</v>
      </c>
      <c r="J14" s="61">
        <f t="shared" si="0"/>
        <v>0.35553472510368567</v>
      </c>
      <c r="K14" s="62">
        <f t="shared" si="0"/>
        <v>0.31863081771035656</v>
      </c>
      <c r="L14" s="61">
        <f t="shared" si="0"/>
        <v>0.28584082361372198</v>
      </c>
      <c r="M14" s="61">
        <f t="shared" si="0"/>
        <v>0.25667509294538904</v>
      </c>
      <c r="N14" s="61">
        <f t="shared" si="0"/>
        <v>0.23070588779554044</v>
      </c>
      <c r="O14" s="61">
        <f t="shared" si="0"/>
        <v>0.20755910243066969</v>
      </c>
      <c r="P14" s="62">
        <f t="shared" si="0"/>
        <v>0.18690715018666609</v>
      </c>
      <c r="Q14" s="61">
        <f t="shared" si="0"/>
        <v>0.16846284441647186</v>
      </c>
      <c r="R14" s="61">
        <f t="shared" si="1"/>
        <v>0.15197412760998211</v>
      </c>
      <c r="S14" s="61">
        <f t="shared" si="1"/>
        <v>0.13721952521804504</v>
      </c>
      <c r="T14" s="61">
        <f t="shared" si="1"/>
        <v>0.12400421953087515</v>
      </c>
      <c r="U14" s="62">
        <f t="shared" si="1"/>
        <v>0.11215665478461512</v>
      </c>
    </row>
    <row r="15" spans="1:63">
      <c r="A15" s="60">
        <v>13</v>
      </c>
      <c r="B15" s="61">
        <f t="shared" si="0"/>
        <v>0.87866259927242929</v>
      </c>
      <c r="C15" s="61">
        <f t="shared" si="0"/>
        <v>0.77303252508005538</v>
      </c>
      <c r="D15" s="61">
        <f t="shared" si="0"/>
        <v>0.68095133999317792</v>
      </c>
      <c r="E15" s="61">
        <f t="shared" si="0"/>
        <v>0.600574086134678</v>
      </c>
      <c r="F15" s="62">
        <f t="shared" si="0"/>
        <v>0.53032135064529462</v>
      </c>
      <c r="G15" s="61">
        <f t="shared" si="0"/>
        <v>0.46883902224245327</v>
      </c>
      <c r="H15" s="61">
        <f t="shared" si="0"/>
        <v>0.41496444788853759</v>
      </c>
      <c r="I15" s="61">
        <f t="shared" si="0"/>
        <v>0.36769792467221413</v>
      </c>
      <c r="J15" s="61">
        <f t="shared" si="0"/>
        <v>0.32617864688411524</v>
      </c>
      <c r="K15" s="62">
        <f t="shared" si="0"/>
        <v>0.28966437973668779</v>
      </c>
      <c r="L15" s="61">
        <f t="shared" si="0"/>
        <v>0.25751425550785767</v>
      </c>
      <c r="M15" s="61">
        <f t="shared" si="0"/>
        <v>0.22917419012981158</v>
      </c>
      <c r="N15" s="61">
        <f t="shared" si="0"/>
        <v>0.20416450247392959</v>
      </c>
      <c r="O15" s="61">
        <f t="shared" si="0"/>
        <v>0.18206938809707865</v>
      </c>
      <c r="P15" s="62">
        <f t="shared" si="0"/>
        <v>0.16252795668405748</v>
      </c>
      <c r="Q15" s="61">
        <f t="shared" si="0"/>
        <v>0.14522659001419991</v>
      </c>
      <c r="R15" s="61">
        <f t="shared" si="1"/>
        <v>0.12989241676066848</v>
      </c>
      <c r="S15" s="61">
        <f t="shared" si="1"/>
        <v>0.11628773323563139</v>
      </c>
      <c r="T15" s="61">
        <f t="shared" si="1"/>
        <v>0.10420522649653374</v>
      </c>
      <c r="U15" s="62">
        <f t="shared" si="1"/>
        <v>9.3463878987179255E-2</v>
      </c>
    </row>
    <row r="16" spans="1:63">
      <c r="A16" s="60">
        <v>14</v>
      </c>
      <c r="B16" s="61">
        <f t="shared" si="0"/>
        <v>0.86996296957666264</v>
      </c>
      <c r="C16" s="61">
        <f t="shared" si="0"/>
        <v>0.75787502458828948</v>
      </c>
      <c r="D16" s="61">
        <f t="shared" si="0"/>
        <v>0.66111780581861923</v>
      </c>
      <c r="E16" s="61">
        <f t="shared" si="0"/>
        <v>0.57747508282180582</v>
      </c>
      <c r="F16" s="62">
        <f t="shared" si="0"/>
        <v>0.50506795299551888</v>
      </c>
      <c r="G16" s="61">
        <f t="shared" si="0"/>
        <v>0.44230096437967292</v>
      </c>
      <c r="H16" s="61">
        <f t="shared" si="0"/>
        <v>0.3878172410173249</v>
      </c>
      <c r="I16" s="61">
        <f t="shared" si="0"/>
        <v>0.34046104136316119</v>
      </c>
      <c r="J16" s="61">
        <f t="shared" si="0"/>
        <v>0.29924646503129837</v>
      </c>
      <c r="K16" s="62">
        <f t="shared" si="0"/>
        <v>0.26333125430607973</v>
      </c>
      <c r="L16" s="61">
        <f t="shared" si="0"/>
        <v>0.23199482478185374</v>
      </c>
      <c r="M16" s="61">
        <f t="shared" si="0"/>
        <v>0.20461981261590317</v>
      </c>
      <c r="N16" s="61">
        <f t="shared" si="0"/>
        <v>0.18067655086188467</v>
      </c>
      <c r="O16" s="61">
        <f t="shared" si="0"/>
        <v>0.15970998955884091</v>
      </c>
      <c r="P16" s="62">
        <f t="shared" si="0"/>
        <v>0.14132865798613695</v>
      </c>
      <c r="Q16" s="61">
        <f t="shared" si="0"/>
        <v>0.12519533621913784</v>
      </c>
      <c r="R16" s="61">
        <f t="shared" si="1"/>
        <v>0.11101915962450297</v>
      </c>
      <c r="S16" s="61">
        <f t="shared" si="1"/>
        <v>9.8548926470874057E-2</v>
      </c>
      <c r="T16" s="61">
        <f t="shared" si="1"/>
        <v>8.7567417223977942E-2</v>
      </c>
      <c r="U16" s="62">
        <f t="shared" si="1"/>
        <v>7.7886565822649384E-2</v>
      </c>
    </row>
    <row r="17" spans="1:21">
      <c r="A17" s="55">
        <v>15</v>
      </c>
      <c r="B17" s="63">
        <f t="shared" si="0"/>
        <v>0.86134947482837909</v>
      </c>
      <c r="C17" s="63">
        <f t="shared" si="0"/>
        <v>0.74301472998851925</v>
      </c>
      <c r="D17" s="63">
        <f t="shared" si="0"/>
        <v>0.64186194739671765</v>
      </c>
      <c r="E17" s="63">
        <f t="shared" si="0"/>
        <v>0.55526450271327477</v>
      </c>
      <c r="F17" s="64">
        <f t="shared" si="0"/>
        <v>0.48101709809097021</v>
      </c>
      <c r="G17" s="63">
        <f t="shared" si="0"/>
        <v>0.41726506073554037</v>
      </c>
      <c r="H17" s="63">
        <f t="shared" si="0"/>
        <v>0.36244601964235967</v>
      </c>
      <c r="I17" s="63">
        <f t="shared" si="0"/>
        <v>0.31524170496588994</v>
      </c>
      <c r="J17" s="63">
        <f t="shared" si="0"/>
        <v>0.27453804131311776</v>
      </c>
      <c r="K17" s="64">
        <f t="shared" si="0"/>
        <v>0.23939204936916339</v>
      </c>
      <c r="L17" s="63">
        <f t="shared" si="0"/>
        <v>0.2090043466503187</v>
      </c>
      <c r="M17" s="63">
        <f t="shared" si="0"/>
        <v>0.18269626126419927</v>
      </c>
      <c r="N17" s="63">
        <f t="shared" si="0"/>
        <v>0.15989075297511918</v>
      </c>
      <c r="O17" s="63">
        <f t="shared" si="0"/>
        <v>0.1400964820691587</v>
      </c>
      <c r="P17" s="64">
        <f t="shared" si="0"/>
        <v>0.1228944852053365</v>
      </c>
      <c r="Q17" s="63">
        <f t="shared" si="0"/>
        <v>0.10792701398201539</v>
      </c>
      <c r="R17" s="63">
        <f t="shared" si="1"/>
        <v>9.4888170619233325E-2</v>
      </c>
      <c r="S17" s="63">
        <f t="shared" si="1"/>
        <v>8.351603938209666E-2</v>
      </c>
      <c r="T17" s="63">
        <f t="shared" si="1"/>
        <v>7.3586064894099107E-2</v>
      </c>
      <c r="U17" s="64">
        <f t="shared" si="1"/>
        <v>6.4905471518874491E-2</v>
      </c>
    </row>
    <row r="18" spans="1:21">
      <c r="A18" s="60">
        <v>16</v>
      </c>
      <c r="B18" s="61">
        <f t="shared" si="0"/>
        <v>0.8528212622063156</v>
      </c>
      <c r="C18" s="61">
        <f t="shared" si="0"/>
        <v>0.72844581371423445</v>
      </c>
      <c r="D18" s="61">
        <f t="shared" si="0"/>
        <v>0.62316693922011435</v>
      </c>
      <c r="E18" s="61">
        <f t="shared" si="0"/>
        <v>0.53390817568584104</v>
      </c>
      <c r="F18" s="62">
        <f t="shared" si="0"/>
        <v>0.45811152199140021</v>
      </c>
      <c r="G18" s="61">
        <f t="shared" si="0"/>
        <v>0.39364628371277405</v>
      </c>
      <c r="H18" s="61">
        <f t="shared" si="0"/>
        <v>0.33873459779659787</v>
      </c>
      <c r="I18" s="61">
        <f t="shared" si="0"/>
        <v>0.29189046756100923</v>
      </c>
      <c r="J18" s="61">
        <f t="shared" si="0"/>
        <v>0.2518697626725851</v>
      </c>
      <c r="K18" s="62">
        <f t="shared" si="0"/>
        <v>0.21762913579014853</v>
      </c>
      <c r="L18" s="61">
        <f t="shared" si="0"/>
        <v>0.18829220418947626</v>
      </c>
      <c r="M18" s="61">
        <f t="shared" si="0"/>
        <v>0.16312166184303503</v>
      </c>
      <c r="N18" s="61">
        <f t="shared" si="0"/>
        <v>0.14149624157090193</v>
      </c>
      <c r="O18" s="61">
        <f t="shared" si="0"/>
        <v>0.12289165093785848</v>
      </c>
      <c r="P18" s="62">
        <f t="shared" si="0"/>
        <v>0.10686476974377089</v>
      </c>
      <c r="Q18" s="61">
        <f t="shared" ref="Q18:U27" si="2">1/(1+Q$2)^$A18</f>
        <v>9.3040529294840857E-2</v>
      </c>
      <c r="R18" s="61">
        <f t="shared" si="2"/>
        <v>8.1101000529259254E-2</v>
      </c>
      <c r="S18" s="61">
        <f t="shared" si="2"/>
        <v>7.0776304561098874E-2</v>
      </c>
      <c r="T18" s="61">
        <f t="shared" si="2"/>
        <v>6.1837029322772352E-2</v>
      </c>
      <c r="U18" s="62">
        <f t="shared" si="2"/>
        <v>5.4087892932395409E-2</v>
      </c>
    </row>
    <row r="19" spans="1:21">
      <c r="A19" s="60">
        <v>17</v>
      </c>
      <c r="B19" s="61">
        <f t="shared" ref="B19:Q27" si="3">1/(1+B$2)^$A19</f>
        <v>0.84437748733298568</v>
      </c>
      <c r="C19" s="61">
        <f t="shared" si="3"/>
        <v>0.7141625624649357</v>
      </c>
      <c r="D19" s="61">
        <f t="shared" si="3"/>
        <v>0.60501644584477121</v>
      </c>
      <c r="E19" s="61">
        <f t="shared" si="3"/>
        <v>0.51337324585177024</v>
      </c>
      <c r="F19" s="62">
        <f t="shared" si="3"/>
        <v>0.43629668761085727</v>
      </c>
      <c r="G19" s="61">
        <f t="shared" si="3"/>
        <v>0.37136441859695657</v>
      </c>
      <c r="H19" s="61">
        <f t="shared" si="3"/>
        <v>0.31657439046411018</v>
      </c>
      <c r="I19" s="61">
        <f t="shared" si="3"/>
        <v>0.27026895144537894</v>
      </c>
      <c r="J19" s="61">
        <f t="shared" si="3"/>
        <v>0.23107317676383954</v>
      </c>
      <c r="K19" s="62">
        <f t="shared" si="3"/>
        <v>0.19784466890013502</v>
      </c>
      <c r="L19" s="61">
        <f t="shared" si="3"/>
        <v>0.16963261638691554</v>
      </c>
      <c r="M19" s="61">
        <f t="shared" si="3"/>
        <v>0.14564434093128129</v>
      </c>
      <c r="N19" s="61">
        <f t="shared" si="3"/>
        <v>0.12521791289460349</v>
      </c>
      <c r="O19" s="61">
        <f t="shared" si="3"/>
        <v>0.107799693805139</v>
      </c>
      <c r="P19" s="62">
        <f t="shared" si="3"/>
        <v>9.2925886733713825E-2</v>
      </c>
      <c r="Q19" s="61">
        <f t="shared" si="3"/>
        <v>8.0207352840380053E-2</v>
      </c>
      <c r="R19" s="61">
        <f t="shared" si="2"/>
        <v>6.9317094469452362E-2</v>
      </c>
      <c r="S19" s="61">
        <f t="shared" si="2"/>
        <v>5.9979919119575315E-2</v>
      </c>
      <c r="T19" s="61">
        <f t="shared" si="2"/>
        <v>5.1963890187203661E-2</v>
      </c>
      <c r="U19" s="62">
        <f t="shared" si="2"/>
        <v>4.5073244110329508E-2</v>
      </c>
    </row>
    <row r="20" spans="1:21">
      <c r="A20" s="60">
        <v>18</v>
      </c>
      <c r="B20" s="61">
        <f t="shared" si="3"/>
        <v>0.83601731419107495</v>
      </c>
      <c r="C20" s="61">
        <f t="shared" si="3"/>
        <v>0.7001593749656233</v>
      </c>
      <c r="D20" s="61">
        <f t="shared" si="3"/>
        <v>0.5873946076162827</v>
      </c>
      <c r="E20" s="61">
        <f t="shared" si="3"/>
        <v>0.49362812101131748</v>
      </c>
      <c r="F20" s="62">
        <f t="shared" si="3"/>
        <v>0.41552065486748313</v>
      </c>
      <c r="G20" s="61">
        <f t="shared" si="3"/>
        <v>0.35034379112920433</v>
      </c>
      <c r="H20" s="61">
        <f t="shared" si="3"/>
        <v>0.29586391632159825</v>
      </c>
      <c r="I20" s="61">
        <f t="shared" si="3"/>
        <v>0.25024902911609154</v>
      </c>
      <c r="J20" s="61">
        <f t="shared" si="3"/>
        <v>0.21199374015031147</v>
      </c>
      <c r="K20" s="62">
        <f t="shared" si="3"/>
        <v>0.17985878990921364</v>
      </c>
      <c r="L20" s="61">
        <f t="shared" si="3"/>
        <v>0.15282217692514913</v>
      </c>
      <c r="M20" s="61">
        <f t="shared" si="3"/>
        <v>0.13003959011721541</v>
      </c>
      <c r="N20" s="61">
        <f t="shared" si="3"/>
        <v>0.1108123122961093</v>
      </c>
      <c r="O20" s="61">
        <f t="shared" si="3"/>
        <v>9.4561134916788581E-2</v>
      </c>
      <c r="P20" s="62">
        <f t="shared" si="3"/>
        <v>8.0805118898881603E-2</v>
      </c>
      <c r="Q20" s="61">
        <f t="shared" si="3"/>
        <v>6.9144269689982801E-2</v>
      </c>
      <c r="R20" s="61">
        <f t="shared" si="2"/>
        <v>5.9245379888420824E-2</v>
      </c>
      <c r="S20" s="61">
        <f t="shared" si="2"/>
        <v>5.0830439931843489E-2</v>
      </c>
      <c r="T20" s="61">
        <f t="shared" si="2"/>
        <v>4.3667134611095518E-2</v>
      </c>
      <c r="U20" s="62">
        <f t="shared" si="2"/>
        <v>3.7561036758607926E-2</v>
      </c>
    </row>
    <row r="21" spans="1:21">
      <c r="A21" s="60">
        <v>19</v>
      </c>
      <c r="B21" s="61">
        <f t="shared" si="3"/>
        <v>0.82773991504066846</v>
      </c>
      <c r="C21" s="61">
        <f t="shared" si="3"/>
        <v>0.68643075977021895</v>
      </c>
      <c r="D21" s="61">
        <f t="shared" si="3"/>
        <v>0.57028602681192497</v>
      </c>
      <c r="E21" s="61">
        <f t="shared" si="3"/>
        <v>0.47464242404934376</v>
      </c>
      <c r="F21" s="62">
        <f t="shared" si="3"/>
        <v>0.39573395701665059</v>
      </c>
      <c r="G21" s="61">
        <f t="shared" si="3"/>
        <v>0.3305130104992493</v>
      </c>
      <c r="H21" s="61">
        <f t="shared" si="3"/>
        <v>0.27650833301083949</v>
      </c>
      <c r="I21" s="61">
        <f t="shared" si="3"/>
        <v>0.23171206399638106</v>
      </c>
      <c r="J21" s="61">
        <f t="shared" si="3"/>
        <v>0.19448966986267105</v>
      </c>
      <c r="K21" s="62">
        <f t="shared" si="3"/>
        <v>0.16350799082655781</v>
      </c>
      <c r="L21" s="61">
        <f t="shared" si="3"/>
        <v>0.13767763686950371</v>
      </c>
      <c r="M21" s="61">
        <f t="shared" si="3"/>
        <v>0.1161067768903709</v>
      </c>
      <c r="N21" s="61">
        <f t="shared" si="3"/>
        <v>9.8063993182397627E-2</v>
      </c>
      <c r="O21" s="61">
        <f t="shared" si="3"/>
        <v>8.2948363962095248E-2</v>
      </c>
      <c r="P21" s="62">
        <f t="shared" si="3"/>
        <v>7.0265320781636179E-2</v>
      </c>
      <c r="Q21" s="61">
        <f t="shared" si="3"/>
        <v>5.9607129043088625E-2</v>
      </c>
      <c r="R21" s="61">
        <f t="shared" si="2"/>
        <v>5.0637076827710105E-2</v>
      </c>
      <c r="S21" s="61">
        <f t="shared" si="2"/>
        <v>4.3076644010036858E-2</v>
      </c>
      <c r="T21" s="61">
        <f t="shared" si="2"/>
        <v>3.6695071101760936E-2</v>
      </c>
      <c r="U21" s="62">
        <f t="shared" si="2"/>
        <v>3.1300863965506603E-2</v>
      </c>
    </row>
    <row r="22" spans="1:21">
      <c r="A22" s="55">
        <v>20</v>
      </c>
      <c r="B22" s="63">
        <f t="shared" si="3"/>
        <v>0.81954447033729538</v>
      </c>
      <c r="C22" s="63">
        <f t="shared" si="3"/>
        <v>0.67297133310805779</v>
      </c>
      <c r="D22" s="63">
        <f t="shared" si="3"/>
        <v>0.55367575418633497</v>
      </c>
      <c r="E22" s="63">
        <f t="shared" si="3"/>
        <v>0.45638694620129205</v>
      </c>
      <c r="F22" s="64">
        <f t="shared" si="3"/>
        <v>0.37688948287300061</v>
      </c>
      <c r="G22" s="63">
        <f t="shared" si="3"/>
        <v>0.31180472688608429</v>
      </c>
      <c r="H22" s="63">
        <f t="shared" si="3"/>
        <v>0.2584190028138687</v>
      </c>
      <c r="I22" s="63">
        <f t="shared" si="3"/>
        <v>0.21454820740405653</v>
      </c>
      <c r="J22" s="63">
        <f t="shared" si="3"/>
        <v>0.17843088978226704</v>
      </c>
      <c r="K22" s="64">
        <f t="shared" si="3"/>
        <v>0.14864362802414349</v>
      </c>
      <c r="L22" s="63">
        <f t="shared" si="3"/>
        <v>0.12403390708964297</v>
      </c>
      <c r="M22" s="63">
        <f t="shared" si="3"/>
        <v>0.1036667650806883</v>
      </c>
      <c r="N22" s="63">
        <f t="shared" si="3"/>
        <v>8.678229485167932E-2</v>
      </c>
      <c r="O22" s="63">
        <f t="shared" si="3"/>
        <v>7.2761722773767745E-2</v>
      </c>
      <c r="P22" s="64">
        <f t="shared" si="3"/>
        <v>6.1100278940553199E-2</v>
      </c>
      <c r="Q22" s="63">
        <f t="shared" si="3"/>
        <v>5.138545607162813E-2</v>
      </c>
      <c r="R22" s="63">
        <f t="shared" si="2"/>
        <v>4.3279552844196684E-2</v>
      </c>
      <c r="S22" s="63">
        <f t="shared" si="2"/>
        <v>3.6505630516980393E-2</v>
      </c>
      <c r="T22" s="63">
        <f t="shared" si="2"/>
        <v>3.0836194203160455E-2</v>
      </c>
      <c r="U22" s="64">
        <f t="shared" si="2"/>
        <v>2.6084053304588836E-2</v>
      </c>
    </row>
    <row r="23" spans="1:21">
      <c r="A23" s="60">
        <v>25</v>
      </c>
      <c r="B23" s="61">
        <f t="shared" si="3"/>
        <v>0.77976844299378323</v>
      </c>
      <c r="C23" s="61">
        <f t="shared" si="3"/>
        <v>0.60953087052827937</v>
      </c>
      <c r="D23" s="61">
        <f t="shared" si="3"/>
        <v>0.47760556926165965</v>
      </c>
      <c r="E23" s="61">
        <f t="shared" si="3"/>
        <v>0.37511680225396377</v>
      </c>
      <c r="F23" s="62">
        <f t="shared" si="3"/>
        <v>0.29530277169776209</v>
      </c>
      <c r="G23" s="61">
        <f t="shared" si="3"/>
        <v>0.23299863050389524</v>
      </c>
      <c r="H23" s="61">
        <f t="shared" si="3"/>
        <v>0.18424917752223957</v>
      </c>
      <c r="I23" s="61">
        <f t="shared" si="3"/>
        <v>0.1460179049129135</v>
      </c>
      <c r="J23" s="61">
        <f t="shared" si="3"/>
        <v>0.11596783555463605</v>
      </c>
      <c r="K23" s="62">
        <f t="shared" si="3"/>
        <v>9.2295998177064048E-2</v>
      </c>
      <c r="L23" s="61">
        <f t="shared" si="3"/>
        <v>7.3608086886640473E-2</v>
      </c>
      <c r="M23" s="61">
        <f t="shared" si="3"/>
        <v>5.8823306552253637E-2</v>
      </c>
      <c r="N23" s="61">
        <f t="shared" si="3"/>
        <v>4.7101952799582736E-2</v>
      </c>
      <c r="O23" s="61">
        <f t="shared" si="3"/>
        <v>3.779015877353091E-2</v>
      </c>
      <c r="P23" s="62">
        <f t="shared" si="3"/>
        <v>3.03776372094791E-2</v>
      </c>
      <c r="Q23" s="61">
        <f t="shared" si="3"/>
        <v>2.4465284438696902E-2</v>
      </c>
      <c r="R23" s="61">
        <f t="shared" si="2"/>
        <v>1.9740286720354813E-2</v>
      </c>
      <c r="S23" s="61">
        <f t="shared" si="2"/>
        <v>1.595694754327601E-2</v>
      </c>
      <c r="T23" s="61">
        <f t="shared" si="2"/>
        <v>1.2921887782740737E-2</v>
      </c>
      <c r="U23" s="62">
        <f t="shared" si="2"/>
        <v>1.0482596010396106E-2</v>
      </c>
    </row>
    <row r="24" spans="1:21">
      <c r="A24" s="60">
        <v>30</v>
      </c>
      <c r="B24" s="61">
        <f t="shared" si="3"/>
        <v>0.74192291778712394</v>
      </c>
      <c r="C24" s="61">
        <f t="shared" si="3"/>
        <v>0.55207088897991197</v>
      </c>
      <c r="D24" s="61">
        <f t="shared" si="3"/>
        <v>0.41198675951590691</v>
      </c>
      <c r="E24" s="61">
        <f t="shared" si="3"/>
        <v>0.30831866797342034</v>
      </c>
      <c r="F24" s="62">
        <f t="shared" si="3"/>
        <v>0.23137744865585813</v>
      </c>
      <c r="G24" s="61">
        <f t="shared" si="3"/>
        <v>0.17411013091063426</v>
      </c>
      <c r="H24" s="61">
        <f t="shared" si="3"/>
        <v>0.13136711715458982</v>
      </c>
      <c r="I24" s="61">
        <f t="shared" si="3"/>
        <v>9.9377332549801231E-2</v>
      </c>
      <c r="J24" s="61">
        <f t="shared" si="3"/>
        <v>7.5371136128043151E-2</v>
      </c>
      <c r="K24" s="62">
        <f t="shared" si="3"/>
        <v>5.7308553301167964E-2</v>
      </c>
      <c r="L24" s="61">
        <f t="shared" si="3"/>
        <v>4.3682816918726573E-2</v>
      </c>
      <c r="M24" s="61">
        <f t="shared" si="3"/>
        <v>3.3377923879916553E-2</v>
      </c>
      <c r="N24" s="61">
        <f t="shared" si="3"/>
        <v>2.556505288695058E-2</v>
      </c>
      <c r="O24" s="61">
        <f t="shared" si="3"/>
        <v>1.9627024288154101E-2</v>
      </c>
      <c r="P24" s="62">
        <f t="shared" si="3"/>
        <v>1.5103054493884669E-2</v>
      </c>
      <c r="Q24" s="61">
        <f t="shared" si="3"/>
        <v>1.1648240347074144E-2</v>
      </c>
      <c r="R24" s="61">
        <f t="shared" si="2"/>
        <v>9.0037649234647327E-3</v>
      </c>
      <c r="S24" s="61">
        <f t="shared" si="2"/>
        <v>6.9749288340719201E-3</v>
      </c>
      <c r="T24" s="61">
        <f t="shared" si="2"/>
        <v>5.4149089465985647E-3</v>
      </c>
      <c r="U24" s="62">
        <f t="shared" si="2"/>
        <v>4.2127202330874275E-3</v>
      </c>
    </row>
    <row r="25" spans="1:21">
      <c r="A25" s="60">
        <v>35</v>
      </c>
      <c r="B25" s="61">
        <f t="shared" si="3"/>
        <v>0.70591419912353137</v>
      </c>
      <c r="C25" s="61">
        <f t="shared" si="3"/>
        <v>0.50002761335929735</v>
      </c>
      <c r="D25" s="61">
        <f t="shared" si="3"/>
        <v>0.35538339780838735</v>
      </c>
      <c r="E25" s="61">
        <f t="shared" si="3"/>
        <v>0.25341547072729048</v>
      </c>
      <c r="F25" s="62">
        <f t="shared" si="3"/>
        <v>0.18129028535257716</v>
      </c>
      <c r="G25" s="61">
        <f t="shared" si="3"/>
        <v>0.13010521830175056</v>
      </c>
      <c r="H25" s="61">
        <f t="shared" si="3"/>
        <v>9.366293896983445E-2</v>
      </c>
      <c r="I25" s="61">
        <f t="shared" si="3"/>
        <v>6.7634542699430159E-2</v>
      </c>
      <c r="J25" s="61">
        <f t="shared" si="3"/>
        <v>4.8986066990580383E-2</v>
      </c>
      <c r="K25" s="62">
        <f t="shared" si="3"/>
        <v>3.5584102738367311E-2</v>
      </c>
      <c r="L25" s="61">
        <f t="shared" si="3"/>
        <v>2.5923625713757153E-2</v>
      </c>
      <c r="M25" s="61">
        <f t="shared" si="3"/>
        <v>1.8939530397595796E-2</v>
      </c>
      <c r="N25" s="61">
        <f t="shared" si="3"/>
        <v>1.3875686468743813E-2</v>
      </c>
      <c r="O25" s="61">
        <f t="shared" si="3"/>
        <v>1.019366138989625E-2</v>
      </c>
      <c r="P25" s="62">
        <f t="shared" si="3"/>
        <v>7.5088873263017501E-3</v>
      </c>
      <c r="Q25" s="61">
        <f t="shared" si="3"/>
        <v>5.5458788359148466E-3</v>
      </c>
      <c r="R25" s="61">
        <f t="shared" si="2"/>
        <v>4.1067175946042592E-3</v>
      </c>
      <c r="S25" s="61">
        <f t="shared" si="2"/>
        <v>3.048805675924404E-3</v>
      </c>
      <c r="T25" s="61">
        <f t="shared" si="2"/>
        <v>2.2691141877208072E-3</v>
      </c>
      <c r="U25" s="62">
        <f t="shared" si="2"/>
        <v>1.6929977788577952E-3</v>
      </c>
    </row>
    <row r="26" spans="1:21">
      <c r="A26" s="60">
        <v>40</v>
      </c>
      <c r="B26" s="61">
        <f t="shared" si="3"/>
        <v>0.67165313886043809</v>
      </c>
      <c r="C26" s="61">
        <f t="shared" si="3"/>
        <v>0.45289041518523643</v>
      </c>
      <c r="D26" s="61">
        <f t="shared" si="3"/>
        <v>0.30655684077380685</v>
      </c>
      <c r="E26" s="61">
        <f t="shared" si="3"/>
        <v>0.20828904466294101</v>
      </c>
      <c r="F26" s="62">
        <f t="shared" si="3"/>
        <v>0.14204568230027784</v>
      </c>
      <c r="G26" s="61">
        <f t="shared" si="3"/>
        <v>9.7222187708505589E-2</v>
      </c>
      <c r="H26" s="61">
        <f t="shared" si="3"/>
        <v>6.6780381015314264E-2</v>
      </c>
      <c r="I26" s="61">
        <f t="shared" si="3"/>
        <v>4.6030933300294057E-2</v>
      </c>
      <c r="J26" s="61">
        <f t="shared" si="3"/>
        <v>3.1837582428491523E-2</v>
      </c>
      <c r="K26" s="62">
        <f t="shared" si="3"/>
        <v>2.2094928152179935E-2</v>
      </c>
      <c r="L26" s="61">
        <f t="shared" si="3"/>
        <v>1.5384410107922184E-2</v>
      </c>
      <c r="M26" s="61">
        <f t="shared" si="3"/>
        <v>1.0746798182294614E-2</v>
      </c>
      <c r="N26" s="61">
        <f t="shared" si="3"/>
        <v>7.5311666997238055E-3</v>
      </c>
      <c r="O26" s="61">
        <f t="shared" si="3"/>
        <v>5.2942683010066324E-3</v>
      </c>
      <c r="P26" s="62">
        <f t="shared" si="3"/>
        <v>3.7332440866134084E-3</v>
      </c>
      <c r="Q26" s="61">
        <f t="shared" si="3"/>
        <v>2.6404650956892242E-3</v>
      </c>
      <c r="R26" s="61">
        <f t="shared" si="2"/>
        <v>1.8731196943936131E-3</v>
      </c>
      <c r="S26" s="61">
        <f t="shared" si="2"/>
        <v>1.33266105944229E-3</v>
      </c>
      <c r="T26" s="61">
        <f t="shared" si="2"/>
        <v>9.5087087293502627E-4</v>
      </c>
      <c r="U26" s="62">
        <f t="shared" si="2"/>
        <v>6.8037783679663201E-4</v>
      </c>
    </row>
    <row r="27" spans="1:21">
      <c r="A27" s="55">
        <v>50</v>
      </c>
      <c r="B27" s="63">
        <f t="shared" si="3"/>
        <v>0.60803882468894921</v>
      </c>
      <c r="C27" s="63">
        <f t="shared" si="3"/>
        <v>0.37152788212696192</v>
      </c>
      <c r="D27" s="63">
        <f t="shared" si="3"/>
        <v>0.22810707978975397</v>
      </c>
      <c r="E27" s="63">
        <f t="shared" si="3"/>
        <v>0.14071261533323939</v>
      </c>
      <c r="F27" s="64">
        <f t="shared" si="3"/>
        <v>8.7203726972380588E-2</v>
      </c>
      <c r="G27" s="63">
        <f t="shared" si="3"/>
        <v>5.4288361816690701E-2</v>
      </c>
      <c r="H27" s="63">
        <f t="shared" si="3"/>
        <v>3.3947759417621758E-2</v>
      </c>
      <c r="I27" s="63">
        <f t="shared" si="3"/>
        <v>2.1321228555156651E-2</v>
      </c>
      <c r="J27" s="63">
        <f t="shared" si="3"/>
        <v>1.3448538883227112E-2</v>
      </c>
      <c r="K27" s="64">
        <f t="shared" si="3"/>
        <v>8.5185512795006111E-3</v>
      </c>
      <c r="L27" s="63">
        <f t="shared" si="3"/>
        <v>5.4181504551112153E-3</v>
      </c>
      <c r="M27" s="63">
        <f t="shared" si="3"/>
        <v>3.460181393740405E-3</v>
      </c>
      <c r="N27" s="63">
        <f t="shared" si="3"/>
        <v>2.2185939575341202E-3</v>
      </c>
      <c r="O27" s="63">
        <f t="shared" si="3"/>
        <v>1.4280961001286749E-3</v>
      </c>
      <c r="P27" s="64">
        <f t="shared" si="3"/>
        <v>9.2280084243072911E-4</v>
      </c>
      <c r="Q27" s="63">
        <f t="shared" si="3"/>
        <v>5.9855014266634477E-4</v>
      </c>
      <c r="R27" s="63">
        <f t="shared" si="2"/>
        <v>3.8967891980181638E-4</v>
      </c>
      <c r="S27" s="63">
        <f t="shared" si="2"/>
        <v>2.5462417489886233E-4</v>
      </c>
      <c r="T27" s="63">
        <f t="shared" si="2"/>
        <v>1.6697518386974431E-4</v>
      </c>
      <c r="U27" s="64">
        <f t="shared" si="2"/>
        <v>1.0988481911717239E-4</v>
      </c>
    </row>
  </sheetData>
  <mergeCells count="1">
    <mergeCell ref="A1:U1"/>
  </mergeCells>
  <pageMargins left="0.23622047244094491" right="0.23622047244094491" top="0.39370078740157483" bottom="0.39370078740157483" header="0.31496062992125984" footer="0.31496062992125984"/>
  <pageSetup scale="99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L95"/>
  <sheetViews>
    <sheetView zoomScaleNormal="100" workbookViewId="0">
      <selection activeCell="A4" sqref="A4"/>
    </sheetView>
  </sheetViews>
  <sheetFormatPr defaultRowHeight="11.25"/>
  <cols>
    <col min="1" max="1" width="9.140625" style="26"/>
    <col min="2" max="2" width="7.42578125" style="26" customWidth="1"/>
    <col min="3" max="3" width="9.85546875" style="26" customWidth="1"/>
    <col min="4" max="5" width="9.140625" style="26"/>
    <col min="6" max="6" width="7.5703125" style="26" customWidth="1"/>
    <col min="7" max="7" width="3.7109375" style="26" customWidth="1"/>
    <col min="8" max="8" width="5" style="26" customWidth="1"/>
    <col min="9" max="9" width="5.85546875" style="26" customWidth="1"/>
    <col min="10" max="10" width="3.5703125" style="26" customWidth="1"/>
    <col min="11" max="11" width="7.5703125" style="26" customWidth="1"/>
    <col min="12" max="12" width="2.5703125" style="26" customWidth="1"/>
    <col min="13" max="16384" width="9.140625" style="26"/>
  </cols>
  <sheetData>
    <row r="1" spans="1:12">
      <c r="A1" s="89" t="s">
        <v>21</v>
      </c>
    </row>
    <row r="2" spans="1:12">
      <c r="A2" s="27" t="s">
        <v>54</v>
      </c>
      <c r="B2" s="27" t="s">
        <v>61</v>
      </c>
      <c r="C2" s="27" t="s">
        <v>55</v>
      </c>
    </row>
    <row r="3" spans="1:12">
      <c r="A3" s="71">
        <v>8</v>
      </c>
      <c r="B3" s="27">
        <f>C3-A3</f>
        <v>12</v>
      </c>
      <c r="C3" s="71">
        <v>20</v>
      </c>
    </row>
    <row r="4" spans="1:12">
      <c r="A4" s="75">
        <f>IRR!E10</f>
        <v>16.424005675136083</v>
      </c>
      <c r="B4" s="70">
        <f>A4-C4</f>
        <v>24.37925258871633</v>
      </c>
      <c r="C4" s="75">
        <f>IRR!H10</f>
        <v>-7.9552469135802468</v>
      </c>
    </row>
    <row r="5" spans="1:12">
      <c r="A5" s="27" t="s">
        <v>12</v>
      </c>
      <c r="B5" s="27"/>
      <c r="C5" s="27" t="s">
        <v>12</v>
      </c>
    </row>
    <row r="7" spans="1:12">
      <c r="A7" s="27" t="s">
        <v>56</v>
      </c>
      <c r="C7" s="27" t="s">
        <v>58</v>
      </c>
    </row>
    <row r="8" spans="1:12">
      <c r="A8" s="27">
        <f>B3</f>
        <v>12</v>
      </c>
      <c r="B8" s="66" t="s">
        <v>57</v>
      </c>
      <c r="C8" s="70">
        <f>B4</f>
        <v>24.37925258871633</v>
      </c>
    </row>
    <row r="10" spans="1:12">
      <c r="A10" s="67">
        <v>0.01</v>
      </c>
      <c r="B10" s="66" t="s">
        <v>57</v>
      </c>
      <c r="C10" s="70">
        <f>C8/A8</f>
        <v>2.0316043823930277</v>
      </c>
      <c r="D10" s="26" t="s">
        <v>59</v>
      </c>
    </row>
    <row r="12" spans="1:12">
      <c r="A12" s="26" t="s">
        <v>60</v>
      </c>
    </row>
    <row r="13" spans="1:12" ht="12" thickBot="1">
      <c r="K13" s="27" t="s">
        <v>70</v>
      </c>
    </row>
    <row r="14" spans="1:12" ht="12" thickBot="1">
      <c r="A14" s="48" t="s">
        <v>62</v>
      </c>
      <c r="B14" s="40"/>
      <c r="C14" s="70">
        <f>A4</f>
        <v>16.424005675136083</v>
      </c>
      <c r="D14" s="26" t="s">
        <v>63</v>
      </c>
      <c r="G14" s="27">
        <f>A3</f>
        <v>8</v>
      </c>
      <c r="H14" s="27" t="s">
        <v>64</v>
      </c>
      <c r="I14" s="70">
        <f>C14/C10</f>
        <v>8.08425391157615</v>
      </c>
      <c r="J14" s="27" t="s">
        <v>65</v>
      </c>
      <c r="K14" s="72">
        <f>G14+I14</f>
        <v>16.084253911576148</v>
      </c>
      <c r="L14" s="26" t="s">
        <v>56</v>
      </c>
    </row>
    <row r="16" spans="1:12">
      <c r="A16" s="26" t="s">
        <v>66</v>
      </c>
      <c r="C16" s="26" t="s">
        <v>67</v>
      </c>
    </row>
    <row r="17" spans="1:5">
      <c r="A17" s="26" t="str">
        <f>IRR!B4</f>
        <v>Project 1</v>
      </c>
      <c r="B17" s="73">
        <f>IRR!C4</f>
        <v>-85</v>
      </c>
      <c r="C17" s="26">
        <v>1</v>
      </c>
      <c r="D17" s="26">
        <f>B17*C17</f>
        <v>-85</v>
      </c>
    </row>
    <row r="18" spans="1:5">
      <c r="A18" s="26" t="str">
        <f>IRR!B5</f>
        <v>Year 1</v>
      </c>
      <c r="B18" s="73">
        <f>IRR!C5</f>
        <v>20</v>
      </c>
      <c r="C18" s="68">
        <f>1/(1+($K$14)/100)</f>
        <v>0.86144327615847127</v>
      </c>
      <c r="D18" s="69">
        <f t="shared" ref="D18:D22" si="0">B18*C18</f>
        <v>17.228865523169425</v>
      </c>
    </row>
    <row r="19" spans="1:5">
      <c r="A19" s="26" t="str">
        <f>IRR!B6</f>
        <v>Year 2</v>
      </c>
      <c r="B19" s="73">
        <f>IRR!C6</f>
        <v>30</v>
      </c>
      <c r="C19" s="68">
        <f>1/((1+($K$14)/100)*(1+($K$14)/100))</f>
        <v>0.74208451803864039</v>
      </c>
      <c r="D19" s="69">
        <f t="shared" si="0"/>
        <v>22.262535541159213</v>
      </c>
    </row>
    <row r="20" spans="1:5">
      <c r="A20" s="26" t="str">
        <f>IRR!B7</f>
        <v>Year 3</v>
      </c>
      <c r="B20" s="73">
        <f>IRR!C7</f>
        <v>35</v>
      </c>
      <c r="C20" s="68">
        <f>1/((1+($K$14)/100)*(1+($K$14)/100)*(1+($K$14)/100))</f>
        <v>0.63926371840568663</v>
      </c>
      <c r="D20" s="69">
        <f t="shared" si="0"/>
        <v>22.374230144199032</v>
      </c>
    </row>
    <row r="21" spans="1:5">
      <c r="A21" s="26" t="str">
        <f>IRR!B8</f>
        <v>Year 4</v>
      </c>
      <c r="B21" s="73">
        <f>IRR!C8</f>
        <v>40</v>
      </c>
      <c r="C21" s="68">
        <f>1/((1+($K$14)/100)*(1+($K$14)/100)*(1+($K$14)/100)*(1+($K$14)/100))</f>
        <v>0.55068943191264108</v>
      </c>
      <c r="D21" s="69">
        <f t="shared" si="0"/>
        <v>22.027577276505642</v>
      </c>
    </row>
    <row r="22" spans="1:5" ht="12" thickBot="1">
      <c r="A22" s="26" t="str">
        <f>IRR!B9</f>
        <v>Disposal</v>
      </c>
      <c r="B22" s="73">
        <f>IRR!C9</f>
        <v>0</v>
      </c>
      <c r="C22" s="68">
        <f>C21</f>
        <v>0.55068943191264108</v>
      </c>
      <c r="D22" s="69">
        <f t="shared" si="0"/>
        <v>0</v>
      </c>
    </row>
    <row r="23" spans="1:5" ht="12" thickBot="1">
      <c r="D23" s="76">
        <f>SUM(D17:D22)</f>
        <v>-1.106791514966698</v>
      </c>
      <c r="E23" s="26" t="s">
        <v>68</v>
      </c>
    </row>
    <row r="24" spans="1:5" s="77" customFormat="1" ht="12" thickBot="1"/>
    <row r="25" spans="1:5">
      <c r="A25" s="89" t="s">
        <v>22</v>
      </c>
    </row>
    <row r="26" spans="1:5">
      <c r="A26" s="27" t="s">
        <v>54</v>
      </c>
      <c r="B26" s="27" t="s">
        <v>61</v>
      </c>
      <c r="C26" s="27" t="s">
        <v>55</v>
      </c>
    </row>
    <row r="27" spans="1:5">
      <c r="A27" s="71">
        <v>8</v>
      </c>
      <c r="B27" s="27">
        <f>C27-A27</f>
        <v>12</v>
      </c>
      <c r="C27" s="71">
        <v>20</v>
      </c>
    </row>
    <row r="28" spans="1:5">
      <c r="A28" s="75">
        <f>IRR!E19</f>
        <v>31.730756565639446</v>
      </c>
      <c r="B28" s="70">
        <f>A28-C28</f>
        <v>33.85267014588635</v>
      </c>
      <c r="C28" s="75">
        <f>IRR!H19</f>
        <v>-2.1219135802469022</v>
      </c>
    </row>
    <row r="29" spans="1:5">
      <c r="A29" s="27" t="s">
        <v>12</v>
      </c>
      <c r="B29" s="27"/>
      <c r="C29" s="27" t="s">
        <v>12</v>
      </c>
    </row>
    <row r="31" spans="1:5">
      <c r="A31" s="27" t="s">
        <v>56</v>
      </c>
      <c r="C31" s="27" t="s">
        <v>58</v>
      </c>
    </row>
    <row r="32" spans="1:5">
      <c r="A32" s="27">
        <f>B27</f>
        <v>12</v>
      </c>
      <c r="B32" s="66" t="s">
        <v>57</v>
      </c>
      <c r="C32" s="70">
        <f>B28</f>
        <v>33.85267014588635</v>
      </c>
    </row>
    <row r="34" spans="1:12">
      <c r="A34" s="67">
        <v>0.01</v>
      </c>
      <c r="B34" s="66" t="s">
        <v>57</v>
      </c>
      <c r="C34" s="70">
        <f>C32/A32</f>
        <v>2.821055845490529</v>
      </c>
      <c r="D34" s="26" t="s">
        <v>59</v>
      </c>
    </row>
    <row r="36" spans="1:12">
      <c r="A36" s="26" t="s">
        <v>60</v>
      </c>
    </row>
    <row r="37" spans="1:12" ht="12" thickBot="1">
      <c r="K37" s="27" t="s">
        <v>70</v>
      </c>
    </row>
    <row r="38" spans="1:12" ht="12" thickBot="1">
      <c r="A38" s="48" t="s">
        <v>62</v>
      </c>
      <c r="B38" s="40"/>
      <c r="C38" s="70">
        <f>A28</f>
        <v>31.730756565639446</v>
      </c>
      <c r="D38" s="26" t="s">
        <v>63</v>
      </c>
      <c r="G38" s="27">
        <f>A27</f>
        <v>8</v>
      </c>
      <c r="H38" s="27" t="s">
        <v>64</v>
      </c>
      <c r="I38" s="70">
        <f>C38/C34</f>
        <v>11.247829998247362</v>
      </c>
      <c r="J38" s="27" t="s">
        <v>65</v>
      </c>
      <c r="K38" s="72">
        <f>G38+I38</f>
        <v>19.247829998247362</v>
      </c>
      <c r="L38" s="26" t="s">
        <v>56</v>
      </c>
    </row>
    <row r="40" spans="1:12">
      <c r="A40" s="26" t="s">
        <v>66</v>
      </c>
      <c r="C40" s="26" t="s">
        <v>67</v>
      </c>
    </row>
    <row r="41" spans="1:12">
      <c r="A41" s="26" t="str">
        <f>IRR!B13</f>
        <v>Project 2</v>
      </c>
      <c r="B41" s="73">
        <f>IRR!C13</f>
        <v>-100</v>
      </c>
      <c r="C41" s="26">
        <v>1</v>
      </c>
      <c r="D41" s="26">
        <f>B41*C41</f>
        <v>-100</v>
      </c>
    </row>
    <row r="42" spans="1:12">
      <c r="A42" s="26" t="str">
        <f>IRR!B14</f>
        <v>Year 1</v>
      </c>
      <c r="B42" s="73">
        <f>IRR!C14</f>
        <v>20</v>
      </c>
      <c r="C42" s="68">
        <f>1/(1+($K$38)/100)</f>
        <v>0.83858968336337647</v>
      </c>
      <c r="D42" s="69">
        <f t="shared" ref="D42:D46" si="1">B42*C42</f>
        <v>16.771793667267531</v>
      </c>
    </row>
    <row r="43" spans="1:12">
      <c r="A43" s="26" t="str">
        <f>IRR!B15</f>
        <v>Year 2</v>
      </c>
      <c r="B43" s="73">
        <f>IRR!C15</f>
        <v>35</v>
      </c>
      <c r="C43" s="68">
        <f>1/((1+($K$38)/100)*(1+($K$38)/100))</f>
        <v>0.70323265704348792</v>
      </c>
      <c r="D43" s="69">
        <f t="shared" si="1"/>
        <v>24.613142996522079</v>
      </c>
    </row>
    <row r="44" spans="1:12">
      <c r="A44" s="26" t="str">
        <f>IRR!B16</f>
        <v>Year 3</v>
      </c>
      <c r="B44" s="73">
        <f>IRR!C16</f>
        <v>40</v>
      </c>
      <c r="C44" s="68">
        <f>1/((1+($K$38)/100)*(1+($K$38)/100)*(1+($K$38)/100))</f>
        <v>0.58972365120088444</v>
      </c>
      <c r="D44" s="69">
        <f t="shared" si="1"/>
        <v>23.588946048035378</v>
      </c>
    </row>
    <row r="45" spans="1:12">
      <c r="A45" s="26" t="str">
        <f>IRR!B17</f>
        <v>Year 4</v>
      </c>
      <c r="B45" s="73">
        <f>IRR!C17</f>
        <v>50</v>
      </c>
      <c r="C45" s="68">
        <f>1/((1+($K$38)/100)*(1+($K$38)/100)*(1+($K$38)/100)*(1+($K$38)/100))</f>
        <v>0.49453616993244393</v>
      </c>
      <c r="D45" s="69">
        <f t="shared" si="1"/>
        <v>24.726808496622198</v>
      </c>
    </row>
    <row r="46" spans="1:12" ht="12" thickBot="1">
      <c r="A46" s="26" t="str">
        <f>IRR!B18</f>
        <v>Disposal</v>
      </c>
      <c r="B46" s="73">
        <f>IRR!C18</f>
        <v>20</v>
      </c>
      <c r="C46" s="68">
        <f>C45</f>
        <v>0.49453616993244393</v>
      </c>
      <c r="D46" s="69">
        <f t="shared" si="1"/>
        <v>9.8907233986488787</v>
      </c>
    </row>
    <row r="47" spans="1:12" ht="12" thickBot="1">
      <c r="D47" s="76">
        <f>SUM(D41:D46)</f>
        <v>-0.40858539290393914</v>
      </c>
      <c r="E47" s="26" t="s">
        <v>68</v>
      </c>
    </row>
    <row r="48" spans="1:12" s="77" customFormat="1" ht="12" thickBot="1"/>
    <row r="49" spans="1:12">
      <c r="A49" s="89" t="s">
        <v>23</v>
      </c>
    </row>
    <row r="50" spans="1:12">
      <c r="A50" s="27" t="s">
        <v>54</v>
      </c>
      <c r="B50" s="27" t="s">
        <v>61</v>
      </c>
      <c r="C50" s="27" t="s">
        <v>55</v>
      </c>
    </row>
    <row r="51" spans="1:12">
      <c r="A51" s="71">
        <v>8</v>
      </c>
      <c r="B51" s="27">
        <f>C51-A51</f>
        <v>12</v>
      </c>
      <c r="C51" s="71">
        <v>20</v>
      </c>
    </row>
    <row r="52" spans="1:12">
      <c r="A52" s="75">
        <f>IRR!E28</f>
        <v>-5.8773692658263101</v>
      </c>
      <c r="B52" s="70">
        <f>A52-C52</f>
        <v>21.688217153926761</v>
      </c>
      <c r="C52" s="75">
        <f>IRR!H28</f>
        <v>-27.565586419753071</v>
      </c>
    </row>
    <row r="53" spans="1:12">
      <c r="A53" s="27" t="s">
        <v>12</v>
      </c>
      <c r="B53" s="27"/>
      <c r="C53" s="27" t="s">
        <v>12</v>
      </c>
    </row>
    <row r="55" spans="1:12">
      <c r="A55" s="27" t="s">
        <v>56</v>
      </c>
      <c r="C55" s="27" t="s">
        <v>58</v>
      </c>
    </row>
    <row r="56" spans="1:12">
      <c r="A56" s="27">
        <f>B51</f>
        <v>12</v>
      </c>
      <c r="B56" s="66" t="s">
        <v>57</v>
      </c>
      <c r="C56" s="70">
        <f>B52</f>
        <v>21.688217153926761</v>
      </c>
    </row>
    <row r="58" spans="1:12">
      <c r="A58" s="67">
        <v>0.01</v>
      </c>
      <c r="B58" s="66" t="s">
        <v>57</v>
      </c>
      <c r="C58" s="70">
        <f>C56/A56</f>
        <v>1.8073514294938968</v>
      </c>
      <c r="D58" s="26" t="s">
        <v>59</v>
      </c>
    </row>
    <row r="60" spans="1:12">
      <c r="A60" s="26" t="s">
        <v>60</v>
      </c>
    </row>
    <row r="61" spans="1:12" ht="12" thickBot="1">
      <c r="K61" s="27" t="s">
        <v>70</v>
      </c>
    </row>
    <row r="62" spans="1:12" ht="12" thickBot="1">
      <c r="A62" s="48" t="s">
        <v>62</v>
      </c>
      <c r="B62" s="40"/>
      <c r="C62" s="70">
        <f>A52</f>
        <v>-5.8773692658263101</v>
      </c>
      <c r="D62" s="26" t="s">
        <v>63</v>
      </c>
      <c r="G62" s="27">
        <f>A51</f>
        <v>8</v>
      </c>
      <c r="H62" s="27" t="s">
        <v>64</v>
      </c>
      <c r="I62" s="70">
        <f>C62/C58</f>
        <v>-3.2519238759625844</v>
      </c>
      <c r="J62" s="27" t="s">
        <v>65</v>
      </c>
      <c r="K62" s="72">
        <f>G62+I62</f>
        <v>4.7480761240374161</v>
      </c>
      <c r="L62" s="26" t="s">
        <v>56</v>
      </c>
    </row>
    <row r="64" spans="1:12">
      <c r="A64" s="26" t="s">
        <v>66</v>
      </c>
      <c r="C64" s="26" t="s">
        <v>67</v>
      </c>
    </row>
    <row r="65" spans="1:5">
      <c r="A65" s="26" t="str">
        <f>IRR!B22</f>
        <v>Project 3</v>
      </c>
      <c r="B65" s="73">
        <f>IRR!C22</f>
        <v>-100</v>
      </c>
      <c r="C65" s="26">
        <v>1</v>
      </c>
      <c r="D65" s="26">
        <f>B65*C65</f>
        <v>-100</v>
      </c>
    </row>
    <row r="66" spans="1:5">
      <c r="A66" s="26" t="str">
        <f>IRR!B23</f>
        <v>Year 1</v>
      </c>
      <c r="B66" s="73">
        <f>IRR!C23</f>
        <v>25</v>
      </c>
      <c r="C66" s="68">
        <f>1/(1+($K$62)/100)</f>
        <v>0.95467147178517153</v>
      </c>
      <c r="D66" s="69">
        <f t="shared" ref="D66:D70" si="2">B66*C66</f>
        <v>23.866786794629288</v>
      </c>
    </row>
    <row r="67" spans="1:5">
      <c r="A67" s="26" t="str">
        <f>IRR!B24</f>
        <v>Year 2</v>
      </c>
      <c r="B67" s="73">
        <f>IRR!C24</f>
        <v>25</v>
      </c>
      <c r="C67" s="68">
        <f>1/((1+($K$62)/100)*(1+($K$62)/100))</f>
        <v>0.91139761904046557</v>
      </c>
      <c r="D67" s="69">
        <f t="shared" si="2"/>
        <v>22.784940476011638</v>
      </c>
    </row>
    <row r="68" spans="1:5">
      <c r="A68" s="26" t="str">
        <f>IRR!B25</f>
        <v>Year 3</v>
      </c>
      <c r="B68" s="73">
        <f>IRR!C25</f>
        <v>30</v>
      </c>
      <c r="C68" s="68">
        <f>1/((1+($K$62)/100)*(1+($K$62)/100)*(1+($K$62)/100))</f>
        <v>0.87008530635086234</v>
      </c>
      <c r="D68" s="69">
        <f t="shared" si="2"/>
        <v>26.10255919052587</v>
      </c>
    </row>
    <row r="69" spans="1:5">
      <c r="A69" s="26" t="str">
        <f>IRR!B26</f>
        <v>Year 4</v>
      </c>
      <c r="B69" s="73">
        <f>IRR!C26</f>
        <v>35</v>
      </c>
      <c r="C69" s="68">
        <f>1/((1+($K$62)/100)*(1+($K$62)/100)*(1+($K$62)/100)*(1+($K$62)/100))</f>
        <v>0.83064561999262965</v>
      </c>
      <c r="D69" s="69">
        <f t="shared" si="2"/>
        <v>29.072596699742039</v>
      </c>
    </row>
    <row r="70" spans="1:5" ht="12" thickBot="1">
      <c r="A70" s="26" t="str">
        <f>IRR!B27</f>
        <v>Disposal</v>
      </c>
      <c r="B70" s="73">
        <f>IRR!C27</f>
        <v>0</v>
      </c>
      <c r="C70" s="68">
        <f>C69</f>
        <v>0.83064561999262965</v>
      </c>
      <c r="D70" s="69">
        <f t="shared" si="2"/>
        <v>0</v>
      </c>
    </row>
    <row r="71" spans="1:5" ht="12" thickBot="1">
      <c r="D71" s="76">
        <f>SUM(D65:D70)</f>
        <v>1.8268831609088423</v>
      </c>
      <c r="E71" s="26" t="s">
        <v>68</v>
      </c>
    </row>
    <row r="72" spans="1:5" s="77" customFormat="1" ht="12" thickBot="1"/>
    <row r="73" spans="1:5">
      <c r="A73" s="89" t="s">
        <v>24</v>
      </c>
    </row>
    <row r="74" spans="1:5">
      <c r="A74" s="27" t="s">
        <v>54</v>
      </c>
      <c r="B74" s="27" t="s">
        <v>61</v>
      </c>
      <c r="C74" s="27" t="s">
        <v>55</v>
      </c>
    </row>
    <row r="75" spans="1:5">
      <c r="A75" s="71">
        <v>8</v>
      </c>
      <c r="B75" s="27">
        <f>C75-A75</f>
        <v>12</v>
      </c>
      <c r="C75" s="71">
        <v>20</v>
      </c>
    </row>
    <row r="76" spans="1:5">
      <c r="A76" s="75">
        <f>IRR!E37</f>
        <v>20.589416322790285</v>
      </c>
      <c r="B76" s="70">
        <f>A76-C76</f>
        <v>29.609478051185338</v>
      </c>
      <c r="C76" s="75">
        <f>IRR!H37</f>
        <v>-9.0200617283950528</v>
      </c>
    </row>
    <row r="77" spans="1:5">
      <c r="A77" s="27" t="s">
        <v>12</v>
      </c>
      <c r="B77" s="27"/>
      <c r="C77" s="27" t="s">
        <v>12</v>
      </c>
    </row>
    <row r="79" spans="1:5">
      <c r="A79" s="27" t="s">
        <v>56</v>
      </c>
      <c r="C79" s="27" t="s">
        <v>58</v>
      </c>
    </row>
    <row r="80" spans="1:5">
      <c r="A80" s="27">
        <f>B75</f>
        <v>12</v>
      </c>
      <c r="B80" s="66" t="s">
        <v>57</v>
      </c>
      <c r="C80" s="70">
        <f>B76</f>
        <v>29.609478051185338</v>
      </c>
    </row>
    <row r="82" spans="1:12">
      <c r="A82" s="67">
        <v>0.01</v>
      </c>
      <c r="B82" s="66" t="s">
        <v>57</v>
      </c>
      <c r="C82" s="70">
        <f>C80/A80</f>
        <v>2.4674565042654448</v>
      </c>
      <c r="D82" s="26" t="s">
        <v>59</v>
      </c>
    </row>
    <row r="84" spans="1:12">
      <c r="A84" s="26" t="s">
        <v>60</v>
      </c>
    </row>
    <row r="85" spans="1:12" ht="12" thickBot="1">
      <c r="K85" s="27" t="s">
        <v>70</v>
      </c>
    </row>
    <row r="86" spans="1:12" ht="12" thickBot="1">
      <c r="A86" s="48" t="s">
        <v>62</v>
      </c>
      <c r="B86" s="40"/>
      <c r="C86" s="70">
        <f>A76</f>
        <v>20.589416322790285</v>
      </c>
      <c r="D86" s="26" t="s">
        <v>63</v>
      </c>
      <c r="G86" s="27">
        <f>A75</f>
        <v>8</v>
      </c>
      <c r="H86" s="27" t="s">
        <v>64</v>
      </c>
      <c r="I86" s="70">
        <f>C86/C82</f>
        <v>8.3443887611383438</v>
      </c>
      <c r="J86" s="27" t="s">
        <v>65</v>
      </c>
      <c r="K86" s="72">
        <f>G86+I86</f>
        <v>16.344388761138344</v>
      </c>
      <c r="L86" s="26" t="s">
        <v>56</v>
      </c>
    </row>
    <row r="88" spans="1:12">
      <c r="A88" s="26" t="s">
        <v>66</v>
      </c>
      <c r="C88" s="26" t="s">
        <v>67</v>
      </c>
    </row>
    <row r="89" spans="1:12">
      <c r="A89" s="26" t="str">
        <f>IRR!B31</f>
        <v>Project 4</v>
      </c>
      <c r="B89" s="73">
        <f>IRR!C31</f>
        <v>-90</v>
      </c>
      <c r="C89" s="26">
        <v>1</v>
      </c>
      <c r="D89" s="26">
        <f>B89*C89</f>
        <v>-90</v>
      </c>
    </row>
    <row r="90" spans="1:12">
      <c r="A90" s="26" t="str">
        <f>IRR!B32</f>
        <v>Year 1</v>
      </c>
      <c r="B90" s="73">
        <f>IRR!C32</f>
        <v>15</v>
      </c>
      <c r="C90" s="68">
        <f>1/(1+($K$86)/100)</f>
        <v>0.85951717194806609</v>
      </c>
      <c r="D90" s="69">
        <f t="shared" ref="D90:D94" si="3">B90*C90</f>
        <v>12.892757579220991</v>
      </c>
    </row>
    <row r="91" spans="1:12">
      <c r="A91" s="26" t="str">
        <f>IRR!B33</f>
        <v>Year 2</v>
      </c>
      <c r="B91" s="73">
        <f>IRR!C33</f>
        <v>25</v>
      </c>
      <c r="C91" s="68">
        <f>1/((1+($K$86)/100)*(1+($K$86)/100))</f>
        <v>0.73876976887360135</v>
      </c>
      <c r="D91" s="69">
        <f t="shared" si="3"/>
        <v>18.469244221840032</v>
      </c>
    </row>
    <row r="92" spans="1:12">
      <c r="A92" s="26" t="str">
        <f>IRR!B34</f>
        <v>Year 3</v>
      </c>
      <c r="B92" s="73">
        <f>IRR!C34</f>
        <v>30</v>
      </c>
      <c r="C92" s="68">
        <f>1/((1+($K$86)/100)*(1+($K$86)/100)*(1+($K$86)/100))</f>
        <v>0.63498530246296425</v>
      </c>
      <c r="D92" s="69">
        <f t="shared" si="3"/>
        <v>19.049559073888929</v>
      </c>
    </row>
    <row r="93" spans="1:12">
      <c r="A93" s="26" t="str">
        <f>IRR!B35</f>
        <v>Year 4</v>
      </c>
      <c r="B93" s="73">
        <f>IRR!C35</f>
        <v>55</v>
      </c>
      <c r="C93" s="68">
        <f>1/((1+($K$86)/100)*(1+($K$86)/100)*(1+($K$86)/100)*(1+($K$86)/100))</f>
        <v>0.54578077140155445</v>
      </c>
      <c r="D93" s="69">
        <f t="shared" si="3"/>
        <v>30.017942427085494</v>
      </c>
    </row>
    <row r="94" spans="1:12" ht="12" thickBot="1">
      <c r="A94" s="26" t="str">
        <f>IRR!B36</f>
        <v>Disposal</v>
      </c>
      <c r="B94" s="73">
        <f>IRR!C36</f>
        <v>15</v>
      </c>
      <c r="C94" s="68">
        <f>C93</f>
        <v>0.54578077140155445</v>
      </c>
      <c r="D94" s="69">
        <f t="shared" si="3"/>
        <v>8.1867115710233165</v>
      </c>
    </row>
    <row r="95" spans="1:12" ht="12" thickBot="1">
      <c r="D95" s="76">
        <f>SUM(D89:D94)</f>
        <v>-1.3837851269412482</v>
      </c>
      <c r="E95" s="26" t="s">
        <v>68</v>
      </c>
    </row>
  </sheetData>
  <pageMargins left="0.7" right="0.7" top="0.75" bottom="0.75" header="0.3" footer="0.3"/>
  <pageSetup orientation="portrait" r:id="rId1"/>
  <rowBreaks count="1" manualBreakCount="1">
    <brk id="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B2"/>
  <sheetViews>
    <sheetView workbookViewId="0">
      <selection activeCell="I10" sqref="I10"/>
    </sheetView>
  </sheetViews>
  <sheetFormatPr defaultRowHeight="15"/>
  <sheetData>
    <row r="2" spans="2:2">
      <c r="B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Question</vt:lpstr>
      <vt:lpstr>Sheet1</vt:lpstr>
      <vt:lpstr>Payback</vt:lpstr>
      <vt:lpstr>Discounted payback</vt:lpstr>
      <vt:lpstr>NPV</vt:lpstr>
      <vt:lpstr>IRR</vt:lpstr>
      <vt:lpstr>Optimal investment</vt:lpstr>
      <vt:lpstr>Discount Tables</vt:lpstr>
      <vt:lpstr>IRR calc check</vt:lpstr>
      <vt:lpstr>Resources</vt:lpstr>
      <vt:lpstr>'Discount Tables'!Print_Area</vt:lpstr>
      <vt:lpstr>IRR!Print_Area</vt:lpstr>
      <vt:lpstr>NPV!Print_Area</vt:lpstr>
      <vt:lpstr>'Optimal investment'!Print_Area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2017-07-26T11:57:30Z</dcterms:modified>
</cp:coreProperties>
</file>