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dc\OneDrive - University of Wales Trinity Saint David\Powertrain\"/>
    </mc:Choice>
  </mc:AlternateContent>
  <xr:revisionPtr revIDLastSave="33" documentId="114_{64CC20EA-070A-4BD0-878A-6F0FBDE1C8DD}" xr6:coauthVersionLast="45" xr6:coauthVersionMax="45" xr10:uidLastSave="{482B0689-30BC-4496-9AF1-A9EFF072C3C8}"/>
  <bookViews>
    <workbookView xWindow="-108" yWindow="-108" windowWidth="23256" windowHeight="12576" activeTab="2" xr2:uid="{00000000-000D-0000-FFFF-FFFF00000000}"/>
  </bookViews>
  <sheets>
    <sheet name="task1" sheetId="21" r:id="rId1"/>
    <sheet name="task2" sheetId="19" r:id="rId2"/>
    <sheet name="task2 b" sheetId="22" r:id="rId3"/>
    <sheet name="tables" sheetId="1" r:id="rId4"/>
    <sheet name="CO" sheetId="5" state="hidden" r:id="rId5"/>
    <sheet name="C gas" sheetId="6" state="hidden" r:id="rId6"/>
    <sheet name="C solid" sheetId="7" state="hidden" r:id="rId7"/>
    <sheet name="CH4" sheetId="8" state="hidden" r:id="rId8"/>
    <sheet name="H2" sheetId="9" state="hidden" r:id="rId9"/>
    <sheet name="H" sheetId="10" state="hidden" r:id="rId10"/>
    <sheet name="O" sheetId="11" state="hidden" r:id="rId11"/>
    <sheet name="OH" sheetId="12" state="hidden" r:id="rId12"/>
    <sheet name="N" sheetId="13" state="hidden" r:id="rId13"/>
    <sheet name="NO" sheetId="14" state="hidden" r:id="rId14"/>
    <sheet name="NO2" sheetId="15" state="hidden" r:id="rId15"/>
    <sheet name="SO2" sheetId="16" state="hidden" r:id="rId16"/>
    <sheet name="SO3" sheetId="17" state="hidden" r:id="rId17"/>
    <sheet name="C3H8" sheetId="18" state="hidden" r:id="rId18"/>
  </sheets>
  <calcPr calcId="191029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4" i="22" l="1"/>
  <c r="L80" i="22"/>
  <c r="L76" i="22"/>
  <c r="L72" i="22"/>
  <c r="L68" i="22"/>
  <c r="L64" i="22"/>
  <c r="AC8" i="19"/>
  <c r="AC9" i="19"/>
  <c r="AC10" i="19"/>
  <c r="AC11" i="19"/>
  <c r="AC12" i="19"/>
  <c r="AC13" i="19"/>
  <c r="AC14" i="19"/>
  <c r="AC15" i="19"/>
  <c r="AC16" i="19"/>
  <c r="AC17" i="19"/>
  <c r="AC18" i="19"/>
  <c r="AC7" i="19"/>
  <c r="AB8" i="19"/>
  <c r="AB9" i="19"/>
  <c r="AB10" i="19"/>
  <c r="AB11" i="19"/>
  <c r="AB12" i="19"/>
  <c r="AB13" i="19"/>
  <c r="AB14" i="19"/>
  <c r="AB15" i="19"/>
  <c r="AB16" i="19"/>
  <c r="AB17" i="19"/>
  <c r="AB18" i="19"/>
  <c r="AB7" i="19"/>
  <c r="D11" i="21" l="1"/>
  <c r="AA8" i="19" l="1"/>
  <c r="AA9" i="19"/>
  <c r="AA10" i="19"/>
  <c r="AA11" i="19"/>
  <c r="AA12" i="19"/>
  <c r="AA13" i="19"/>
  <c r="AA14" i="19"/>
  <c r="AA15" i="19"/>
  <c r="AA16" i="19"/>
  <c r="AA17" i="19"/>
  <c r="AA18" i="19"/>
  <c r="AA7" i="19"/>
  <c r="O3" i="19"/>
  <c r="B21" i="19"/>
  <c r="F14" i="21" l="1"/>
  <c r="N24" i="19" l="1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23" i="19"/>
  <c r="D17" i="21"/>
  <c r="F54" i="22" l="1"/>
  <c r="E30" i="19" l="1"/>
  <c r="B17" i="19"/>
  <c r="E71" i="22"/>
  <c r="E70" i="22"/>
  <c r="E69" i="22"/>
  <c r="E68" i="22"/>
  <c r="E60" i="22"/>
  <c r="E57" i="22"/>
  <c r="E58" i="22" s="1"/>
  <c r="G50" i="22"/>
  <c r="S54" i="22" s="1"/>
  <c r="G49" i="22"/>
  <c r="R54" i="22" s="1"/>
  <c r="G48" i="22"/>
  <c r="Q54" i="22" s="1"/>
  <c r="L54" i="22"/>
  <c r="G47" i="22"/>
  <c r="E47" i="22"/>
  <c r="E46" i="22"/>
  <c r="E33" i="22"/>
  <c r="E32" i="22"/>
  <c r="E31" i="22"/>
  <c r="E30" i="22"/>
  <c r="AK23" i="22"/>
  <c r="AK24" i="22" s="1"/>
  <c r="U23" i="22"/>
  <c r="U24" i="22" s="1"/>
  <c r="AK22" i="22"/>
  <c r="AI22" i="22"/>
  <c r="AG22" i="22"/>
  <c r="AE22" i="22"/>
  <c r="AE23" i="22" s="1"/>
  <c r="AC22" i="22"/>
  <c r="AC23" i="22" s="1"/>
  <c r="AC24" i="22" s="1"/>
  <c r="AA22" i="22"/>
  <c r="Y22" i="22"/>
  <c r="X22" i="22"/>
  <c r="W22" i="22"/>
  <c r="W23" i="22" s="1"/>
  <c r="U22" i="22"/>
  <c r="S22" i="22"/>
  <c r="Q22" i="22"/>
  <c r="P22" i="22"/>
  <c r="O22" i="22"/>
  <c r="O23" i="22" s="1"/>
  <c r="M22" i="22"/>
  <c r="M23" i="22" s="1"/>
  <c r="M24" i="22" s="1"/>
  <c r="G17" i="22"/>
  <c r="B17" i="22"/>
  <c r="J16" i="22"/>
  <c r="J15" i="22"/>
  <c r="G15" i="22"/>
  <c r="J14" i="22"/>
  <c r="G14" i="22"/>
  <c r="E14" i="22"/>
  <c r="E19" i="22" s="1"/>
  <c r="B14" i="22"/>
  <c r="B15" i="22" s="1"/>
  <c r="E13" i="22"/>
  <c r="E9" i="22"/>
  <c r="H9" i="22" s="1"/>
  <c r="E18" i="22" s="1"/>
  <c r="S3" i="22"/>
  <c r="R3" i="22"/>
  <c r="M3" i="22"/>
  <c r="N22" i="22" l="1"/>
  <c r="E62" i="22"/>
  <c r="E63" i="22" s="1"/>
  <c r="H54" i="22" s="1"/>
  <c r="AL23" i="22"/>
  <c r="Q3" i="22"/>
  <c r="B20" i="22"/>
  <c r="F20" i="22"/>
  <c r="E23" i="22"/>
  <c r="Y23" i="22"/>
  <c r="Z22" i="22"/>
  <c r="M25" i="22"/>
  <c r="N24" i="22"/>
  <c r="K54" i="22"/>
  <c r="P54" i="22"/>
  <c r="G16" i="22"/>
  <c r="O24" i="22"/>
  <c r="P23" i="22"/>
  <c r="AB22" i="22"/>
  <c r="N23" i="22"/>
  <c r="I54" i="22"/>
  <c r="J54" i="22"/>
  <c r="AL22" i="22"/>
  <c r="AD22" i="22"/>
  <c r="V22" i="22"/>
  <c r="R22" i="22"/>
  <c r="Q23" i="22"/>
  <c r="V23" i="22"/>
  <c r="AC25" i="22"/>
  <c r="AD24" i="22"/>
  <c r="U25" i="22"/>
  <c r="V24" i="22"/>
  <c r="AE24" i="22"/>
  <c r="AF23" i="22"/>
  <c r="T22" i="22"/>
  <c r="AF22" i="22"/>
  <c r="T3" i="22"/>
  <c r="U3" i="22"/>
  <c r="AG23" i="22"/>
  <c r="AH22" i="22"/>
  <c r="AD23" i="22"/>
  <c r="B21" i="22"/>
  <c r="W24" i="22"/>
  <c r="X23" i="22"/>
  <c r="AJ22" i="22"/>
  <c r="AK25" i="22"/>
  <c r="AL24" i="22"/>
  <c r="S23" i="22"/>
  <c r="AA23" i="22"/>
  <c r="AI23" i="22"/>
  <c r="F36" i="21"/>
  <c r="F35" i="21"/>
  <c r="H15" i="21"/>
  <c r="D8" i="21"/>
  <c r="F9" i="21" s="1"/>
  <c r="D7" i="21"/>
  <c r="F8" i="21" s="1"/>
  <c r="D27" i="21"/>
  <c r="D24" i="21"/>
  <c r="D29" i="21" s="1"/>
  <c r="D30" i="21" s="1"/>
  <c r="G18" i="21"/>
  <c r="AJ23" i="22" l="1"/>
  <c r="AI24" i="22"/>
  <c r="T23" i="22"/>
  <c r="S24" i="22"/>
  <c r="N25" i="22"/>
  <c r="M26" i="22"/>
  <c r="AB23" i="22"/>
  <c r="AA24" i="22"/>
  <c r="Z23" i="22"/>
  <c r="Y24" i="22"/>
  <c r="AF24" i="22"/>
  <c r="AE25" i="22"/>
  <c r="P24" i="22"/>
  <c r="O25" i="22"/>
  <c r="O3" i="22"/>
  <c r="N3" i="22"/>
  <c r="AD25" i="22"/>
  <c r="AC26" i="22"/>
  <c r="R23" i="22"/>
  <c r="Q24" i="22"/>
  <c r="AL25" i="22"/>
  <c r="AK26" i="22"/>
  <c r="P3" i="22"/>
  <c r="X24" i="22"/>
  <c r="W25" i="22"/>
  <c r="AH23" i="22"/>
  <c r="AG24" i="22"/>
  <c r="V25" i="22"/>
  <c r="U26" i="22"/>
  <c r="E22" i="22"/>
  <c r="D12" i="21"/>
  <c r="I11" i="21"/>
  <c r="G11" i="21" s="1"/>
  <c r="F7" i="21"/>
  <c r="H16" i="21"/>
  <c r="H14" i="21" s="1"/>
  <c r="I8" i="21"/>
  <c r="F15" i="21"/>
  <c r="D25" i="21"/>
  <c r="AL26" i="22" l="1"/>
  <c r="AK27" i="22"/>
  <c r="P25" i="22"/>
  <c r="O26" i="22"/>
  <c r="V26" i="22"/>
  <c r="U27" i="22"/>
  <c r="AH24" i="22"/>
  <c r="AG25" i="22"/>
  <c r="X25" i="22"/>
  <c r="W26" i="22"/>
  <c r="AD26" i="22"/>
  <c r="AC27" i="22"/>
  <c r="AF25" i="22"/>
  <c r="AE26" i="22"/>
  <c r="AA25" i="22"/>
  <c r="AB24" i="22"/>
  <c r="AI25" i="22"/>
  <c r="AJ24" i="22"/>
  <c r="R24" i="22"/>
  <c r="Q25" i="22"/>
  <c r="S25" i="22"/>
  <c r="T24" i="22"/>
  <c r="Z24" i="22"/>
  <c r="Y25" i="22"/>
  <c r="N26" i="22"/>
  <c r="M27" i="22"/>
  <c r="G12" i="21"/>
  <c r="F10" i="21"/>
  <c r="AC28" i="22" l="1"/>
  <c r="AD27" i="22"/>
  <c r="W27" i="22"/>
  <c r="X26" i="22"/>
  <c r="O27" i="22"/>
  <c r="P26" i="22"/>
  <c r="U28" i="22"/>
  <c r="V27" i="22"/>
  <c r="AI26" i="22"/>
  <c r="AJ25" i="22"/>
  <c r="AA26" i="22"/>
  <c r="AB25" i="22"/>
  <c r="Y26" i="22"/>
  <c r="Z25" i="22"/>
  <c r="M28" i="22"/>
  <c r="N27" i="22"/>
  <c r="S26" i="22"/>
  <c r="T25" i="22"/>
  <c r="AE27" i="22"/>
  <c r="AF26" i="22"/>
  <c r="AG26" i="22"/>
  <c r="AH25" i="22"/>
  <c r="AK28" i="22"/>
  <c r="AL27" i="22"/>
  <c r="Q26" i="22"/>
  <c r="R25" i="22"/>
  <c r="E13" i="21"/>
  <c r="D15" i="21"/>
  <c r="U29" i="22" l="1"/>
  <c r="V28" i="22"/>
  <c r="AK29" i="22"/>
  <c r="AL28" i="22"/>
  <c r="M29" i="22"/>
  <c r="N28" i="22"/>
  <c r="AB26" i="22"/>
  <c r="AA27" i="22"/>
  <c r="O28" i="22"/>
  <c r="P27" i="22"/>
  <c r="AG27" i="22"/>
  <c r="AH26" i="22"/>
  <c r="Q27" i="22"/>
  <c r="R26" i="22"/>
  <c r="AE28" i="22"/>
  <c r="AF27" i="22"/>
  <c r="W28" i="22"/>
  <c r="X27" i="22"/>
  <c r="AJ26" i="22"/>
  <c r="AI27" i="22"/>
  <c r="T26" i="22"/>
  <c r="S27" i="22"/>
  <c r="Y27" i="22"/>
  <c r="Z26" i="22"/>
  <c r="AC29" i="22"/>
  <c r="AD28" i="22"/>
  <c r="D14" i="21"/>
  <c r="AH27" i="22" l="1"/>
  <c r="AG28" i="22"/>
  <c r="V29" i="22"/>
  <c r="U30" i="22"/>
  <c r="AD29" i="22"/>
  <c r="AC30" i="22"/>
  <c r="Z27" i="22"/>
  <c r="Y28" i="22"/>
  <c r="P28" i="22"/>
  <c r="O29" i="22"/>
  <c r="X28" i="22"/>
  <c r="W29" i="22"/>
  <c r="T27" i="22"/>
  <c r="S28" i="22"/>
  <c r="AF28" i="22"/>
  <c r="AE29" i="22"/>
  <c r="AB27" i="22"/>
  <c r="AA28" i="22"/>
  <c r="N29" i="22"/>
  <c r="M30" i="22"/>
  <c r="AJ27" i="22"/>
  <c r="AI28" i="22"/>
  <c r="R27" i="22"/>
  <c r="Q28" i="22"/>
  <c r="AL29" i="22"/>
  <c r="AK30" i="22"/>
  <c r="R47" i="19"/>
  <c r="E71" i="19"/>
  <c r="E70" i="19"/>
  <c r="E69" i="19"/>
  <c r="E68" i="19"/>
  <c r="R28" i="22" l="1"/>
  <c r="Q29" i="22"/>
  <c r="AA29" i="22"/>
  <c r="AB28" i="22"/>
  <c r="P29" i="22"/>
  <c r="O30" i="22"/>
  <c r="AF29" i="22"/>
  <c r="AE30" i="22"/>
  <c r="Z28" i="22"/>
  <c r="Y29" i="22"/>
  <c r="S29" i="22"/>
  <c r="T28" i="22"/>
  <c r="AI29" i="22"/>
  <c r="AJ28" i="22"/>
  <c r="U31" i="22"/>
  <c r="V30" i="22"/>
  <c r="AH28" i="22"/>
  <c r="AG29" i="22"/>
  <c r="AK31" i="22"/>
  <c r="AL30" i="22"/>
  <c r="M31" i="22"/>
  <c r="N30" i="22"/>
  <c r="X29" i="22"/>
  <c r="W30" i="22"/>
  <c r="AC31" i="22"/>
  <c r="AD30" i="22"/>
  <c r="E60" i="19"/>
  <c r="E57" i="19"/>
  <c r="E62" i="19" s="1"/>
  <c r="E63" i="19" s="1"/>
  <c r="N47" i="19" s="1"/>
  <c r="G49" i="19"/>
  <c r="X47" i="19" s="1"/>
  <c r="G50" i="19"/>
  <c r="Y47" i="19" s="1"/>
  <c r="G48" i="19"/>
  <c r="G47" i="19"/>
  <c r="V47" i="19" s="1"/>
  <c r="E47" i="19"/>
  <c r="E46" i="19"/>
  <c r="Q30" i="22" l="1"/>
  <c r="R29" i="22"/>
  <c r="AC32" i="22"/>
  <c r="AD31" i="22"/>
  <c r="X30" i="22"/>
  <c r="W31" i="22"/>
  <c r="U32" i="22"/>
  <c r="V31" i="22"/>
  <c r="AE31" i="22"/>
  <c r="AF30" i="22"/>
  <c r="M32" i="22"/>
  <c r="N31" i="22"/>
  <c r="AI30" i="22"/>
  <c r="AJ29" i="22"/>
  <c r="Y30" i="22"/>
  <c r="Z29" i="22"/>
  <c r="O31" i="22"/>
  <c r="P30" i="22"/>
  <c r="AA30" i="22"/>
  <c r="AB29" i="22"/>
  <c r="AK32" i="22"/>
  <c r="AL31" i="22"/>
  <c r="AG30" i="22"/>
  <c r="AH29" i="22"/>
  <c r="S30" i="22"/>
  <c r="T29" i="22"/>
  <c r="Q47" i="19"/>
  <c r="W47" i="19"/>
  <c r="E58" i="19"/>
  <c r="O47" i="19" s="1"/>
  <c r="G15" i="19"/>
  <c r="W22" i="19"/>
  <c r="G17" i="19"/>
  <c r="M3" i="19"/>
  <c r="R3" i="19"/>
  <c r="AH30" i="22" l="1"/>
  <c r="AG31" i="22"/>
  <c r="X31" i="22"/>
  <c r="W32" i="22"/>
  <c r="Z30" i="22"/>
  <c r="Y31" i="22"/>
  <c r="V32" i="22"/>
  <c r="U33" i="22"/>
  <c r="AL32" i="22"/>
  <c r="AK33" i="22"/>
  <c r="AJ30" i="22"/>
  <c r="AI31" i="22"/>
  <c r="AB30" i="22"/>
  <c r="AA31" i="22"/>
  <c r="N32" i="22"/>
  <c r="M33" i="22"/>
  <c r="AD32" i="22"/>
  <c r="AC33" i="22"/>
  <c r="T30" i="22"/>
  <c r="S31" i="22"/>
  <c r="P31" i="22"/>
  <c r="O32" i="22"/>
  <c r="AF31" i="22"/>
  <c r="AE32" i="22"/>
  <c r="R30" i="22"/>
  <c r="Q31" i="22"/>
  <c r="P47" i="19"/>
  <c r="AK22" i="19"/>
  <c r="AI22" i="19"/>
  <c r="AG22" i="19"/>
  <c r="AE22" i="19"/>
  <c r="AC22" i="19"/>
  <c r="AA22" i="19"/>
  <c r="Y22" i="19"/>
  <c r="W23" i="19"/>
  <c r="U22" i="19"/>
  <c r="S22" i="19"/>
  <c r="Q22" i="19"/>
  <c r="O22" i="19"/>
  <c r="M22" i="19"/>
  <c r="N22" i="19" s="1"/>
  <c r="U34" i="22" l="1"/>
  <c r="V33" i="22"/>
  <c r="O33" i="22"/>
  <c r="P32" i="22"/>
  <c r="AA32" i="22"/>
  <c r="AB31" i="22"/>
  <c r="Z31" i="22"/>
  <c r="Y32" i="22"/>
  <c r="S32" i="22"/>
  <c r="T31" i="22"/>
  <c r="AI32" i="22"/>
  <c r="AJ31" i="22"/>
  <c r="W33" i="22"/>
  <c r="X32" i="22"/>
  <c r="AE33" i="22"/>
  <c r="AF32" i="22"/>
  <c r="R31" i="22"/>
  <c r="Q32" i="22"/>
  <c r="AC34" i="22"/>
  <c r="AD33" i="22"/>
  <c r="AK34" i="22"/>
  <c r="AL33" i="22"/>
  <c r="AH31" i="22"/>
  <c r="AG32" i="22"/>
  <c r="M34" i="22"/>
  <c r="N33" i="22"/>
  <c r="W24" i="19"/>
  <c r="AA23" i="19"/>
  <c r="Y23" i="19"/>
  <c r="AC23" i="19"/>
  <c r="AE23" i="19"/>
  <c r="Q23" i="19"/>
  <c r="AG23" i="19"/>
  <c r="S23" i="19"/>
  <c r="AI23" i="19"/>
  <c r="U23" i="19"/>
  <c r="AK23" i="19"/>
  <c r="M23" i="19"/>
  <c r="O23" i="19"/>
  <c r="G14" i="19"/>
  <c r="J16" i="19"/>
  <c r="J15" i="19"/>
  <c r="J14" i="19"/>
  <c r="S3" i="19"/>
  <c r="AE34" i="22" l="1"/>
  <c r="AF33" i="22"/>
  <c r="AK35" i="22"/>
  <c r="AL34" i="22"/>
  <c r="W34" i="22"/>
  <c r="X33" i="22"/>
  <c r="AC35" i="22"/>
  <c r="AD34" i="22"/>
  <c r="AJ32" i="22"/>
  <c r="AI33" i="22"/>
  <c r="O34" i="22"/>
  <c r="P33" i="22"/>
  <c r="Y33" i="22"/>
  <c r="Z32" i="22"/>
  <c r="AG33" i="22"/>
  <c r="AH32" i="22"/>
  <c r="AB32" i="22"/>
  <c r="AA33" i="22"/>
  <c r="R32" i="22"/>
  <c r="Q33" i="22"/>
  <c r="M35" i="22"/>
  <c r="N34" i="22"/>
  <c r="T32" i="22"/>
  <c r="S33" i="22"/>
  <c r="U35" i="22"/>
  <c r="V34" i="22"/>
  <c r="AG24" i="19"/>
  <c r="AK24" i="19"/>
  <c r="U24" i="19"/>
  <c r="Q24" i="19"/>
  <c r="Y24" i="19"/>
  <c r="AI24" i="19"/>
  <c r="AA24" i="19"/>
  <c r="AE24" i="19"/>
  <c r="AC24" i="19"/>
  <c r="S24" i="19"/>
  <c r="W25" i="19"/>
  <c r="O24" i="19"/>
  <c r="M24" i="19"/>
  <c r="B14" i="19"/>
  <c r="B20" i="19" s="1"/>
  <c r="E14" i="19"/>
  <c r="E13" i="19"/>
  <c r="E9" i="19"/>
  <c r="AH33" i="22" l="1"/>
  <c r="AG34" i="22"/>
  <c r="AD35" i="22"/>
  <c r="AC36" i="22"/>
  <c r="T33" i="22"/>
  <c r="S34" i="22"/>
  <c r="N35" i="22"/>
  <c r="M36" i="22"/>
  <c r="P34" i="22"/>
  <c r="O35" i="22"/>
  <c r="AL35" i="22"/>
  <c r="AK36" i="22"/>
  <c r="X34" i="22"/>
  <c r="W35" i="22"/>
  <c r="AB33" i="22"/>
  <c r="AA34" i="22"/>
  <c r="AJ33" i="22"/>
  <c r="AI34" i="22"/>
  <c r="Z33" i="22"/>
  <c r="Y34" i="22"/>
  <c r="R33" i="22"/>
  <c r="Q34" i="22"/>
  <c r="V35" i="22"/>
  <c r="U36" i="22"/>
  <c r="AF34" i="22"/>
  <c r="AE35" i="22"/>
  <c r="U25" i="19"/>
  <c r="W26" i="19"/>
  <c r="AA25" i="19"/>
  <c r="S25" i="19"/>
  <c r="AI25" i="19"/>
  <c r="AK25" i="19"/>
  <c r="Q25" i="19"/>
  <c r="AE25" i="19"/>
  <c r="AC25" i="19"/>
  <c r="Y25" i="19"/>
  <c r="AG25" i="19"/>
  <c r="M25" i="19"/>
  <c r="O25" i="19"/>
  <c r="B15" i="19"/>
  <c r="V24" i="19" s="1"/>
  <c r="U3" i="19"/>
  <c r="AA35" i="22" l="1"/>
  <c r="AB34" i="22"/>
  <c r="R34" i="22"/>
  <c r="Q35" i="22"/>
  <c r="X35" i="22"/>
  <c r="W36" i="22"/>
  <c r="S35" i="22"/>
  <c r="T34" i="22"/>
  <c r="Z34" i="22"/>
  <c r="Y35" i="22"/>
  <c r="AL36" i="22"/>
  <c r="AK37" i="22"/>
  <c r="AL37" i="22" s="1"/>
  <c r="AD36" i="22"/>
  <c r="AC37" i="22"/>
  <c r="AD37" i="22" s="1"/>
  <c r="V36" i="22"/>
  <c r="U37" i="22"/>
  <c r="V37" i="22" s="1"/>
  <c r="AF35" i="22"/>
  <c r="AE36" i="22"/>
  <c r="AI35" i="22"/>
  <c r="AJ34" i="22"/>
  <c r="P35" i="22"/>
  <c r="O36" i="22"/>
  <c r="AH34" i="22"/>
  <c r="AG35" i="22"/>
  <c r="N36" i="22"/>
  <c r="M37" i="22"/>
  <c r="N37" i="22" s="1"/>
  <c r="Z6" i="22" s="1"/>
  <c r="AH24" i="19"/>
  <c r="T24" i="19"/>
  <c r="Z24" i="19"/>
  <c r="AB24" i="19"/>
  <c r="R24" i="19"/>
  <c r="S26" i="19"/>
  <c r="T25" i="19"/>
  <c r="AA26" i="19"/>
  <c r="AB25" i="19"/>
  <c r="AK26" i="19"/>
  <c r="AL25" i="19"/>
  <c r="X25" i="19"/>
  <c r="Y26" i="19"/>
  <c r="Z25" i="19"/>
  <c r="AL24" i="19"/>
  <c r="AD24" i="19"/>
  <c r="AC26" i="19"/>
  <c r="AD25" i="19"/>
  <c r="AJ24" i="19"/>
  <c r="W27" i="19"/>
  <c r="X26" i="19"/>
  <c r="AF24" i="19"/>
  <c r="AI26" i="19"/>
  <c r="AJ25" i="19"/>
  <c r="AG26" i="19"/>
  <c r="AH25" i="19"/>
  <c r="Q26" i="19"/>
  <c r="R25" i="19"/>
  <c r="X22" i="19"/>
  <c r="AD22" i="19"/>
  <c r="T22" i="19"/>
  <c r="X23" i="19"/>
  <c r="AF22" i="19"/>
  <c r="AB22" i="19"/>
  <c r="P22" i="19"/>
  <c r="AJ22" i="19"/>
  <c r="AH22" i="19"/>
  <c r="Z22" i="19"/>
  <c r="R22" i="19"/>
  <c r="V22" i="19"/>
  <c r="AL22" i="19"/>
  <c r="T23" i="19"/>
  <c r="AB23" i="19"/>
  <c r="AH23" i="19"/>
  <c r="Z23" i="19"/>
  <c r="AD23" i="19"/>
  <c r="P23" i="19"/>
  <c r="X24" i="19"/>
  <c r="AL23" i="19"/>
  <c r="AJ23" i="19"/>
  <c r="R23" i="19"/>
  <c r="V23" i="19"/>
  <c r="AF23" i="19"/>
  <c r="P25" i="19"/>
  <c r="AE26" i="19"/>
  <c r="AF25" i="19"/>
  <c r="P24" i="19"/>
  <c r="U26" i="19"/>
  <c r="V25" i="19"/>
  <c r="O26" i="19"/>
  <c r="P26" i="19" s="1"/>
  <c r="M26" i="19"/>
  <c r="T3" i="19"/>
  <c r="E33" i="19"/>
  <c r="E32" i="19"/>
  <c r="E31" i="19"/>
  <c r="H9" i="19"/>
  <c r="E19" i="19"/>
  <c r="S36" i="22" l="1"/>
  <c r="T35" i="22"/>
  <c r="AG36" i="22"/>
  <c r="AH35" i="22"/>
  <c r="O37" i="22"/>
  <c r="P37" i="22" s="1"/>
  <c r="P36" i="22"/>
  <c r="Z14" i="22"/>
  <c r="AD38" i="22"/>
  <c r="W37" i="22"/>
  <c r="X37" i="22" s="1"/>
  <c r="X36" i="22"/>
  <c r="AL38" i="22"/>
  <c r="Z18" i="22"/>
  <c r="Q36" i="22"/>
  <c r="R35" i="22"/>
  <c r="AI36" i="22"/>
  <c r="AJ35" i="22"/>
  <c r="V38" i="22"/>
  <c r="Z10" i="22"/>
  <c r="AE37" i="22"/>
  <c r="AF37" i="22" s="1"/>
  <c r="AF36" i="22"/>
  <c r="Y36" i="22"/>
  <c r="Z35" i="22"/>
  <c r="AA36" i="22"/>
  <c r="AB35" i="22"/>
  <c r="N3" i="19"/>
  <c r="W28" i="19"/>
  <c r="X27" i="19"/>
  <c r="Y27" i="19"/>
  <c r="Z26" i="19"/>
  <c r="Q27" i="19"/>
  <c r="R26" i="19"/>
  <c r="AK27" i="19"/>
  <c r="AL26" i="19"/>
  <c r="AG27" i="19"/>
  <c r="AH26" i="19"/>
  <c r="AC27" i="19"/>
  <c r="AD26" i="19"/>
  <c r="AA27" i="19"/>
  <c r="AB26" i="19"/>
  <c r="U27" i="19"/>
  <c r="V26" i="19"/>
  <c r="AE27" i="19"/>
  <c r="AF26" i="19"/>
  <c r="AI27" i="19"/>
  <c r="AJ26" i="19"/>
  <c r="S27" i="19"/>
  <c r="T26" i="19"/>
  <c r="M27" i="19"/>
  <c r="O27" i="19"/>
  <c r="P27" i="19" s="1"/>
  <c r="Q3" i="19"/>
  <c r="G16" i="19"/>
  <c r="E18" i="19"/>
  <c r="E23" i="19" s="1"/>
  <c r="AB36" i="22" l="1"/>
  <c r="AA37" i="22"/>
  <c r="AB37" i="22" s="1"/>
  <c r="AJ36" i="22"/>
  <c r="AI37" i="22"/>
  <c r="AJ37" i="22" s="1"/>
  <c r="Y37" i="22"/>
  <c r="Z37" i="22" s="1"/>
  <c r="Z36" i="22"/>
  <c r="AF38" i="22"/>
  <c r="Z15" i="22"/>
  <c r="AG37" i="22"/>
  <c r="AH37" i="22" s="1"/>
  <c r="AH36" i="22"/>
  <c r="Q37" i="22"/>
  <c r="R37" i="22" s="1"/>
  <c r="R36" i="22"/>
  <c r="Z7" i="22"/>
  <c r="P38" i="22"/>
  <c r="X38" i="22"/>
  <c r="Z11" i="22"/>
  <c r="T36" i="22"/>
  <c r="S37" i="22"/>
  <c r="T37" i="22" s="1"/>
  <c r="AA28" i="19"/>
  <c r="AB27" i="19"/>
  <c r="Q28" i="19"/>
  <c r="R27" i="19"/>
  <c r="AE28" i="19"/>
  <c r="AF27" i="19"/>
  <c r="Y28" i="19"/>
  <c r="Z27" i="19"/>
  <c r="AI28" i="19"/>
  <c r="AJ27" i="19"/>
  <c r="U28" i="19"/>
  <c r="V27" i="19"/>
  <c r="AC28" i="19"/>
  <c r="AD27" i="19"/>
  <c r="AK28" i="19"/>
  <c r="AL27" i="19"/>
  <c r="W29" i="19"/>
  <c r="X28" i="19"/>
  <c r="S28" i="19"/>
  <c r="T27" i="19"/>
  <c r="AG28" i="19"/>
  <c r="AH27" i="19"/>
  <c r="O28" i="19"/>
  <c r="P28" i="19" s="1"/>
  <c r="M28" i="19"/>
  <c r="P3" i="19"/>
  <c r="F20" i="19"/>
  <c r="E22" i="19" s="1"/>
  <c r="T38" i="22" l="1"/>
  <c r="Z9" i="22"/>
  <c r="AH38" i="22"/>
  <c r="Z16" i="22"/>
  <c r="AB38" i="22"/>
  <c r="Z13" i="22"/>
  <c r="Z17" i="22"/>
  <c r="AJ38" i="22"/>
  <c r="Z12" i="22"/>
  <c r="Z38" i="22"/>
  <c r="Z8" i="22"/>
  <c r="R38" i="22"/>
  <c r="U29" i="19"/>
  <c r="V28" i="19"/>
  <c r="AG29" i="19"/>
  <c r="AH28" i="19"/>
  <c r="AI29" i="19"/>
  <c r="AJ28" i="19"/>
  <c r="W30" i="19"/>
  <c r="X29" i="19"/>
  <c r="S29" i="19"/>
  <c r="T28" i="19"/>
  <c r="AK29" i="19"/>
  <c r="AL28" i="19"/>
  <c r="Y29" i="19"/>
  <c r="Z28" i="19"/>
  <c r="AA29" i="19"/>
  <c r="AB28" i="19"/>
  <c r="Q29" i="19"/>
  <c r="R28" i="19"/>
  <c r="AC29" i="19"/>
  <c r="AD28" i="19"/>
  <c r="AE29" i="19"/>
  <c r="AF28" i="19"/>
  <c r="M29" i="19"/>
  <c r="O29" i="19"/>
  <c r="P29" i="19" s="1"/>
  <c r="U30" i="19" l="1"/>
  <c r="V29" i="19"/>
  <c r="AK30" i="19"/>
  <c r="AL29" i="19"/>
  <c r="AE30" i="19"/>
  <c r="AF29" i="19"/>
  <c r="AI30" i="19"/>
  <c r="AJ29" i="19"/>
  <c r="AC30" i="19"/>
  <c r="AD29" i="19"/>
  <c r="AA30" i="19"/>
  <c r="AB29" i="19"/>
  <c r="W31" i="19"/>
  <c r="X30" i="19"/>
  <c r="Q30" i="19"/>
  <c r="R29" i="19"/>
  <c r="S30" i="19"/>
  <c r="T29" i="19"/>
  <c r="AG30" i="19"/>
  <c r="AH29" i="19"/>
  <c r="Y30" i="19"/>
  <c r="Z29" i="19"/>
  <c r="O30" i="19"/>
  <c r="P30" i="19" s="1"/>
  <c r="M30" i="19"/>
  <c r="AA31" i="19" l="1"/>
  <c r="AB30" i="19"/>
  <c r="AC31" i="19"/>
  <c r="AD30" i="19"/>
  <c r="Q31" i="19"/>
  <c r="R30" i="19"/>
  <c r="Y31" i="19"/>
  <c r="Z30" i="19"/>
  <c r="AI31" i="19"/>
  <c r="AJ30" i="19"/>
  <c r="AG31" i="19"/>
  <c r="AH30" i="19"/>
  <c r="W32" i="19"/>
  <c r="X31" i="19"/>
  <c r="AE31" i="19"/>
  <c r="AF30" i="19"/>
  <c r="U31" i="19"/>
  <c r="V30" i="19"/>
  <c r="S31" i="19"/>
  <c r="T30" i="19"/>
  <c r="AK31" i="19"/>
  <c r="AL30" i="19"/>
  <c r="M31" i="19"/>
  <c r="O31" i="19"/>
  <c r="P31" i="19" s="1"/>
  <c r="S32" i="19" l="1"/>
  <c r="T31" i="19"/>
  <c r="AG32" i="19"/>
  <c r="AH31" i="19"/>
  <c r="AC32" i="19"/>
  <c r="AD31" i="19"/>
  <c r="U32" i="19"/>
  <c r="V31" i="19"/>
  <c r="AI32" i="19"/>
  <c r="AJ31" i="19"/>
  <c r="AE32" i="19"/>
  <c r="AF31" i="19"/>
  <c r="AA32" i="19"/>
  <c r="AB31" i="19"/>
  <c r="Y32" i="19"/>
  <c r="Z31" i="19"/>
  <c r="AK32" i="19"/>
  <c r="AL31" i="19"/>
  <c r="W33" i="19"/>
  <c r="X32" i="19"/>
  <c r="Q32" i="19"/>
  <c r="R31" i="19"/>
  <c r="O32" i="19"/>
  <c r="P32" i="19" s="1"/>
  <c r="M32" i="19"/>
  <c r="Q33" i="19" l="1"/>
  <c r="R32" i="19"/>
  <c r="AA33" i="19"/>
  <c r="AB32" i="19"/>
  <c r="AC33" i="19"/>
  <c r="AD32" i="19"/>
  <c r="AE33" i="19"/>
  <c r="AF32" i="19"/>
  <c r="AG33" i="19"/>
  <c r="AH32" i="19"/>
  <c r="AI33" i="19"/>
  <c r="AJ32" i="19"/>
  <c r="W34" i="19"/>
  <c r="X33" i="19"/>
  <c r="S33" i="19"/>
  <c r="T32" i="19"/>
  <c r="AK33" i="19"/>
  <c r="AL32" i="19"/>
  <c r="Y33" i="19"/>
  <c r="Z32" i="19"/>
  <c r="U33" i="19"/>
  <c r="V32" i="19"/>
  <c r="M33" i="19"/>
  <c r="O33" i="19"/>
  <c r="P33" i="19" s="1"/>
  <c r="S34" i="19" l="1"/>
  <c r="T33" i="19"/>
  <c r="AE34" i="19"/>
  <c r="AF33" i="19"/>
  <c r="AC34" i="19"/>
  <c r="AD33" i="19"/>
  <c r="U34" i="19"/>
  <c r="V33" i="19"/>
  <c r="AI34" i="19"/>
  <c r="AJ33" i="19"/>
  <c r="AA34" i="19"/>
  <c r="AB33" i="19"/>
  <c r="W35" i="19"/>
  <c r="X34" i="19"/>
  <c r="Y34" i="19"/>
  <c r="Z33" i="19"/>
  <c r="AK34" i="19"/>
  <c r="AL33" i="19"/>
  <c r="AG34" i="19"/>
  <c r="AH33" i="19"/>
  <c r="Q34" i="19"/>
  <c r="R33" i="19"/>
  <c r="O34" i="19"/>
  <c r="P34" i="19" s="1"/>
  <c r="M34" i="19"/>
  <c r="AC35" i="19" l="1"/>
  <c r="AD34" i="19"/>
  <c r="U35" i="19"/>
  <c r="V34" i="19"/>
  <c r="AG35" i="19"/>
  <c r="AH34" i="19"/>
  <c r="AA35" i="19"/>
  <c r="AB34" i="19"/>
  <c r="AE35" i="19"/>
  <c r="AF34" i="19"/>
  <c r="Y35" i="19"/>
  <c r="Z34" i="19"/>
  <c r="Q35" i="19"/>
  <c r="R34" i="19"/>
  <c r="W36" i="19"/>
  <c r="X35" i="19"/>
  <c r="AK35" i="19"/>
  <c r="AL34" i="19"/>
  <c r="AI35" i="19"/>
  <c r="AJ34" i="19"/>
  <c r="S35" i="19"/>
  <c r="T34" i="19"/>
  <c r="M35" i="19"/>
  <c r="O35" i="19"/>
  <c r="P35" i="19" s="1"/>
  <c r="AA36" i="19" l="1"/>
  <c r="AB35" i="19"/>
  <c r="AG36" i="19"/>
  <c r="AH35" i="19"/>
  <c r="W37" i="19"/>
  <c r="X37" i="19" s="1"/>
  <c r="X36" i="19"/>
  <c r="Q36" i="19"/>
  <c r="R35" i="19"/>
  <c r="AI36" i="19"/>
  <c r="AJ35" i="19"/>
  <c r="Y36" i="19"/>
  <c r="Z35" i="19"/>
  <c r="U36" i="19"/>
  <c r="V35" i="19"/>
  <c r="S36" i="19"/>
  <c r="T35" i="19"/>
  <c r="AK36" i="19"/>
  <c r="AL35" i="19"/>
  <c r="AE36" i="19"/>
  <c r="AF35" i="19"/>
  <c r="AC36" i="19"/>
  <c r="AD35" i="19"/>
  <c r="O36" i="19"/>
  <c r="P36" i="19" s="1"/>
  <c r="M36" i="19"/>
  <c r="Q37" i="19" l="1"/>
  <c r="R37" i="19" s="1"/>
  <c r="R36" i="19"/>
  <c r="S37" i="19"/>
  <c r="T37" i="19" s="1"/>
  <c r="T36" i="19"/>
  <c r="X38" i="19"/>
  <c r="Z11" i="19"/>
  <c r="AC37" i="19"/>
  <c r="AD37" i="19" s="1"/>
  <c r="AD36" i="19"/>
  <c r="U37" i="19"/>
  <c r="V37" i="19" s="1"/>
  <c r="V36" i="19"/>
  <c r="AE37" i="19"/>
  <c r="AF37" i="19" s="1"/>
  <c r="AF36" i="19"/>
  <c r="Y37" i="19"/>
  <c r="Z37" i="19" s="1"/>
  <c r="Z36" i="19"/>
  <c r="AG37" i="19"/>
  <c r="AH37" i="19" s="1"/>
  <c r="AH36" i="19"/>
  <c r="AK37" i="19"/>
  <c r="AL37" i="19" s="1"/>
  <c r="AL36" i="19"/>
  <c r="AI37" i="19"/>
  <c r="AJ37" i="19" s="1"/>
  <c r="AJ36" i="19"/>
  <c r="AA37" i="19"/>
  <c r="AB37" i="19" s="1"/>
  <c r="AB36" i="19"/>
  <c r="M37" i="19"/>
  <c r="O37" i="19"/>
  <c r="P37" i="19" s="1"/>
  <c r="Z6" i="19" l="1"/>
  <c r="Z8" i="19"/>
  <c r="Z14" i="19"/>
  <c r="AD38" i="19"/>
  <c r="Z16" i="19"/>
  <c r="AH38" i="19"/>
  <c r="Z13" i="19"/>
  <c r="AB38" i="19"/>
  <c r="Z38" i="19"/>
  <c r="Z12" i="19"/>
  <c r="AJ38" i="19"/>
  <c r="Z17" i="19"/>
  <c r="Z9" i="19"/>
  <c r="T38" i="19"/>
  <c r="Z15" i="19"/>
  <c r="AF38" i="19"/>
  <c r="Z18" i="19"/>
  <c r="AL38" i="19"/>
  <c r="V38" i="19"/>
  <c r="Z10" i="19"/>
  <c r="R38" i="19"/>
  <c r="Z7" i="19"/>
  <c r="P38" i="19"/>
</calcChain>
</file>

<file path=xl/sharedStrings.xml><?xml version="1.0" encoding="utf-8"?>
<sst xmlns="http://schemas.openxmlformats.org/spreadsheetml/2006/main" count="602" uniqueCount="128">
  <si>
    <t>CO2</t>
  </si>
  <si>
    <t>(MJ/kmol)</t>
  </si>
  <si>
    <t>H2O</t>
  </si>
  <si>
    <t>T(K)</t>
  </si>
  <si>
    <t>c^p(kJ/kmol-K)</t>
  </si>
  <si>
    <t>h^h^0(MJ/kmol)</t>
  </si>
  <si>
    <t>s^(kJ/kmol-K)</t>
  </si>
  <si>
    <t>g0R^uT</t>
  </si>
  <si>
    <t>N2</t>
  </si>
  <si>
    <t>O2</t>
  </si>
  <si>
    <t>CO</t>
  </si>
  <si>
    <t>C</t>
  </si>
  <si>
    <t>(gas)</t>
  </si>
  <si>
    <t>C(Solid)</t>
  </si>
  <si>
    <t>CH4</t>
  </si>
  <si>
    <t>H2</t>
  </si>
  <si>
    <t>^s(kJ/kmol-K)</t>
  </si>
  <si>
    <t>H</t>
  </si>
  <si>
    <t>O</t>
  </si>
  <si>
    <t>OH</t>
  </si>
  <si>
    <t>N</t>
  </si>
  <si>
    <t>NO</t>
  </si>
  <si>
    <t>h^h^0</t>
  </si>
  <si>
    <t>NO2</t>
  </si>
  <si>
    <t>SO2</t>
  </si>
  <si>
    <t>SO3</t>
  </si>
  <si>
    <t>C3H8</t>
  </si>
  <si>
    <t>DEGREES</t>
  </si>
  <si>
    <t>P [BAR]</t>
  </si>
  <si>
    <t>CC</t>
  </si>
  <si>
    <t># cyl</t>
  </si>
  <si>
    <t>rpm</t>
  </si>
  <si>
    <t>ϕ</t>
  </si>
  <si>
    <t>carbon</t>
  </si>
  <si>
    <t>hydrogen</t>
  </si>
  <si>
    <t>m air</t>
  </si>
  <si>
    <t>m fuel</t>
  </si>
  <si>
    <t>equ ratio</t>
  </si>
  <si>
    <t>fuel ratio</t>
  </si>
  <si>
    <t>air</t>
  </si>
  <si>
    <t>oxygen</t>
  </si>
  <si>
    <t>nitrogen</t>
  </si>
  <si>
    <t>stochiometric equation:</t>
  </si>
  <si>
    <t>HC fuel balance:</t>
  </si>
  <si>
    <t>where:</t>
  </si>
  <si>
    <t>a=x+(y/4)</t>
  </si>
  <si>
    <t>C8H18 + x (O2 + 3.76 N2)→ 8 CO2 + 9 H2O + 47 N2</t>
  </si>
  <si>
    <t>carbon (x)</t>
  </si>
  <si>
    <t>hydrogen (y)</t>
  </si>
  <si>
    <t>(8*ϕ*(polyCO2))+(9*ϕ*polyH2O)+(x*(1-ϕ)*polyO2)+(47*polyN2)</t>
  </si>
  <si>
    <t>polyCo2:</t>
  </si>
  <si>
    <t>temperature:</t>
  </si>
  <si>
    <t>molecular weights:</t>
  </si>
  <si>
    <t>polyH2O</t>
  </si>
  <si>
    <t>polyO2</t>
  </si>
  <si>
    <t>polyN2</t>
  </si>
  <si>
    <t>Enthalpy</t>
  </si>
  <si>
    <t>c^p [kJ/kmol-K]</t>
  </si>
  <si>
    <t>h^h^0 [MJ/kmol]</t>
  </si>
  <si>
    <t>s^ [kJ/kmol-K]</t>
  </si>
  <si>
    <t>BALANCING FACTORS</t>
  </si>
  <si>
    <r>
      <t xml:space="preserve">CxHy + a (O2 + ACR N2) </t>
    </r>
    <r>
      <rPr>
        <sz val="11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 xml:space="preserve"> x CO2 + (y/2) H2O + ACR An2 + x(1-</t>
    </r>
    <r>
      <rPr>
        <sz val="11"/>
        <color theme="1"/>
        <rFont val="Calibri"/>
        <family val="2"/>
      </rPr>
      <t>ϕ</t>
    </r>
    <r>
      <rPr>
        <sz val="11"/>
        <color theme="1"/>
        <rFont val="Calibri"/>
        <family val="2"/>
        <scheme val="minor"/>
      </rPr>
      <t>)O2</t>
    </r>
  </si>
  <si>
    <t>α</t>
  </si>
  <si>
    <t>η</t>
  </si>
  <si>
    <t>cc/cyl</t>
  </si>
  <si>
    <t>n</t>
  </si>
  <si>
    <t>T [K]</t>
  </si>
  <si>
    <t>R</t>
  </si>
  <si>
    <t>n1</t>
  </si>
  <si>
    <t>n2</t>
  </si>
  <si>
    <t>n3</t>
  </si>
  <si>
    <t>n4</t>
  </si>
  <si>
    <t>[O2]</t>
  </si>
  <si>
    <t>[N2]</t>
  </si>
  <si>
    <t>clearance</t>
  </si>
  <si>
    <t>flame T</t>
  </si>
  <si>
    <t>C8H18</t>
  </si>
  <si>
    <t>H2O g</t>
  </si>
  <si>
    <t>H2O l</t>
  </si>
  <si>
    <t>h NET</t>
  </si>
  <si>
    <t>h reactors</t>
  </si>
  <si>
    <t>h released</t>
  </si>
  <si>
    <t>h [kj/mol]</t>
  </si>
  <si>
    <t>h:</t>
  </si>
  <si>
    <t>T:</t>
  </si>
  <si>
    <t>enthalpy</t>
  </si>
  <si>
    <t>enthalpy of formation</t>
  </si>
  <si>
    <t>temp</t>
  </si>
  <si>
    <t>Nox</t>
  </si>
  <si>
    <t xml:space="preserve"> </t>
  </si>
  <si>
    <t>Nox (PPM)</t>
  </si>
  <si>
    <t>CO2   [n1]</t>
  </si>
  <si>
    <t>H2O   [n2]</t>
  </si>
  <si>
    <t>O2                 [n3]</t>
  </si>
  <si>
    <t>N2                  [n4]</t>
  </si>
  <si>
    <t>SUM:</t>
  </si>
  <si>
    <t>EGR</t>
  </si>
  <si>
    <t>a</t>
  </si>
  <si>
    <t>Atmospheric  Composition Ratio:</t>
  </si>
  <si>
    <t>(ϕCxHy+a(O2+ACR N2))+ EGR%(n1 CO2+ n2H2O+n3 O2+n4 N2)→(1 + EGR%)( n1 CO2 + n2 H2O + n3 O2 + n4 N2)</t>
  </si>
  <si>
    <t>ACR</t>
  </si>
  <si>
    <t>EGR% (ϕCxHy + a(O2 + ACRN2)) → n1 VO2 + n2 H2O + n3 O2 + n4 N2</t>
  </si>
  <si>
    <t>n [mol]</t>
  </si>
  <si>
    <t>n      [mol]</t>
  </si>
  <si>
    <t>temperature</t>
  </si>
  <si>
    <t>n   [poly index]</t>
  </si>
  <si>
    <t>C8H18+CH3OH + x (O2 + 3.76 N2)→ n1 CO2 + n2 H2O + n3 N2</t>
  </si>
  <si>
    <t>iso</t>
  </si>
  <si>
    <t>blend</t>
  </si>
  <si>
    <t>mass% C8H18</t>
  </si>
  <si>
    <t>mass% CH3OH</t>
  </si>
  <si>
    <t>stochiometric ratio</t>
  </si>
  <si>
    <t>CH3OH</t>
  </si>
  <si>
    <t>LHV</t>
  </si>
  <si>
    <t>HHV</t>
  </si>
  <si>
    <t>Hnet</t>
  </si>
  <si>
    <t>H needed</t>
  </si>
  <si>
    <t>H released</t>
  </si>
  <si>
    <t>m CO2 produced</t>
  </si>
  <si>
    <t>h</t>
  </si>
  <si>
    <t>liquid</t>
  </si>
  <si>
    <t>gas</t>
  </si>
  <si>
    <t xml:space="preserve">H2O </t>
  </si>
  <si>
    <t>weight</t>
  </si>
  <si>
    <t>total fuel weight</t>
  </si>
  <si>
    <t>CO2 %</t>
  </si>
  <si>
    <t>Temperature %</t>
  </si>
  <si>
    <t>T %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</si>
</sst>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E+00"/>
    <numFmt numFmtId="165" formatCode="0.000000000"/>
    <numFmt numFmtId="166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</font>
    <font>
      <sz val="11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64">
    <xf numFmtId="0" fontId="0" fillId="0" borderId="0" xfId="0"/>
    <xf numFmtId="3" fontId="0" fillId="0" borderId="0" xfId="0" applyNumberFormat="1"/>
    <xf numFmtId="0" fontId="9" fillId="5" borderId="4" xfId="9"/>
    <xf numFmtId="0" fontId="0" fillId="33" borderId="0" xfId="0" applyFill="1"/>
    <xf numFmtId="0" fontId="0" fillId="33" borderId="11" xfId="0" applyFill="1" applyBorder="1"/>
    <xf numFmtId="2" fontId="0" fillId="33" borderId="11" xfId="0" applyNumberFormat="1" applyFill="1" applyBorder="1"/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0" fillId="33" borderId="15" xfId="0" applyFill="1" applyBorder="1"/>
    <xf numFmtId="0" fontId="0" fillId="33" borderId="16" xfId="0" applyFill="1" applyBorder="1"/>
    <xf numFmtId="0" fontId="0" fillId="33" borderId="17" xfId="0" applyFill="1" applyBorder="1"/>
    <xf numFmtId="0" fontId="0" fillId="33" borderId="18" xfId="0" applyFill="1" applyBorder="1"/>
    <xf numFmtId="0" fontId="0" fillId="33" borderId="19" xfId="0" applyFill="1" applyBorder="1"/>
    <xf numFmtId="9" fontId="9" fillId="5" borderId="20" xfId="9" applyNumberFormat="1" applyBorder="1"/>
    <xf numFmtId="0" fontId="16" fillId="33" borderId="0" xfId="0" applyFont="1" applyFill="1" applyAlignment="1">
      <alignment horizontal="center"/>
    </xf>
    <xf numFmtId="0" fontId="0" fillId="33" borderId="0" xfId="0" applyFill="1" applyAlignment="1"/>
    <xf numFmtId="0" fontId="0" fillId="33" borderId="24" xfId="0" applyFill="1" applyBorder="1"/>
    <xf numFmtId="0" fontId="0" fillId="33" borderId="0" xfId="0" applyFill="1" applyBorder="1"/>
    <xf numFmtId="0" fontId="0" fillId="33" borderId="25" xfId="0" applyFill="1" applyBorder="1"/>
    <xf numFmtId="3" fontId="0" fillId="33" borderId="24" xfId="0" applyNumberFormat="1" applyFill="1" applyBorder="1"/>
    <xf numFmtId="3" fontId="0" fillId="33" borderId="26" xfId="0" applyNumberFormat="1" applyFill="1" applyBorder="1"/>
    <xf numFmtId="0" fontId="0" fillId="33" borderId="27" xfId="0" applyFill="1" applyBorder="1"/>
    <xf numFmtId="0" fontId="0" fillId="33" borderId="28" xfId="0" applyFill="1" applyBorder="1"/>
    <xf numFmtId="0" fontId="0" fillId="33" borderId="10" xfId="0" applyFill="1" applyBorder="1"/>
    <xf numFmtId="9" fontId="0" fillId="0" borderId="0" xfId="42" applyFont="1"/>
    <xf numFmtId="2" fontId="0" fillId="33" borderId="13" xfId="0" applyNumberFormat="1" applyFill="1" applyBorder="1"/>
    <xf numFmtId="0" fontId="0" fillId="33" borderId="0" xfId="0" applyFill="1" applyAlignment="1">
      <alignment horizontal="right"/>
    </xf>
    <xf numFmtId="0" fontId="11" fillId="6" borderId="4" xfId="11"/>
    <xf numFmtId="0" fontId="0" fillId="0" borderId="11" xfId="0" applyBorder="1"/>
    <xf numFmtId="0" fontId="11" fillId="6" borderId="29" xfId="11" applyBorder="1"/>
    <xf numFmtId="164" fontId="0" fillId="33" borderId="11" xfId="0" applyNumberFormat="1" applyFill="1" applyBorder="1"/>
    <xf numFmtId="0" fontId="0" fillId="0" borderId="31" xfId="0" applyBorder="1"/>
    <xf numFmtId="164" fontId="0" fillId="0" borderId="31" xfId="0" applyNumberFormat="1" applyBorder="1"/>
    <xf numFmtId="0" fontId="0" fillId="33" borderId="10" xfId="0" applyFill="1" applyBorder="1" applyAlignment="1">
      <alignment horizontal="right"/>
    </xf>
    <xf numFmtId="0" fontId="0" fillId="33" borderId="10" xfId="0" applyFont="1" applyFill="1" applyBorder="1" applyAlignment="1">
      <alignment horizontal="center"/>
    </xf>
    <xf numFmtId="0" fontId="0" fillId="33" borderId="23" xfId="0" applyFill="1" applyBorder="1"/>
    <xf numFmtId="164" fontId="11" fillId="6" borderId="4" xfId="11" applyNumberFormat="1"/>
    <xf numFmtId="165" fontId="11" fillId="6" borderId="4" xfId="11" applyNumberFormat="1"/>
    <xf numFmtId="2" fontId="6" fillId="2" borderId="4" xfId="6" applyNumberFormat="1" applyBorder="1"/>
    <xf numFmtId="166" fontId="11" fillId="6" borderId="4" xfId="11" applyNumberFormat="1"/>
    <xf numFmtId="166" fontId="11" fillId="6" borderId="29" xfId="11" applyNumberFormat="1" applyBorder="1"/>
    <xf numFmtId="0" fontId="0" fillId="0" borderId="10" xfId="0" applyBorder="1"/>
    <xf numFmtId="0" fontId="0" fillId="33" borderId="31" xfId="0" applyFill="1" applyBorder="1"/>
    <xf numFmtId="0" fontId="18" fillId="33" borderId="12" xfId="0" applyFont="1" applyFill="1" applyBorder="1"/>
    <xf numFmtId="0" fontId="0" fillId="0" borderId="17" xfId="0" applyBorder="1"/>
    <xf numFmtId="2" fontId="0" fillId="33" borderId="16" xfId="0" applyNumberFormat="1" applyFill="1" applyBorder="1"/>
    <xf numFmtId="0" fontId="19" fillId="33" borderId="0" xfId="0" applyFont="1" applyFill="1" applyBorder="1"/>
    <xf numFmtId="0" fontId="20" fillId="33" borderId="0" xfId="0" applyFont="1" applyFill="1" applyBorder="1"/>
    <xf numFmtId="0" fontId="0" fillId="33" borderId="32" xfId="0" applyFill="1" applyBorder="1"/>
    <xf numFmtId="0" fontId="19" fillId="33" borderId="33" xfId="0" applyFont="1" applyFill="1" applyBorder="1"/>
    <xf numFmtId="2" fontId="0" fillId="0" borderId="31" xfId="0" applyNumberFormat="1" applyBorder="1"/>
    <xf numFmtId="2" fontId="0" fillId="33" borderId="31" xfId="0" applyNumberFormat="1" applyFill="1" applyBorder="1"/>
    <xf numFmtId="2" fontId="0" fillId="0" borderId="31" xfId="0" applyNumberFormat="1" applyFill="1" applyBorder="1"/>
    <xf numFmtId="2" fontId="0" fillId="0" borderId="11" xfId="0" applyNumberFormat="1" applyBorder="1"/>
    <xf numFmtId="2" fontId="0" fillId="33" borderId="0" xfId="0" applyNumberFormat="1" applyFill="1"/>
    <xf numFmtId="2" fontId="0" fillId="0" borderId="0" xfId="0" applyNumberFormat="1"/>
    <xf numFmtId="164" fontId="0" fillId="33" borderId="17" xfId="0" applyNumberFormat="1" applyFill="1" applyBorder="1"/>
    <xf numFmtId="164" fontId="0" fillId="33" borderId="0" xfId="0" applyNumberFormat="1" applyFill="1"/>
    <xf numFmtId="164" fontId="0" fillId="0" borderId="0" xfId="0" applyNumberFormat="1"/>
    <xf numFmtId="164" fontId="0" fillId="33" borderId="11" xfId="0" applyNumberFormat="1" applyFill="1" applyBorder="1" applyAlignment="1">
      <alignment horizontal="right"/>
    </xf>
    <xf numFmtId="164" fontId="0" fillId="33" borderId="34" xfId="0" applyNumberFormat="1" applyFill="1" applyBorder="1"/>
    <xf numFmtId="164" fontId="0" fillId="33" borderId="13" xfId="0" applyNumberFormat="1" applyFill="1" applyBorder="1"/>
    <xf numFmtId="0" fontId="0" fillId="33" borderId="16" xfId="0" applyFill="1" applyBorder="1" applyAlignment="1">
      <alignment horizontal="right"/>
    </xf>
    <xf numFmtId="0" fontId="0" fillId="33" borderId="18" xfId="0" applyFill="1" applyBorder="1" applyAlignment="1">
      <alignment horizontal="right"/>
    </xf>
    <xf numFmtId="0" fontId="0" fillId="33" borderId="31" xfId="0" applyFill="1" applyBorder="1" applyAlignment="1">
      <alignment horizontal="right"/>
    </xf>
    <xf numFmtId="0" fontId="11" fillId="6" borderId="36" xfId="11" applyBorder="1"/>
    <xf numFmtId="0" fontId="0" fillId="33" borderId="34" xfId="0" applyFill="1" applyBorder="1"/>
    <xf numFmtId="0" fontId="0" fillId="0" borderId="13" xfId="0" applyBorder="1"/>
    <xf numFmtId="0" fontId="9" fillId="5" borderId="35" xfId="9" applyBorder="1"/>
    <xf numFmtId="0" fontId="18" fillId="33" borderId="30" xfId="0" applyFont="1" applyFill="1" applyBorder="1" applyAlignment="1">
      <alignment horizontal="right"/>
    </xf>
    <xf numFmtId="0" fontId="18" fillId="33" borderId="37" xfId="0" applyFont="1" applyFill="1" applyBorder="1" applyAlignment="1">
      <alignment horizontal="right"/>
    </xf>
    <xf numFmtId="0" fontId="0" fillId="33" borderId="37" xfId="0" applyFill="1" applyBorder="1"/>
    <xf numFmtId="0" fontId="0" fillId="33" borderId="37" xfId="0" applyFill="1" applyBorder="1" applyAlignment="1">
      <alignment horizontal="right"/>
    </xf>
    <xf numFmtId="0" fontId="0" fillId="0" borderId="37" xfId="0" applyBorder="1" applyAlignment="1">
      <alignment horizontal="right"/>
    </xf>
    <xf numFmtId="0" fontId="0" fillId="0" borderId="0" xfId="0" applyBorder="1"/>
    <xf numFmtId="9" fontId="0" fillId="33" borderId="0" xfId="0" applyNumberFormat="1" applyFill="1"/>
    <xf numFmtId="0" fontId="6" fillId="2" borderId="0" xfId="6"/>
    <xf numFmtId="0" fontId="0" fillId="33" borderId="30" xfId="0" applyFill="1" applyBorder="1"/>
    <xf numFmtId="9" fontId="9" fillId="5" borderId="38" xfId="9" applyNumberFormat="1" applyBorder="1"/>
    <xf numFmtId="2" fontId="7" fillId="3" borderId="31" xfId="7" applyNumberFormat="1" applyBorder="1"/>
    <xf numFmtId="0" fontId="0" fillId="33" borderId="11" xfId="0" applyFill="1" applyBorder="1" applyAlignment="1">
      <alignment horizontal="center"/>
    </xf>
    <xf numFmtId="0" fontId="0" fillId="33" borderId="0" xfId="0" applyFill="1" applyAlignment="1">
      <alignment horizontal="right"/>
    </xf>
    <xf numFmtId="0" fontId="0" fillId="33" borderId="0" xfId="0" applyFill="1" applyBorder="1" applyAlignment="1">
      <alignment horizontal="right"/>
    </xf>
    <xf numFmtId="2" fontId="0" fillId="33" borderId="11" xfId="0" applyNumberFormat="1" applyFill="1" applyBorder="1" applyAlignment="1">
      <alignment horizontal="center"/>
    </xf>
    <xf numFmtId="0" fontId="0" fillId="33" borderId="31" xfId="0" applyFill="1" applyBorder="1" applyAlignment="1">
      <alignment horizontal="center"/>
    </xf>
    <xf numFmtId="9" fontId="0" fillId="0" borderId="0" xfId="42" applyFont="1" applyAlignment="1">
      <alignment horizontal="center"/>
    </xf>
    <xf numFmtId="9" fontId="9" fillId="5" borderId="20" xfId="9" applyNumberFormat="1" applyBorder="1" applyAlignment="1">
      <alignment horizontal="center"/>
    </xf>
    <xf numFmtId="2" fontId="0" fillId="33" borderId="13" xfId="0" applyNumberFormat="1" applyFill="1" applyBorder="1" applyAlignment="1">
      <alignment horizontal="center"/>
    </xf>
    <xf numFmtId="0" fontId="0" fillId="33" borderId="0" xfId="0" applyFill="1" applyAlignment="1">
      <alignment horizontal="right"/>
    </xf>
    <xf numFmtId="9" fontId="17" fillId="34" borderId="11" xfId="42" applyFont="1" applyFill="1" applyBorder="1" applyAlignment="1">
      <alignment horizontal="center"/>
    </xf>
    <xf numFmtId="0" fontId="21" fillId="33" borderId="0" xfId="0" applyFont="1" applyFill="1"/>
    <xf numFmtId="2" fontId="21" fillId="33" borderId="11" xfId="0" applyNumberFormat="1" applyFont="1" applyFill="1" applyBorder="1"/>
    <xf numFmtId="0" fontId="21" fillId="33" borderId="11" xfId="0" applyFont="1" applyFill="1" applyBorder="1"/>
    <xf numFmtId="0" fontId="0" fillId="33" borderId="0" xfId="0" applyFill="1" applyBorder="1" applyAlignment="1">
      <alignment wrapText="1"/>
    </xf>
    <xf numFmtId="2" fontId="0" fillId="0" borderId="0" xfId="0" applyNumberFormat="1" applyBorder="1"/>
    <xf numFmtId="2" fontId="0" fillId="33" borderId="0" xfId="0" applyNumberFormat="1" applyFill="1" applyBorder="1"/>
    <xf numFmtId="9" fontId="0" fillId="0" borderId="0" xfId="0" applyNumberFormat="1"/>
    <xf numFmtId="9" fontId="9" fillId="5" borderId="39" xfId="9" applyNumberFormat="1" applyBorder="1"/>
    <xf numFmtId="0" fontId="11" fillId="6" borderId="4" xfId="11" applyAlignment="1">
      <alignment horizontal="right"/>
    </xf>
    <xf numFmtId="0" fontId="11" fillId="6" borderId="4" xfId="11" applyAlignment="1">
      <alignment horizontal="center"/>
    </xf>
    <xf numFmtId="9" fontId="11" fillId="6" borderId="4" xfId="11" applyNumberFormat="1"/>
    <xf numFmtId="9" fontId="0" fillId="33" borderId="0" xfId="42" applyFont="1" applyFill="1"/>
    <xf numFmtId="0" fontId="17" fillId="34" borderId="11" xfId="0" applyFont="1" applyFill="1" applyBorder="1" applyAlignment="1">
      <alignment horizontal="center"/>
    </xf>
    <xf numFmtId="0" fontId="17" fillId="34" borderId="11" xfId="0" applyFont="1" applyFill="1" applyBorder="1"/>
    <xf numFmtId="0" fontId="3" fillId="0" borderId="1" xfId="2"/>
    <xf numFmtId="0" fontId="4" fillId="0" borderId="2" xfId="3"/>
    <xf numFmtId="0" fontId="0" fillId="33" borderId="40" xfId="0" applyFill="1" applyBorder="1"/>
    <xf numFmtId="0" fontId="0" fillId="33" borderId="41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11" fillId="6" borderId="44" xfId="11" applyNumberFormat="1" applyBorder="1"/>
    <xf numFmtId="0" fontId="11" fillId="6" borderId="44" xfId="11" applyBorder="1"/>
    <xf numFmtId="165" fontId="11" fillId="6" borderId="44" xfId="11" applyNumberFormat="1" applyBorder="1"/>
    <xf numFmtId="166" fontId="11" fillId="6" borderId="44" xfId="11" applyNumberFormat="1" applyBorder="1"/>
    <xf numFmtId="166" fontId="11" fillId="6" borderId="45" xfId="11" applyNumberFormat="1" applyBorder="1"/>
    <xf numFmtId="0" fontId="0" fillId="34" borderId="0" xfId="0" applyFill="1"/>
    <xf numFmtId="0" fontId="4" fillId="33" borderId="2" xfId="3" applyFill="1"/>
    <xf numFmtId="0" fontId="17" fillId="34" borderId="0" xfId="0" applyFont="1" applyFill="1" applyAlignment="1">
      <alignment horizontal="right"/>
    </xf>
    <xf numFmtId="0" fontId="22" fillId="33" borderId="0" xfId="0" applyFont="1" applyFill="1"/>
    <xf numFmtId="0" fontId="0" fillId="33" borderId="21" xfId="0" applyFill="1" applyBorder="1"/>
    <xf numFmtId="2" fontId="0" fillId="33" borderId="18" xfId="0" applyNumberFormat="1" applyFill="1" applyBorder="1"/>
    <xf numFmtId="2" fontId="7" fillId="3" borderId="18" xfId="7" applyNumberFormat="1" applyBorder="1"/>
    <xf numFmtId="9" fontId="0" fillId="33" borderId="11" xfId="42" applyFont="1" applyFill="1" applyBorder="1"/>
    <xf numFmtId="0" fontId="0" fillId="33" borderId="46" xfId="0" applyFill="1" applyBorder="1"/>
    <xf numFmtId="0" fontId="0" fillId="33" borderId="47" xfId="0" applyFill="1" applyBorder="1"/>
    <xf numFmtId="0" fontId="0" fillId="33" borderId="11" xfId="0" applyFill="1" applyBorder="1" applyAlignment="1">
      <alignment horizontal="center"/>
    </xf>
    <xf numFmtId="0" fontId="17" fillId="34" borderId="0" xfId="0" applyFont="1" applyFill="1" applyBorder="1" applyAlignment="1">
      <alignment horizontal="center" wrapText="1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left"/>
    </xf>
    <xf numFmtId="0" fontId="0" fillId="33" borderId="17" xfId="0" applyFill="1" applyBorder="1" applyAlignment="1">
      <alignment horizontal="left"/>
    </xf>
    <xf numFmtId="0" fontId="17" fillId="34" borderId="11" xfId="0" applyFont="1" applyFill="1" applyBorder="1" applyAlignment="1">
      <alignment horizontal="center" vertical="center"/>
    </xf>
    <xf numFmtId="0" fontId="0" fillId="33" borderId="0" xfId="0" applyFill="1" applyAlignment="1">
      <alignment horizontal="center"/>
    </xf>
    <xf numFmtId="0" fontId="0" fillId="33" borderId="37" xfId="0" applyFill="1" applyBorder="1" applyAlignment="1">
      <alignment horizontal="center" wrapText="1"/>
    </xf>
    <xf numFmtId="0" fontId="0" fillId="33" borderId="31" xfId="0" applyFill="1" applyBorder="1" applyAlignment="1">
      <alignment horizontal="center" wrapText="1"/>
    </xf>
    <xf numFmtId="0" fontId="17" fillId="34" borderId="16" xfId="0" applyFont="1" applyFill="1" applyBorder="1" applyAlignment="1">
      <alignment horizontal="center"/>
    </xf>
    <xf numFmtId="0" fontId="17" fillId="34" borderId="17" xfId="0" applyFont="1" applyFill="1" applyBorder="1" applyAlignment="1">
      <alignment horizontal="center"/>
    </xf>
    <xf numFmtId="0" fontId="17" fillId="34" borderId="0" xfId="0" applyFont="1" applyFill="1" applyAlignment="1">
      <alignment horizontal="left"/>
    </xf>
    <xf numFmtId="0" fontId="17" fillId="34" borderId="17" xfId="0" applyFont="1" applyFill="1" applyBorder="1" applyAlignment="1">
      <alignment horizontal="left"/>
    </xf>
    <xf numFmtId="0" fontId="0" fillId="33" borderId="14" xfId="0" applyFill="1" applyBorder="1" applyAlignment="1">
      <alignment horizontal="center" wrapText="1"/>
    </xf>
    <xf numFmtId="0" fontId="0" fillId="33" borderId="15" xfId="0" applyFill="1" applyBorder="1" applyAlignment="1">
      <alignment horizontal="center" wrapText="1"/>
    </xf>
    <xf numFmtId="0" fontId="0" fillId="33" borderId="18" xfId="0" applyFill="1" applyBorder="1" applyAlignment="1">
      <alignment horizontal="center" wrapText="1"/>
    </xf>
    <xf numFmtId="0" fontId="0" fillId="33" borderId="19" xfId="0" applyFill="1" applyBorder="1" applyAlignment="1">
      <alignment horizontal="center" wrapText="1"/>
    </xf>
    <xf numFmtId="0" fontId="0" fillId="33" borderId="16" xfId="0" applyFill="1" applyBorder="1" applyAlignment="1">
      <alignment horizontal="center" wrapText="1"/>
    </xf>
    <xf numFmtId="0" fontId="0" fillId="35" borderId="0" xfId="0" applyFill="1" applyAlignment="1">
      <alignment horizontal="left"/>
    </xf>
    <xf numFmtId="0" fontId="0" fillId="35" borderId="17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33" borderId="17" xfId="0" applyFill="1" applyBorder="1" applyAlignment="1">
      <alignment horizontal="right"/>
    </xf>
    <xf numFmtId="0" fontId="0" fillId="33" borderId="34" xfId="0" applyFill="1" applyBorder="1" applyAlignment="1">
      <alignment horizontal="center"/>
    </xf>
    <xf numFmtId="0" fontId="0" fillId="33" borderId="42" xfId="0" applyFill="1" applyBorder="1" applyAlignment="1">
      <alignment horizontal="center"/>
    </xf>
    <xf numFmtId="0" fontId="0" fillId="33" borderId="43" xfId="0" applyFill="1" applyBorder="1" applyAlignment="1">
      <alignment horizontal="center"/>
    </xf>
    <xf numFmtId="0" fontId="0" fillId="33" borderId="37" xfId="0" applyFill="1" applyBorder="1" applyAlignment="1">
      <alignment horizontal="center"/>
    </xf>
    <xf numFmtId="0" fontId="0" fillId="33" borderId="3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7" xfId="0" applyBorder="1" applyAlignment="1">
      <alignment horizontal="left"/>
    </xf>
    <xf numFmtId="0" fontId="0" fillId="33" borderId="17" xfId="0" applyFill="1" applyBorder="1" applyAlignment="1">
      <alignment horizontal="center"/>
    </xf>
    <xf numFmtId="0" fontId="0" fillId="33" borderId="21" xfId="0" applyFill="1" applyBorder="1" applyAlignment="1">
      <alignment horizontal="center"/>
    </xf>
    <xf numFmtId="0" fontId="0" fillId="33" borderId="22" xfId="0" applyFill="1" applyBorder="1" applyAlignment="1">
      <alignment horizontal="center"/>
    </xf>
    <xf numFmtId="0" fontId="0" fillId="33" borderId="23" xfId="0" applyFill="1" applyBorder="1" applyAlignment="1">
      <alignment horizontal="center"/>
    </xf>
    <xf numFmtId="0" fontId="16" fillId="33" borderId="21" xfId="0" applyFont="1" applyFill="1" applyBorder="1" applyAlignment="1">
      <alignment horizontal="center"/>
    </xf>
    <xf numFmtId="0" fontId="16" fillId="33" borderId="22" xfId="0" applyFont="1" applyFill="1" applyBorder="1" applyAlignment="1">
      <alignment horizontal="center"/>
    </xf>
    <xf numFmtId="0" fontId="16" fillId="33" borderId="23" xfId="0" applyFont="1" applyFill="1" applyBorder="1" applyAlignment="1">
      <alignment horizontal="center"/>
    </xf>
    <xf numFmtId="9" fontId="7" fillId="3" borderId="11" xfId="7" applyNumberForma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task2!$Z$5</c:f>
              <c:strCache>
                <c:ptCount val="1"/>
                <c:pt idx="0">
                  <c:v>Nox (PPM)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task2!$M$6:$M$18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task2!$Z$6:$Z$18</c:f>
              <c:numCache>
                <c:formatCode>0.00</c:formatCode>
                <c:ptCount val="13"/>
                <c:pt idx="0">
                  <c:v>0</c:v>
                </c:pt>
                <c:pt idx="1">
                  <c:v>20281.80120755902</c:v>
                </c:pt>
                <c:pt idx="2">
                  <c:v>24468.036413845406</c:v>
                </c:pt>
                <c:pt idx="3">
                  <c:v>25492.387894904801</c:v>
                </c:pt>
                <c:pt idx="4">
                  <c:v>24978.406702081542</c:v>
                </c:pt>
                <c:pt idx="5">
                  <c:v>23627.495287562986</c:v>
                </c:pt>
                <c:pt idx="6">
                  <c:v>13788.07349852954</c:v>
                </c:pt>
                <c:pt idx="7">
                  <c:v>6365.8983873006409</c:v>
                </c:pt>
                <c:pt idx="8">
                  <c:v>2486.3388785224925</c:v>
                </c:pt>
                <c:pt idx="9">
                  <c:v>1.6566160839802588</c:v>
                </c:pt>
                <c:pt idx="10">
                  <c:v>0.58885917323162518</c:v>
                </c:pt>
                <c:pt idx="11">
                  <c:v>0.18634907199420431</c:v>
                </c:pt>
                <c:pt idx="12">
                  <c:v>5.1899496600722995E-2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23D-43B4-9C14-B8455B240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613584"/>
        <c:axId val="613614896"/>
      </c:scatterChart>
      <c:valAx>
        <c:axId val="613613584"/>
        <c:scaling>
          <c:orientation val="minMax"/>
          <c:max val="1.0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614896"/>
        <c:crosses val="autoZero"/>
        <c:crossBetween val="midCat"/>
      </c:valAx>
      <c:valAx>
        <c:axId val="613614896"/>
        <c:scaling>
          <c:orientation val="minMax"/>
          <c:max val="2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613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'task2 b'!$Z$5</c:f>
              <c:strCache>
                <c:ptCount val="1"/>
                <c:pt idx="0">
                  <c:v>Nox (PPM)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'task2 b'!$M$6:$M$18</c:f>
            </c:numRef>
          </c:xVal>
          <c:yVal>
            <c:numRef>
              <c:f>'task2 b'!$Z$6:$Z$18</c:f>
            </c:numRef>
          </c:yVal>
          <c:smooth val="1"/>
          <c:extLst>
            <c:ext xmlns:c16="http://schemas.microsoft.com/office/drawing/2014/chart" uri="{C3380CC4-5D6E-409C-BE32-E72D297353CC}">
              <c16:uniqueId val="{00000000-E302-4030-A81E-BB86CAD6B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613584"/>
        <c:axId val="613614896"/>
      </c:scatterChart>
      <c:valAx>
        <c:axId val="613613584"/>
        <c:scaling>
          <c:orientation val="minMax"/>
          <c:max val="1.0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614896"/>
        <c:crosses val="autoZero"/>
        <c:crossBetween val="midCat"/>
      </c:valAx>
      <c:valAx>
        <c:axId val="613614896"/>
        <c:scaling>
          <c:orientation val="minMax"/>
          <c:max val="2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613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EGR-TEMPERATURE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('task2 b'!$L$59,'task2 b'!$L$63,'task2 b'!$L$67,'task2 b'!$L$71,'task2 b'!$L$75,'task2 b'!$L$79,'task2 b'!$L$83)</c:f>
              <c:numCache>
                <c:formatCode>General</c:formatCode>
                <c:ptCount val="7"/>
                <c:pt idx="0">
                  <c:v>2351.5286468443301</c:v>
                </c:pt>
                <c:pt idx="1">
                  <c:v>2263.8251706388251</c:v>
                </c:pt>
                <c:pt idx="2">
                  <c:v>2183.7078139789555</c:v>
                </c:pt>
                <c:pt idx="3">
                  <c:v>2110.0665485895856</c:v>
                </c:pt>
                <c:pt idx="4">
                  <c:v>2042.0415410648197</c:v>
                </c:pt>
                <c:pt idx="5">
                  <c:v>1978.9522214400013</c:v>
                </c:pt>
                <c:pt idx="6">
                  <c:v>1920.2481724597685</c:v>
                </c:pt>
              </c:numCache>
            </c:numRef>
          </c:xVal>
          <c:yVal>
            <c:numRef>
              <c:f>('task2 b'!$F$59,'task2 b'!$F$63,'task2 b'!$F$67,'task2 b'!$F$71,'task2 b'!$F$75,'task2 b'!$F$79,'task2 b'!$F$83)</c:f>
              <c:numCache>
                <c:formatCode>0%</c:formatCode>
                <c:ptCount val="7"/>
                <c:pt idx="0" formatCode="General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24-4A6C-A15F-5CAE50681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114712"/>
        <c:axId val="476110120"/>
      </c:scatterChart>
      <c:valAx>
        <c:axId val="476114712"/>
        <c:scaling>
          <c:orientation val="minMax"/>
          <c:min val="1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110120"/>
        <c:crosses val="autoZero"/>
        <c:crossBetween val="midCat"/>
      </c:valAx>
      <c:valAx>
        <c:axId val="476110120"/>
        <c:scaling>
          <c:orientation val="minMax"/>
          <c:min val="-5.000000000000001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114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6920384951881E-2"/>
          <c:y val="0.17171296296296298"/>
          <c:w val="0.86486351706036746"/>
          <c:h val="0.777361111111111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tables!$B$2</c:f>
              <c:strCache>
                <c:ptCount val="1"/>
                <c:pt idx="0">
                  <c:v>CO2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-0.15306843283945371"/>
                  <c:y val="-6.600708387529293E-2"/>
                </c:manualLayout>
              </c:layout>
              <c:numFmt formatCode="#,##0.000000000000000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tables!$B$20:$B$87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tables!$D$20:$D$87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B2-40B1-8B03-CF7894C03F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617008"/>
        <c:axId val="538617336"/>
      </c:scatterChart>
      <c:valAx>
        <c:axId val="538617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8617336"/>
        <c:crosses val="autoZero"/>
        <c:crossBetween val="midCat"/>
      </c:valAx>
      <c:valAx>
        <c:axId val="53861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8617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H2O</a:t>
            </a:r>
          </a:p>
        </c:rich>
      </c:tx>
      <c:layout>
        <c:manualLayout>
          <c:xMode val="edge"/>
          <c:yMode val="edge"/>
          <c:x val="0.4599817622788466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-0.13795096170255133"/>
                  <c:y val="-8.6907821942292962E-2"/>
                </c:manualLayout>
              </c:layout>
              <c:numFmt formatCode="#,##0.000000000000000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tables!$I$20:$I$87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tables!$K$20:$K$87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tables!#REF!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42CA-4919-94C7-7D9628915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566088"/>
        <c:axId val="532724592"/>
      </c:scatterChart>
      <c:valAx>
        <c:axId val="355566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724592"/>
        <c:crosses val="autoZero"/>
        <c:crossBetween val="midCat"/>
      </c:valAx>
      <c:valAx>
        <c:axId val="53272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566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7735767264281365"/>
          <c:y val="3.392706589117052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tables!$P$2</c:f>
              <c:strCache>
                <c:ptCount val="1"/>
                <c:pt idx="0">
                  <c:v>O2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-0.15219095595483809"/>
                  <c:y val="-8.6907821942292962E-2"/>
                </c:manualLayout>
              </c:layout>
              <c:numFmt formatCode="#,##0.000000000000000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tables!$P$20:$P$87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tables!$R$20:$R$87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620-476B-BAAE-198E11165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760656"/>
        <c:axId val="640763280"/>
      </c:scatterChart>
      <c:valAx>
        <c:axId val="64076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63280"/>
        <c:crosses val="autoZero"/>
        <c:crossBetween val="midCat"/>
      </c:valAx>
      <c:valAx>
        <c:axId val="64076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6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7955186401503197"/>
          <c:y val="9.302327852610108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tables!$W$2</c:f>
              <c:strCache>
                <c:ptCount val="1"/>
                <c:pt idx="0">
                  <c:v>N2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-0.15788668748742804"/>
                  <c:y val="-9.6516204688815124E-2"/>
                </c:manualLayout>
              </c:layout>
              <c:numFmt formatCode="#,##0.000000000000000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tables!$W$20:$W$87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tables!$Y$20:$Y$87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7E-43AD-8195-B8C1D5E76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5024488"/>
        <c:axId val="247706240"/>
      </c:scatterChart>
      <c:valAx>
        <c:axId val="535024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7706240"/>
        <c:crosses val="autoZero"/>
        <c:crossBetween val="midCat"/>
      </c:valAx>
      <c:valAx>
        <c:axId val="2477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024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13</xdr:row>
      <xdr:rowOff>59266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27B1413-CAD6-40BA-9AA9-916750960AF0}"/>
            </a:ext>
          </a:extLst>
        </xdr:cNvPr>
        <xdr:cNvSpPr txBox="1"/>
      </xdr:nvSpPr>
      <xdr:spPr>
        <a:xfrm>
          <a:off x="7416800" y="24807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29</xdr:col>
      <xdr:colOff>272596</xdr:colOff>
      <xdr:row>0</xdr:row>
      <xdr:rowOff>149677</xdr:rowOff>
    </xdr:from>
    <xdr:to>
      <xdr:col>36</xdr:col>
      <xdr:colOff>358323</xdr:colOff>
      <xdr:row>18</xdr:row>
      <xdr:rowOff>146959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5A2CA5-6A99-4E2A-9437-86FCC59F4B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13</xdr:row>
      <xdr:rowOff>59266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8908999-F259-43D1-A067-C64E93BE0C26}"/>
            </a:ext>
          </a:extLst>
        </xdr:cNvPr>
        <xdr:cNvSpPr txBox="1"/>
      </xdr:nvSpPr>
      <xdr:spPr>
        <a:xfrm>
          <a:off x="7848600" y="245194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27</xdr:col>
      <xdr:colOff>918481</xdr:colOff>
      <xdr:row>0</xdr:row>
      <xdr:rowOff>111577</xdr:rowOff>
    </xdr:from>
    <xdr:to>
      <xdr:col>35</xdr:col>
      <xdr:colOff>394608</xdr:colOff>
      <xdr:row>18</xdr:row>
      <xdr:rowOff>108859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E4CA60-F691-4C80-B8C0-534BC534A7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21770</xdr:colOff>
      <xdr:row>47</xdr:row>
      <xdr:rowOff>21771</xdr:rowOff>
    </xdr:from>
    <xdr:to>
      <xdr:col>27</xdr:col>
      <xdr:colOff>947055</xdr:colOff>
      <xdr:row>70</xdr:row>
      <xdr:rowOff>97972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523D2CE-27AF-445A-BCF4-757DCE4C25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4</xdr:row>
      <xdr:rowOff>21433</xdr:rowOff>
    </xdr:from>
    <xdr:to>
      <xdr:col>6</xdr:col>
      <xdr:colOff>533399</xdr:colOff>
      <xdr:row>18</xdr:row>
      <xdr:rowOff>121444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022217-9A9F-4DA2-BE94-6EF1465462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511968</xdr:colOff>
      <xdr:row>2</xdr:row>
      <xdr:rowOff>71438</xdr:rowOff>
    </xdr:from>
    <xdr:to>
      <xdr:col>13</xdr:col>
      <xdr:colOff>84974</xdr:colOff>
      <xdr:row>17</xdr:row>
      <xdr:rowOff>338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D906A47-9489-4D63-BF02-141DD0FD0A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547690</xdr:colOff>
      <xdr:row>2</xdr:row>
      <xdr:rowOff>71437</xdr:rowOff>
    </xdr:from>
    <xdr:to>
      <xdr:col>20</xdr:col>
      <xdr:colOff>120697</xdr:colOff>
      <xdr:row>17</xdr:row>
      <xdr:rowOff>337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2FE313E-0675-4830-B77F-A75ADA4E71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535781</xdr:colOff>
      <xdr:row>2</xdr:row>
      <xdr:rowOff>83344</xdr:rowOff>
    </xdr:from>
    <xdr:to>
      <xdr:col>27</xdr:col>
      <xdr:colOff>108787</xdr:colOff>
      <xdr:row>17</xdr:row>
      <xdr:rowOff>12244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DD172A8-53D7-452D-A16F-B9023DE2DF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4618-E99C-4BC7-9929-97E8C14E8F02}">
  <dimension ref="B2:Z39"/>
  <sheetViews>
    <sheetView topLeftCell="B1" zoomScale="90" zoomScaleNormal="90" workbookViewId="0">
      <selection activeCell="I11" sqref="I11"/>
    </sheetView>
  </sheetViews>
  <sheetFormatPr defaultRowHeight="14.4" x14ac:dyDescent="0.3"/>
  <cols>
    <col min="1" max="6" width="8.88671875" style="3"/>
    <col min="7" max="7" width="9.21875" style="3" customWidth="1"/>
    <col min="8" max="8" width="11" style="3" customWidth="1"/>
    <col min="9" max="16384" width="8.88671875" style="3"/>
  </cols>
  <sheetData>
    <row r="2" spans="2:26" x14ac:dyDescent="0.3">
      <c r="B2" s="129" t="s">
        <v>43</v>
      </c>
      <c r="C2" s="129"/>
      <c r="D2" s="130" t="s">
        <v>61</v>
      </c>
      <c r="E2" s="130"/>
      <c r="F2" s="130"/>
      <c r="G2" s="130"/>
      <c r="H2" s="130"/>
      <c r="I2" s="130"/>
      <c r="J2" s="131"/>
    </row>
    <row r="3" spans="2:26" x14ac:dyDescent="0.3">
      <c r="C3" s="3" t="s">
        <v>107</v>
      </c>
      <c r="D3" s="130" t="s">
        <v>46</v>
      </c>
      <c r="E3" s="130"/>
      <c r="F3" s="130"/>
      <c r="G3" s="130"/>
      <c r="H3" s="130"/>
    </row>
    <row r="4" spans="2:26" x14ac:dyDescent="0.3">
      <c r="C4" s="3" t="s">
        <v>108</v>
      </c>
      <c r="D4" s="133" t="s">
        <v>106</v>
      </c>
      <c r="E4" s="133"/>
      <c r="F4" s="133"/>
      <c r="G4" s="133"/>
      <c r="H4" s="133"/>
      <c r="I4" s="133"/>
    </row>
    <row r="6" spans="2:26" x14ac:dyDescent="0.3">
      <c r="C6" s="127" t="s">
        <v>60</v>
      </c>
      <c r="D6" s="127"/>
      <c r="E6" s="127"/>
      <c r="F6" s="127"/>
      <c r="G6" s="127"/>
      <c r="H6" s="127"/>
    </row>
    <row r="7" spans="2:26" x14ac:dyDescent="0.3">
      <c r="C7" s="82" t="s">
        <v>47</v>
      </c>
      <c r="D7" s="43">
        <f>1+8</f>
        <v>9</v>
      </c>
      <c r="E7" s="82" t="s">
        <v>97</v>
      </c>
      <c r="F7" s="85">
        <f>((2*(F8/D20))+((F9/D20)-1))/2</f>
        <v>14</v>
      </c>
      <c r="H7" s="83"/>
    </row>
    <row r="8" spans="2:26" x14ac:dyDescent="0.3">
      <c r="C8" s="82" t="s">
        <v>48</v>
      </c>
      <c r="D8" s="4">
        <f>18+4</f>
        <v>22</v>
      </c>
      <c r="E8" s="82" t="s">
        <v>0</v>
      </c>
      <c r="F8" s="81">
        <f>D7*D20</f>
        <v>9</v>
      </c>
      <c r="G8" s="3" t="s">
        <v>68</v>
      </c>
      <c r="H8" s="128" t="s">
        <v>118</v>
      </c>
      <c r="I8" s="132">
        <f>F8*(D35+(2*D37))</f>
        <v>396.07830000000001</v>
      </c>
      <c r="Z8" s="117"/>
    </row>
    <row r="9" spans="2:26" x14ac:dyDescent="0.3">
      <c r="E9" s="82" t="s">
        <v>2</v>
      </c>
      <c r="F9" s="81">
        <f>(D8/2)*D20</f>
        <v>11</v>
      </c>
      <c r="G9" s="3" t="s">
        <v>69</v>
      </c>
      <c r="H9" s="128"/>
      <c r="I9" s="132"/>
    </row>
    <row r="10" spans="2:26" x14ac:dyDescent="0.3">
      <c r="E10" s="82" t="s">
        <v>8</v>
      </c>
      <c r="F10" s="84">
        <f>F7*G18</f>
        <v>52.666666666666679</v>
      </c>
      <c r="G10" s="3" t="s">
        <v>70</v>
      </c>
      <c r="H10" s="83"/>
    </row>
    <row r="11" spans="2:26" x14ac:dyDescent="0.3">
      <c r="C11" s="3" t="s">
        <v>35</v>
      </c>
      <c r="D11" s="84">
        <f>F7*((2*D37)+(2*D38*G18))</f>
        <v>1923.3444000000004</v>
      </c>
      <c r="E11" s="136" t="s">
        <v>109</v>
      </c>
      <c r="F11" s="137"/>
      <c r="G11" s="90">
        <f>F35/I11</f>
        <v>0.78094246046531912</v>
      </c>
      <c r="H11" s="144" t="s">
        <v>124</v>
      </c>
      <c r="I11" s="81">
        <f>F35+F36</f>
        <v>146.26778000000002</v>
      </c>
    </row>
    <row r="12" spans="2:26" x14ac:dyDescent="0.3">
      <c r="C12" s="3" t="s">
        <v>36</v>
      </c>
      <c r="D12" s="84">
        <f>F35+F36</f>
        <v>146.26778000000002</v>
      </c>
      <c r="E12" s="136" t="s">
        <v>110</v>
      </c>
      <c r="F12" s="137"/>
      <c r="G12" s="90">
        <f>F36/I11</f>
        <v>0.21905753953468082</v>
      </c>
      <c r="H12" s="144"/>
    </row>
    <row r="13" spans="2:26" x14ac:dyDescent="0.3">
      <c r="C13" s="138" t="s">
        <v>111</v>
      </c>
      <c r="D13" s="139"/>
      <c r="E13" s="103">
        <f>D11/D12</f>
        <v>13.149474204093343</v>
      </c>
    </row>
    <row r="14" spans="2:26" x14ac:dyDescent="0.3">
      <c r="C14" s="3" t="s">
        <v>37</v>
      </c>
      <c r="D14" s="84">
        <f>1/(E13/D15)</f>
        <v>1</v>
      </c>
      <c r="E14" s="119" t="s">
        <v>113</v>
      </c>
      <c r="F14" s="104">
        <f>H14/(F35+F36)</f>
        <v>39.247194426551083</v>
      </c>
      <c r="G14" s="82" t="s">
        <v>115</v>
      </c>
      <c r="H14" s="4">
        <f>H16-H15</f>
        <v>5740.6</v>
      </c>
    </row>
    <row r="15" spans="2:26" x14ac:dyDescent="0.3">
      <c r="C15" s="3" t="s">
        <v>38</v>
      </c>
      <c r="D15" s="81">
        <f>D11/D12</f>
        <v>13.149474204093343</v>
      </c>
      <c r="E15" s="82" t="s">
        <v>114</v>
      </c>
      <c r="F15" s="4">
        <f>((F9*H38)+(F8*G37))/(F35+F36)</f>
        <v>45.705896404525994</v>
      </c>
      <c r="G15" s="82" t="s">
        <v>116</v>
      </c>
      <c r="H15" s="4">
        <f>G35+G36</f>
        <v>460.7</v>
      </c>
    </row>
    <row r="16" spans="2:26" x14ac:dyDescent="0.3">
      <c r="G16" s="82" t="s">
        <v>117</v>
      </c>
      <c r="H16" s="4">
        <f>(F8*G37)+(G38*F9)</f>
        <v>6201.3</v>
      </c>
    </row>
    <row r="17" spans="3:7" x14ac:dyDescent="0.3">
      <c r="C17" s="3" t="s">
        <v>9</v>
      </c>
      <c r="D17" s="86">
        <f>1-D18</f>
        <v>0.20999999999999996</v>
      </c>
      <c r="E17" s="140" t="s">
        <v>98</v>
      </c>
      <c r="F17" s="141"/>
    </row>
    <row r="18" spans="3:7" x14ac:dyDescent="0.3">
      <c r="C18" s="3" t="s">
        <v>8</v>
      </c>
      <c r="D18" s="87">
        <v>0.79</v>
      </c>
      <c r="E18" s="142"/>
      <c r="F18" s="143"/>
      <c r="G18" s="88">
        <f>D18/D17</f>
        <v>3.7619047619047628</v>
      </c>
    </row>
    <row r="20" spans="3:7" x14ac:dyDescent="0.3">
      <c r="C20" s="70" t="s">
        <v>32</v>
      </c>
      <c r="D20" s="69">
        <v>1</v>
      </c>
    </row>
    <row r="21" spans="3:7" hidden="1" x14ac:dyDescent="0.3">
      <c r="C21" s="71" t="s">
        <v>63</v>
      </c>
      <c r="D21" s="11">
        <v>0.4</v>
      </c>
    </row>
    <row r="22" spans="3:7" hidden="1" x14ac:dyDescent="0.3">
      <c r="C22" s="73" t="s">
        <v>29</v>
      </c>
      <c r="D22" s="11">
        <v>1600</v>
      </c>
    </row>
    <row r="23" spans="3:7" hidden="1" x14ac:dyDescent="0.3">
      <c r="C23" s="73" t="s">
        <v>30</v>
      </c>
      <c r="D23" s="11">
        <v>4</v>
      </c>
    </row>
    <row r="24" spans="3:7" hidden="1" x14ac:dyDescent="0.3">
      <c r="C24" s="71" t="s">
        <v>64</v>
      </c>
      <c r="D24" s="45">
        <f>D22/D23</f>
        <v>400</v>
      </c>
    </row>
    <row r="25" spans="3:7" hidden="1" x14ac:dyDescent="0.3">
      <c r="C25" s="74" t="s">
        <v>74</v>
      </c>
      <c r="D25" s="45">
        <f>D24*0.1</f>
        <v>40</v>
      </c>
    </row>
    <row r="26" spans="3:7" hidden="1" x14ac:dyDescent="0.3">
      <c r="C26" s="73" t="s">
        <v>31</v>
      </c>
      <c r="D26" s="11">
        <v>1800</v>
      </c>
    </row>
    <row r="27" spans="3:7" hidden="1" x14ac:dyDescent="0.3">
      <c r="C27" s="73" t="s">
        <v>66</v>
      </c>
      <c r="D27" s="45">
        <f>20+273</f>
        <v>293</v>
      </c>
    </row>
    <row r="28" spans="3:7" hidden="1" x14ac:dyDescent="0.3">
      <c r="C28" s="73" t="s">
        <v>67</v>
      </c>
      <c r="D28" s="11">
        <v>8314</v>
      </c>
    </row>
    <row r="29" spans="3:7" hidden="1" x14ac:dyDescent="0.3">
      <c r="C29" s="73" t="s">
        <v>102</v>
      </c>
      <c r="D29" s="11">
        <f>(10^5*(D24*D21*10^-6))/(D28*D27)</f>
        <v>6.5681391066181384E-6</v>
      </c>
    </row>
    <row r="30" spans="3:7" hidden="1" x14ac:dyDescent="0.3">
      <c r="C30" s="71" t="s">
        <v>62</v>
      </c>
      <c r="D30" s="11">
        <f>D29/(D20+(I23*(1+J20)))</f>
        <v>6.5681391066181384E-6</v>
      </c>
    </row>
    <row r="31" spans="3:7" hidden="1" x14ac:dyDescent="0.3">
      <c r="C31" s="134" t="s">
        <v>105</v>
      </c>
      <c r="D31" s="11"/>
    </row>
    <row r="32" spans="3:7" hidden="1" x14ac:dyDescent="0.3">
      <c r="C32" s="135"/>
      <c r="D32" s="13">
        <v>1.17</v>
      </c>
    </row>
    <row r="33" spans="3:8" x14ac:dyDescent="0.3">
      <c r="C33" s="6" t="s">
        <v>52</v>
      </c>
      <c r="D33" s="7"/>
    </row>
    <row r="34" spans="3:8" x14ac:dyDescent="0.3">
      <c r="C34" s="8"/>
      <c r="D34" s="9"/>
      <c r="F34" s="81" t="s">
        <v>123</v>
      </c>
      <c r="G34" s="127" t="s">
        <v>119</v>
      </c>
      <c r="H34" s="127"/>
    </row>
    <row r="35" spans="3:8" x14ac:dyDescent="0.3">
      <c r="C35" s="10" t="s">
        <v>11</v>
      </c>
      <c r="D35" s="11">
        <v>12.0107</v>
      </c>
      <c r="E35" s="4" t="s">
        <v>76</v>
      </c>
      <c r="F35" s="4">
        <f>D35*8+(D36*18)</f>
        <v>114.22672</v>
      </c>
      <c r="G35" s="85">
        <v>259.2</v>
      </c>
    </row>
    <row r="36" spans="3:8" x14ac:dyDescent="0.3">
      <c r="C36" s="10" t="s">
        <v>17</v>
      </c>
      <c r="D36" s="11">
        <v>1.0078400000000001</v>
      </c>
      <c r="E36" s="4" t="s">
        <v>112</v>
      </c>
      <c r="F36" s="4">
        <f>D35+(D36*4)+D37</f>
        <v>32.041060000000002</v>
      </c>
      <c r="G36" s="81">
        <v>201.5</v>
      </c>
    </row>
    <row r="37" spans="3:8" x14ac:dyDescent="0.3">
      <c r="C37" s="10" t="s">
        <v>18</v>
      </c>
      <c r="D37" s="11">
        <v>15.999000000000001</v>
      </c>
      <c r="E37" s="4" t="s">
        <v>0</v>
      </c>
      <c r="G37" s="4">
        <v>393.5</v>
      </c>
    </row>
    <row r="38" spans="3:8" x14ac:dyDescent="0.3">
      <c r="C38" s="10" t="s">
        <v>20</v>
      </c>
      <c r="D38" s="11">
        <v>14.0067</v>
      </c>
      <c r="E38" s="4" t="s">
        <v>122</v>
      </c>
      <c r="G38" s="4">
        <v>241.8</v>
      </c>
      <c r="H38" s="4">
        <v>285.8</v>
      </c>
    </row>
    <row r="39" spans="3:8" x14ac:dyDescent="0.3">
      <c r="G39" s="3" t="s">
        <v>121</v>
      </c>
      <c r="H39" s="3" t="s">
        <v>120</v>
      </c>
    </row>
  </sheetData>
  <mergeCells count="14">
    <mergeCell ref="G34:H34"/>
    <mergeCell ref="C31:C32"/>
    <mergeCell ref="E11:F11"/>
    <mergeCell ref="E12:F12"/>
    <mergeCell ref="C13:D13"/>
    <mergeCell ref="E17:F18"/>
    <mergeCell ref="H11:H12"/>
    <mergeCell ref="C6:H6"/>
    <mergeCell ref="H8:H9"/>
    <mergeCell ref="B2:C2"/>
    <mergeCell ref="D2:J2"/>
    <mergeCell ref="D3:H3"/>
    <mergeCell ref="I8:I9"/>
    <mergeCell ref="D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7C8A9-08E5-4B78-BEB6-439FC66E253C}">
  <dimension ref="A1:BR230"/>
  <sheetViews>
    <sheetView topLeftCell="F1" zoomScale="60" zoomScaleNormal="60" workbookViewId="0">
      <selection activeCell="AL38" sqref="AL38"/>
    </sheetView>
  </sheetViews>
  <sheetFormatPr defaultRowHeight="14.4" x14ac:dyDescent="0.3"/>
  <cols>
    <col min="1" max="1" width="10.109375" customWidth="1"/>
    <col min="2" max="2" width="13" bestFit="1" customWidth="1"/>
    <col min="4" max="4" width="11.88671875" customWidth="1"/>
    <col min="5" max="5" width="8.44140625" customWidth="1"/>
    <col min="7" max="7" width="10.109375" customWidth="1"/>
    <col min="11" max="11" width="11" bestFit="1" customWidth="1"/>
    <col min="13" max="13" width="14.88671875" bestFit="1" customWidth="1"/>
    <col min="14" max="14" width="14.5546875" customWidth="1"/>
    <col min="15" max="15" width="13" bestFit="1" customWidth="1"/>
    <col min="16" max="16" width="16.6640625" bestFit="1" customWidth="1"/>
    <col min="17" max="17" width="13" bestFit="1" customWidth="1"/>
    <col min="18" max="18" width="14.88671875" bestFit="1" customWidth="1"/>
    <col min="19" max="20" width="13.109375" bestFit="1" customWidth="1"/>
    <col min="22" max="22" width="14.88671875" bestFit="1" customWidth="1"/>
    <col min="23" max="23" width="10.109375" bestFit="1" customWidth="1"/>
    <col min="24" max="25" width="14.88671875" bestFit="1" customWidth="1"/>
    <col min="26" max="26" width="13.5546875" bestFit="1" customWidth="1"/>
    <col min="28" max="28" width="14.88671875" bestFit="1" customWidth="1"/>
    <col min="30" max="30" width="14.88671875" bestFit="1" customWidth="1"/>
    <col min="32" max="32" width="14.88671875" bestFit="1" customWidth="1"/>
    <col min="34" max="34" width="14.88671875" bestFit="1" customWidth="1"/>
    <col min="36" max="36" width="14.88671875" bestFit="1" customWidth="1"/>
    <col min="38" max="38" width="14.88671875" bestFit="1" customWidth="1"/>
    <col min="39" max="39" width="9.109375" style="3"/>
  </cols>
  <sheetData>
    <row r="1" spans="1:67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07"/>
      <c r="N1" s="108"/>
      <c r="O1" s="108"/>
      <c r="P1" s="108"/>
      <c r="Q1" s="108"/>
      <c r="R1" s="108"/>
      <c r="S1" s="150" t="s">
        <v>86</v>
      </c>
      <c r="T1" s="150"/>
      <c r="U1" s="15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</row>
    <row r="2" spans="1:67" ht="20.399999999999999" thickBo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L2" s="3"/>
      <c r="M2" s="109" t="s">
        <v>32</v>
      </c>
      <c r="N2" s="75" t="s">
        <v>62</v>
      </c>
      <c r="O2" s="75" t="s">
        <v>72</v>
      </c>
      <c r="P2" s="75" t="s">
        <v>73</v>
      </c>
      <c r="Q2" s="105" t="s">
        <v>85</v>
      </c>
      <c r="R2" s="75" t="s">
        <v>75</v>
      </c>
      <c r="S2" s="75" t="s">
        <v>80</v>
      </c>
      <c r="T2" s="75" t="s">
        <v>81</v>
      </c>
      <c r="U2" s="110" t="s">
        <v>79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67" ht="21" thickTop="1" thickBot="1" x14ac:dyDescent="0.45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111">
        <f>B9</f>
        <v>1</v>
      </c>
      <c r="N3" s="112">
        <f>B21</f>
        <v>1.0852157453893067E-7</v>
      </c>
      <c r="O3" s="113">
        <f>(G17*B21)/(B15*10^-6)</f>
        <v>0</v>
      </c>
      <c r="P3" s="114">
        <f>(G16*B21)/(B15*10^-6)</f>
        <v>0.12757744625856435</v>
      </c>
      <c r="Q3" s="105">
        <f>(8*B9*E30)+(9*B9*E31)+(G13*(1-B9)*E32)+(47*E33)</f>
        <v>4937.7991930196604</v>
      </c>
      <c r="R3" s="115">
        <f>F27</f>
        <v>2351.5287741201496</v>
      </c>
      <c r="S3" s="113">
        <f>(B9*AR5)</f>
        <v>259.2</v>
      </c>
      <c r="T3" s="113">
        <f>((AR6*G14)+(G15*AR7))</f>
        <v>5324.2000000000007</v>
      </c>
      <c r="U3" s="116">
        <f>((AR6*G14)+(G15*AR7))-(B9*AR5)</f>
        <v>5065.0000000000009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N3" s="3"/>
      <c r="AO3" s="3"/>
      <c r="AP3" s="8"/>
      <c r="AQ3" s="49"/>
      <c r="AR3" s="49"/>
      <c r="AS3" s="49"/>
      <c r="AT3" s="9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67" ht="15" thickBo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52" t="s">
        <v>86</v>
      </c>
      <c r="T4" s="152"/>
      <c r="U4" s="152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N4" s="3"/>
      <c r="AO4" s="3"/>
      <c r="AP4" s="10"/>
      <c r="AQ4" s="47"/>
      <c r="AR4" s="47" t="s">
        <v>82</v>
      </c>
      <c r="AS4" s="48" t="s">
        <v>32</v>
      </c>
      <c r="AT4" s="11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67" ht="15" thickBo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4" t="s">
        <v>32</v>
      </c>
      <c r="N5" s="35" t="s">
        <v>62</v>
      </c>
      <c r="O5" s="24" t="s">
        <v>72</v>
      </c>
      <c r="P5" s="24" t="s">
        <v>73</v>
      </c>
      <c r="Q5" s="24" t="s">
        <v>85</v>
      </c>
      <c r="R5" s="24" t="s">
        <v>75</v>
      </c>
      <c r="S5" s="24" t="s">
        <v>80</v>
      </c>
      <c r="T5" s="24" t="s">
        <v>81</v>
      </c>
      <c r="U5" s="36" t="s">
        <v>79</v>
      </c>
      <c r="V5" s="24" t="s">
        <v>91</v>
      </c>
      <c r="W5" s="42" t="s">
        <v>92</v>
      </c>
      <c r="X5" s="42" t="s">
        <v>93</v>
      </c>
      <c r="Y5" s="42" t="s">
        <v>94</v>
      </c>
      <c r="Z5" s="121" t="s">
        <v>90</v>
      </c>
      <c r="AA5" s="125" t="s">
        <v>125</v>
      </c>
      <c r="AB5" s="126" t="s">
        <v>126</v>
      </c>
      <c r="AC5" s="24" t="s">
        <v>127</v>
      </c>
      <c r="AD5" s="3"/>
      <c r="AE5" s="3"/>
      <c r="AF5" s="3"/>
      <c r="AG5" s="3"/>
      <c r="AH5" s="3"/>
      <c r="AI5" s="3"/>
      <c r="AJ5" s="3"/>
      <c r="AK5" s="3"/>
      <c r="AL5" s="3"/>
      <c r="AN5" s="3"/>
      <c r="AO5" s="3"/>
      <c r="AP5" s="10"/>
      <c r="AQ5" s="47" t="s">
        <v>76</v>
      </c>
      <c r="AR5" s="47">
        <v>259.2</v>
      </c>
      <c r="AS5" s="47">
        <v>1</v>
      </c>
      <c r="AT5" s="11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67" x14ac:dyDescent="0.3">
      <c r="A6" s="3"/>
      <c r="B6" s="3"/>
      <c r="C6" s="3"/>
      <c r="D6" s="3" t="s">
        <v>42</v>
      </c>
      <c r="E6" s="3"/>
      <c r="F6" s="3"/>
      <c r="G6" s="3"/>
      <c r="H6" s="3"/>
      <c r="I6" s="3"/>
      <c r="J6" s="3"/>
      <c r="K6" s="3"/>
      <c r="L6" s="3"/>
      <c r="M6" s="32">
        <v>1</v>
      </c>
      <c r="N6" s="33">
        <v>1.0852157453893067E-7</v>
      </c>
      <c r="O6" s="33">
        <v>0</v>
      </c>
      <c r="P6" s="33">
        <v>0.12757744625856435</v>
      </c>
      <c r="Q6" s="51">
        <v>5064.9999991441364</v>
      </c>
      <c r="R6" s="51">
        <v>2398.8488373977302</v>
      </c>
      <c r="S6" s="51">
        <v>259.2</v>
      </c>
      <c r="T6" s="51">
        <v>5324.2000000000007</v>
      </c>
      <c r="U6" s="51">
        <v>5065.0000000000009</v>
      </c>
      <c r="V6" s="52">
        <v>8</v>
      </c>
      <c r="W6" s="53">
        <v>9</v>
      </c>
      <c r="X6" s="53">
        <v>0</v>
      </c>
      <c r="Y6" s="51">
        <v>47.023809523809526</v>
      </c>
      <c r="Z6" s="122">
        <f>(SUM(N22:N37)/(N6*(V6+W6+X6+Y6)))*10^6</f>
        <v>0</v>
      </c>
      <c r="AA6" s="43"/>
      <c r="AB6" s="43"/>
      <c r="AC6" s="43"/>
      <c r="AD6" s="3"/>
      <c r="AE6" s="3"/>
      <c r="AF6" s="3"/>
      <c r="AG6" s="3"/>
      <c r="AH6" s="3"/>
      <c r="AI6" s="3"/>
      <c r="AJ6" s="3"/>
      <c r="AK6" s="3"/>
      <c r="AL6" s="3"/>
      <c r="AN6" s="3"/>
      <c r="AO6" s="3"/>
      <c r="AP6" s="10"/>
      <c r="AQ6" s="47" t="s">
        <v>0</v>
      </c>
      <c r="AR6" s="47">
        <v>393.5</v>
      </c>
      <c r="AS6" s="47">
        <v>0.99</v>
      </c>
      <c r="AT6" s="11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67" x14ac:dyDescent="0.3">
      <c r="C7" s="3"/>
      <c r="D7" s="145" t="s">
        <v>46</v>
      </c>
      <c r="E7" s="145"/>
      <c r="F7" s="145"/>
      <c r="G7" s="145"/>
      <c r="H7" s="145"/>
      <c r="I7" s="3"/>
      <c r="J7" s="3"/>
      <c r="K7" s="3"/>
      <c r="L7" s="3"/>
      <c r="M7" s="4">
        <v>0.99</v>
      </c>
      <c r="N7" s="31">
        <v>1.0853950789586075E-7</v>
      </c>
      <c r="O7" s="31">
        <v>3.3918596217456516E-4</v>
      </c>
      <c r="P7" s="31">
        <v>0.1275985286275744</v>
      </c>
      <c r="Q7" s="5">
        <v>5014.399999995112</v>
      </c>
      <c r="R7" s="5">
        <v>2383.1577532658721</v>
      </c>
      <c r="S7" s="5">
        <v>256.608</v>
      </c>
      <c r="T7" s="5">
        <v>5270.9580000000005</v>
      </c>
      <c r="U7" s="5">
        <v>5014.3500000000004</v>
      </c>
      <c r="V7" s="5">
        <v>7.92</v>
      </c>
      <c r="W7" s="54">
        <v>8.91</v>
      </c>
      <c r="X7" s="54">
        <v>0.12500000000000011</v>
      </c>
      <c r="Y7" s="54">
        <v>47.023809523809526</v>
      </c>
      <c r="Z7" s="122">
        <f>(SUM(P22:P37)/(N7*(V7+W7+X7+Y7)))*10^6</f>
        <v>20281.80120755902</v>
      </c>
      <c r="AA7" s="124">
        <f>1-((V7/V6)*1)</f>
        <v>1.0000000000000009E-2</v>
      </c>
      <c r="AB7" s="124">
        <f>(R6-R7)/R6</f>
        <v>6.5410891621165311E-3</v>
      </c>
      <c r="AC7" s="124">
        <f>($R$6-R7)/$R$6</f>
        <v>6.5410891621165311E-3</v>
      </c>
      <c r="AD7" s="3"/>
      <c r="AE7" s="3"/>
      <c r="AF7" s="3"/>
      <c r="AG7" s="3"/>
      <c r="AH7" s="3"/>
      <c r="AI7" s="3"/>
      <c r="AJ7" s="3"/>
      <c r="AK7" s="3"/>
      <c r="AL7" s="3"/>
      <c r="AN7" s="3"/>
      <c r="AO7" s="3"/>
      <c r="AP7" s="10"/>
      <c r="AQ7" s="47" t="s">
        <v>77</v>
      </c>
      <c r="AR7" s="47">
        <v>241.8</v>
      </c>
      <c r="AS7" s="47">
        <v>0.98</v>
      </c>
      <c r="AT7" s="11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67" x14ac:dyDescent="0.3">
      <c r="A8" s="3"/>
      <c r="B8" s="3"/>
      <c r="C8" s="3"/>
      <c r="D8" s="3" t="s">
        <v>9</v>
      </c>
      <c r="E8" s="25">
        <v>0.21</v>
      </c>
      <c r="F8" s="140" t="s">
        <v>98</v>
      </c>
      <c r="G8" s="141"/>
      <c r="H8" s="3"/>
      <c r="J8" s="3"/>
      <c r="K8" s="3"/>
      <c r="L8" s="3"/>
      <c r="M8" s="4">
        <v>0.98</v>
      </c>
      <c r="N8" s="31">
        <v>1.0855744718080002E-7</v>
      </c>
      <c r="O8" s="31">
        <v>6.7848404488000079E-4</v>
      </c>
      <c r="P8" s="31">
        <v>0.12761961796552385</v>
      </c>
      <c r="Q8" s="5">
        <v>4963.700000133842</v>
      </c>
      <c r="R8" s="5">
        <v>2367.3664259538459</v>
      </c>
      <c r="S8" s="5">
        <v>254.01599999999999</v>
      </c>
      <c r="T8" s="5">
        <v>5217.7160000000003</v>
      </c>
      <c r="U8" s="5">
        <v>4963.7000000000007</v>
      </c>
      <c r="V8" s="5">
        <v>7.84</v>
      </c>
      <c r="W8" s="54">
        <v>8.82</v>
      </c>
      <c r="X8" s="54">
        <v>0.25000000000000022</v>
      </c>
      <c r="Y8" s="5">
        <v>47.023809523809526</v>
      </c>
      <c r="Z8" s="122">
        <f>(SUM(R$22:R$37)/(N8*(V8+W8+X8+Y8)))*10^6</f>
        <v>24468.036413845406</v>
      </c>
      <c r="AA8" s="124">
        <f t="shared" ref="AA8:AA18" si="0">1-((V8/V7)*1)</f>
        <v>1.0101010101010055E-2</v>
      </c>
      <c r="AB8" s="124">
        <f t="shared" ref="AB8:AB18" si="1">(R7-R8)/R7</f>
        <v>6.6262198926553577E-3</v>
      </c>
      <c r="AC8" s="124">
        <f t="shared" ref="AC8:AC18" si="2">($R$6-R8)/$R$6</f>
        <v>1.3123966359646239E-2</v>
      </c>
      <c r="AD8" s="3"/>
      <c r="AE8" s="3"/>
      <c r="AF8" s="3"/>
      <c r="AG8" s="3"/>
      <c r="AH8" s="3"/>
      <c r="AI8" s="3"/>
      <c r="AJ8" s="3"/>
      <c r="AK8" s="3"/>
      <c r="AL8" s="3"/>
      <c r="AN8" s="3"/>
      <c r="AO8" s="3"/>
      <c r="AP8" s="10"/>
      <c r="AQ8" s="47" t="s">
        <v>78</v>
      </c>
      <c r="AR8" s="47">
        <v>285.8</v>
      </c>
      <c r="AS8" s="47">
        <v>0.97</v>
      </c>
      <c r="AT8" s="11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67" x14ac:dyDescent="0.3">
      <c r="A9" s="70" t="s">
        <v>32</v>
      </c>
      <c r="B9" s="69">
        <v>1</v>
      </c>
      <c r="C9" s="3"/>
      <c r="D9" s="3" t="s">
        <v>8</v>
      </c>
      <c r="E9" s="14">
        <f>1-E8</f>
        <v>0.79</v>
      </c>
      <c r="F9" s="142"/>
      <c r="G9" s="143"/>
      <c r="H9" s="26">
        <f>E9/E8</f>
        <v>3.7619047619047623</v>
      </c>
      <c r="I9" s="3"/>
      <c r="J9" s="3"/>
      <c r="K9" s="3"/>
      <c r="L9" s="3"/>
      <c r="M9" s="4">
        <v>0.97</v>
      </c>
      <c r="N9" s="31">
        <v>1.0857539239668828E-7</v>
      </c>
      <c r="O9" s="31">
        <v>1.0178943037189537E-3</v>
      </c>
      <c r="P9" s="31">
        <v>0.12764071427586868</v>
      </c>
      <c r="Q9" s="5">
        <v>4913.0000002981278</v>
      </c>
      <c r="R9" s="5">
        <v>2351.5100586310682</v>
      </c>
      <c r="S9" s="5">
        <v>251.42399999999998</v>
      </c>
      <c r="T9" s="5">
        <v>5164.4740000000002</v>
      </c>
      <c r="U9" s="5">
        <v>4913.05</v>
      </c>
      <c r="V9" s="5">
        <v>7.76</v>
      </c>
      <c r="W9" s="54">
        <v>8.73</v>
      </c>
      <c r="X9" s="54">
        <v>0.37500000000000033</v>
      </c>
      <c r="Y9" s="54">
        <v>47.023809523809526</v>
      </c>
      <c r="Z9" s="123">
        <f>(SUM(T$22:T$37)/(N9*(V9+W9+X9+Y9)))*10^6</f>
        <v>25492.387894904801</v>
      </c>
      <c r="AA9" s="124">
        <f t="shared" si="0"/>
        <v>1.0204081632653073E-2</v>
      </c>
      <c r="AB9" s="124">
        <f t="shared" si="1"/>
        <v>6.6978931309245697E-3</v>
      </c>
      <c r="AC9" s="124">
        <f t="shared" si="2"/>
        <v>1.9733956566440048E-2</v>
      </c>
      <c r="AD9" s="3"/>
      <c r="AE9" s="3"/>
      <c r="AF9" s="3"/>
      <c r="AG9" s="3"/>
      <c r="AH9" s="3"/>
      <c r="AI9" s="3"/>
      <c r="AJ9" s="3"/>
      <c r="AK9" s="3"/>
      <c r="AL9" s="3"/>
      <c r="AN9" s="3"/>
      <c r="AO9" s="3"/>
      <c r="AP9" s="10"/>
      <c r="AQ9" s="47"/>
      <c r="AR9" s="47"/>
      <c r="AS9" s="47">
        <v>0.96</v>
      </c>
      <c r="AT9" s="11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67" x14ac:dyDescent="0.3">
      <c r="A10" s="71" t="s">
        <v>63</v>
      </c>
      <c r="B10" s="11">
        <v>0.4</v>
      </c>
      <c r="C10" s="3"/>
      <c r="D10" s="130" t="s">
        <v>43</v>
      </c>
      <c r="E10" s="130"/>
      <c r="F10" s="145" t="s">
        <v>61</v>
      </c>
      <c r="G10" s="145"/>
      <c r="H10" s="145"/>
      <c r="I10" s="145"/>
      <c r="J10" s="145"/>
      <c r="K10" s="145"/>
      <c r="L10" s="146"/>
      <c r="M10" s="4">
        <v>0.96</v>
      </c>
      <c r="N10" s="31">
        <v>1.0859334354646729E-7</v>
      </c>
      <c r="O10" s="31">
        <v>1.3574167943308424E-3</v>
      </c>
      <c r="P10" s="31">
        <v>0.12766181756206721</v>
      </c>
      <c r="Q10" s="5">
        <v>4862.4000004942882</v>
      </c>
      <c r="R10" s="5">
        <v>2335.6241556218988</v>
      </c>
      <c r="S10" s="5">
        <v>248.83199999999999</v>
      </c>
      <c r="T10" s="5">
        <v>5111.232</v>
      </c>
      <c r="U10" s="5">
        <v>4862.3999999999996</v>
      </c>
      <c r="V10" s="5">
        <v>7.68</v>
      </c>
      <c r="W10" s="54">
        <v>8.64</v>
      </c>
      <c r="X10" s="54">
        <v>0.50000000000000044</v>
      </c>
      <c r="Y10" s="54">
        <v>47.023809523809526</v>
      </c>
      <c r="Z10" s="122">
        <f>(SUM(V$22:V$37)/(N10*(V10+W10+X10+Y10)))*10^6</f>
        <v>24978.406702081542</v>
      </c>
      <c r="AA10" s="124">
        <f t="shared" si="0"/>
        <v>1.0309278350515427E-2</v>
      </c>
      <c r="AB10" s="124">
        <f t="shared" si="1"/>
        <v>6.7556177150343028E-3</v>
      </c>
      <c r="AC10" s="124">
        <f t="shared" si="2"/>
        <v>2.6356259214906391E-2</v>
      </c>
      <c r="AD10" s="3"/>
      <c r="AE10" s="3"/>
      <c r="AF10" s="3"/>
      <c r="AG10" s="3"/>
      <c r="AH10" s="3"/>
      <c r="AI10" s="3"/>
      <c r="AJ10" s="3"/>
      <c r="AK10" s="3"/>
      <c r="AL10" s="3"/>
      <c r="AN10" s="3"/>
      <c r="AO10" s="3"/>
      <c r="AP10" s="10"/>
      <c r="AQ10" s="47"/>
      <c r="AR10" s="47"/>
      <c r="AS10" s="47">
        <v>0.95</v>
      </c>
      <c r="AT10" s="11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x14ac:dyDescent="0.3">
      <c r="A11" s="74"/>
      <c r="B11" s="45"/>
      <c r="C11" s="3"/>
      <c r="F11" s="3" t="s">
        <v>44</v>
      </c>
      <c r="G11" s="3" t="s">
        <v>45</v>
      </c>
      <c r="H11" s="3"/>
      <c r="I11" s="3"/>
      <c r="J11" s="3"/>
      <c r="K11" s="3"/>
      <c r="L11" s="3"/>
      <c r="M11" s="4">
        <v>0.95</v>
      </c>
      <c r="N11" s="31">
        <v>1.0861130063308073E-7</v>
      </c>
      <c r="O11" s="31">
        <v>1.6970515723918882E-3</v>
      </c>
      <c r="P11" s="31">
        <v>0.12768292782758006</v>
      </c>
      <c r="Q11" s="5">
        <v>4811.8000007146293</v>
      </c>
      <c r="R11" s="5">
        <v>2319.6693479727683</v>
      </c>
      <c r="S11" s="5">
        <v>246.23999999999998</v>
      </c>
      <c r="T11" s="5">
        <v>5057.99</v>
      </c>
      <c r="U11" s="5">
        <v>4811.75</v>
      </c>
      <c r="V11" s="5">
        <v>7.6</v>
      </c>
      <c r="W11" s="54">
        <v>8.5499999999999989</v>
      </c>
      <c r="X11" s="54">
        <v>0.62500000000000056</v>
      </c>
      <c r="Y11" s="54">
        <v>47.023809523809526</v>
      </c>
      <c r="Z11" s="122">
        <f>(SUM(X$22:X$37)/(N11*(V11+W11+X11+Y11)))*10^6</f>
        <v>23627.495287562986</v>
      </c>
      <c r="AA11" s="124">
        <f t="shared" si="0"/>
        <v>1.041666666666663E-2</v>
      </c>
      <c r="AB11" s="124">
        <f t="shared" si="1"/>
        <v>6.8310680940368634E-3</v>
      </c>
      <c r="AC11" s="124">
        <f t="shared" si="2"/>
        <v>3.3007285907542143E-2</v>
      </c>
      <c r="AD11" s="3"/>
      <c r="AE11" s="3"/>
      <c r="AF11" s="3"/>
      <c r="AG11" s="3"/>
      <c r="AH11" s="3"/>
      <c r="AI11" s="3"/>
      <c r="AJ11" s="3"/>
      <c r="AK11" s="3"/>
      <c r="AL11" s="3"/>
      <c r="AN11" s="3"/>
      <c r="AO11" s="3"/>
      <c r="AP11" s="10"/>
      <c r="AQ11" s="47"/>
      <c r="AR11" s="47"/>
      <c r="AS11" s="47">
        <v>0.9</v>
      </c>
      <c r="AT11" s="11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x14ac:dyDescent="0.3">
      <c r="A12" s="73" t="s">
        <v>29</v>
      </c>
      <c r="B12" s="11">
        <v>1600</v>
      </c>
      <c r="C12" s="3"/>
      <c r="D12" s="6"/>
      <c r="E12" s="67"/>
      <c r="F12" s="149" t="s">
        <v>60</v>
      </c>
      <c r="G12" s="149"/>
      <c r="H12" s="149"/>
      <c r="I12" s="67"/>
      <c r="J12" s="68"/>
      <c r="K12" s="3"/>
      <c r="L12" s="3"/>
      <c r="M12" s="4">
        <v>0.9</v>
      </c>
      <c r="N12" s="31">
        <v>1.0870117522183064E-7</v>
      </c>
      <c r="O12" s="31">
        <v>3.3969117256822073E-3</v>
      </c>
      <c r="P12" s="31">
        <v>0.12778858396614021</v>
      </c>
      <c r="Q12" s="5">
        <v>4558.5005116222073</v>
      </c>
      <c r="R12" s="5">
        <v>2238.6757400117017</v>
      </c>
      <c r="S12" s="5">
        <v>233.28</v>
      </c>
      <c r="T12" s="5">
        <v>4791.7800000000007</v>
      </c>
      <c r="U12" s="5">
        <v>4558.5000000000009</v>
      </c>
      <c r="V12" s="5">
        <v>7.2</v>
      </c>
      <c r="W12" s="54">
        <v>8.1</v>
      </c>
      <c r="X12" s="54">
        <v>1.2499999999999998</v>
      </c>
      <c r="Y12" s="54">
        <v>47.023809523809526</v>
      </c>
      <c r="Z12" s="122">
        <f>(SUM(Z$22:Z$37)/(N12*(V12+W12+X12+Y12)))*10^6</f>
        <v>13788.07349852954</v>
      </c>
      <c r="AA12" s="124">
        <f t="shared" si="0"/>
        <v>5.2631578947368363E-2</v>
      </c>
      <c r="AB12" s="124">
        <f t="shared" si="1"/>
        <v>3.4916014229290665E-2</v>
      </c>
      <c r="AC12" s="124">
        <f t="shared" si="2"/>
        <v>6.6770817272414795E-2</v>
      </c>
      <c r="AD12" s="3"/>
      <c r="AE12" s="3"/>
      <c r="AF12" s="3"/>
      <c r="AG12" s="3"/>
      <c r="AH12" s="3"/>
      <c r="AI12" s="3"/>
      <c r="AJ12" s="3"/>
      <c r="AK12" s="3"/>
      <c r="AL12" s="3"/>
      <c r="AN12" s="3"/>
      <c r="AO12" s="3"/>
      <c r="AP12" s="10"/>
      <c r="AQ12" s="47"/>
      <c r="AR12" s="47"/>
      <c r="AS12" s="47">
        <v>0.85</v>
      </c>
      <c r="AT12" s="11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67" x14ac:dyDescent="0.3">
      <c r="A13" s="73" t="s">
        <v>30</v>
      </c>
      <c r="B13" s="11">
        <v>4</v>
      </c>
      <c r="C13" s="3"/>
      <c r="D13" s="27" t="s">
        <v>47</v>
      </c>
      <c r="E13" s="43">
        <f>8*B9</f>
        <v>8</v>
      </c>
      <c r="F13" s="27" t="s">
        <v>97</v>
      </c>
      <c r="G13" s="43">
        <v>12.5</v>
      </c>
      <c r="H13" s="3"/>
      <c r="I13" s="65" t="s">
        <v>84</v>
      </c>
      <c r="J13">
        <v>2950</v>
      </c>
      <c r="K13" s="3"/>
      <c r="L13" s="3"/>
      <c r="M13" s="4">
        <v>0.85</v>
      </c>
      <c r="N13" s="31">
        <v>1.0879119867411829E-7</v>
      </c>
      <c r="O13" s="31">
        <v>5.0995874378492959E-3</v>
      </c>
      <c r="P13" s="31">
        <v>0.12789441510796645</v>
      </c>
      <c r="Q13" s="5">
        <v>4305.3000000125703</v>
      </c>
      <c r="R13" s="5">
        <v>2155.6846330638377</v>
      </c>
      <c r="S13" s="5">
        <v>220.32</v>
      </c>
      <c r="T13" s="5">
        <v>4525.57</v>
      </c>
      <c r="U13" s="5">
        <v>4305.25</v>
      </c>
      <c r="V13" s="5">
        <v>6.8</v>
      </c>
      <c r="W13" s="54">
        <v>7.6499999999999995</v>
      </c>
      <c r="X13" s="54">
        <v>1.8750000000000002</v>
      </c>
      <c r="Y13" s="54">
        <v>47.023809523809526</v>
      </c>
      <c r="Z13" s="122">
        <f>(SUM(AB$22:AB$37)/(N13*(V13+W13+X13+Y13)))*10^6</f>
        <v>6365.8983873006409</v>
      </c>
      <c r="AA13" s="124">
        <f t="shared" si="0"/>
        <v>5.555555555555558E-2</v>
      </c>
      <c r="AB13" s="124">
        <f t="shared" si="1"/>
        <v>3.7071517533588921E-2</v>
      </c>
      <c r="AC13" s="124">
        <f t="shared" si="2"/>
        <v>0.10136703928275734</v>
      </c>
      <c r="AD13" s="3"/>
      <c r="AE13" s="3"/>
      <c r="AF13" s="3"/>
      <c r="AG13" s="3"/>
      <c r="AH13" s="3"/>
      <c r="AI13" s="3"/>
      <c r="AJ13" s="3"/>
      <c r="AK13" s="3"/>
      <c r="AL13" s="3"/>
      <c r="AN13" s="3"/>
      <c r="AO13" s="3"/>
      <c r="AP13" s="10"/>
      <c r="AQ13" s="47"/>
      <c r="AR13" s="47"/>
      <c r="AS13" s="47">
        <v>0.8</v>
      </c>
      <c r="AT13" s="11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x14ac:dyDescent="0.3">
      <c r="A14" s="71" t="s">
        <v>64</v>
      </c>
      <c r="B14" s="45">
        <f>B12/B13</f>
        <v>400</v>
      </c>
      <c r="C14" s="3"/>
      <c r="D14" s="27" t="s">
        <v>48</v>
      </c>
      <c r="E14" s="4">
        <f>18*B9</f>
        <v>18</v>
      </c>
      <c r="F14" s="27" t="s">
        <v>0</v>
      </c>
      <c r="G14" s="4">
        <f>8*B9</f>
        <v>8</v>
      </c>
      <c r="H14" s="3" t="s">
        <v>68</v>
      </c>
      <c r="I14" s="63" t="s">
        <v>83</v>
      </c>
      <c r="J14" s="11">
        <f>VLOOKUP(J13,tables!B19:D87,3,FALSE)</f>
        <v>149.78</v>
      </c>
      <c r="K14" s="3"/>
      <c r="L14" s="3"/>
      <c r="M14" s="4">
        <v>0.8</v>
      </c>
      <c r="N14" s="31">
        <v>1.088813713601049E-7</v>
      </c>
      <c r="O14" s="31">
        <v>6.8050857100065559E-3</v>
      </c>
      <c r="P14" s="31">
        <v>0.1280004216882186</v>
      </c>
      <c r="Q14" s="5">
        <v>4052.0000000399205</v>
      </c>
      <c r="R14" s="5">
        <v>2070.3634191154556</v>
      </c>
      <c r="S14" s="5">
        <v>207.36</v>
      </c>
      <c r="T14" s="5">
        <v>4259.3600000000006</v>
      </c>
      <c r="U14" s="5">
        <v>4052.0000000000005</v>
      </c>
      <c r="V14" s="5">
        <v>6.4</v>
      </c>
      <c r="W14" s="54">
        <v>7.2</v>
      </c>
      <c r="X14" s="54">
        <v>2.4999999999999996</v>
      </c>
      <c r="Y14" s="54">
        <v>47.023809523809526</v>
      </c>
      <c r="Z14" s="122">
        <f>(SUM(AD$22:AD$37)/(N14*(V14+W14+X14+Y14)))*10^6</f>
        <v>2486.3388785224925</v>
      </c>
      <c r="AA14" s="124">
        <f t="shared" si="0"/>
        <v>5.8823529411764608E-2</v>
      </c>
      <c r="AB14" s="124">
        <f t="shared" si="1"/>
        <v>3.9579636390095034E-2</v>
      </c>
      <c r="AC14" s="124">
        <f t="shared" si="2"/>
        <v>0.13693460511610037</v>
      </c>
      <c r="AD14" s="3"/>
      <c r="AE14" s="3"/>
      <c r="AF14" s="3"/>
      <c r="AG14" s="3"/>
      <c r="AH14" s="3"/>
      <c r="AI14" s="3"/>
      <c r="AJ14" s="3"/>
      <c r="AK14" s="3"/>
      <c r="AL14" s="3"/>
      <c r="AN14" s="3"/>
      <c r="AO14" s="3"/>
      <c r="AP14" s="10"/>
      <c r="AQ14" s="47"/>
      <c r="AR14" s="47"/>
      <c r="AS14" s="47">
        <v>0.75</v>
      </c>
      <c r="AT14" s="11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x14ac:dyDescent="0.3">
      <c r="A15" s="74" t="s">
        <v>74</v>
      </c>
      <c r="B15" s="45">
        <f>B14*0.1</f>
        <v>40</v>
      </c>
      <c r="C15" s="3"/>
      <c r="D15" s="3"/>
      <c r="E15" s="3"/>
      <c r="F15" s="27" t="s">
        <v>2</v>
      </c>
      <c r="G15" s="4">
        <f>9*B9</f>
        <v>9</v>
      </c>
      <c r="H15" s="3" t="s">
        <v>69</v>
      </c>
      <c r="I15" s="63" t="s">
        <v>83</v>
      </c>
      <c r="J15" s="11">
        <f>VLOOKUP(J13,tables!I19:K87,3,FALSE)</f>
        <v>123.77</v>
      </c>
      <c r="K15" s="3"/>
      <c r="L15" s="3"/>
      <c r="M15" s="4">
        <v>0.75</v>
      </c>
      <c r="N15" s="31">
        <v>1.0897169365117985E-7</v>
      </c>
      <c r="O15" s="31">
        <v>8.5134135664984272E-3</v>
      </c>
      <c r="P15" s="31">
        <v>0.12810660414350014</v>
      </c>
      <c r="Q15" s="5">
        <v>2940.4000353266138</v>
      </c>
      <c r="R15" s="5">
        <v>1628.7845788759134</v>
      </c>
      <c r="S15" s="5">
        <v>194.39999999999998</v>
      </c>
      <c r="T15" s="5">
        <v>3134.76</v>
      </c>
      <c r="U15" s="5">
        <v>2940.36</v>
      </c>
      <c r="V15" s="5">
        <v>6</v>
      </c>
      <c r="W15" s="54">
        <v>6.75</v>
      </c>
      <c r="X15" s="54">
        <v>3.125</v>
      </c>
      <c r="Y15" s="54">
        <v>47.023809523809526</v>
      </c>
      <c r="Z15" s="122">
        <f>(SUM(AF$22:AF$37)/(N15*(V15+W15+X15+Y15)))*10^6</f>
        <v>1.6566160839802588</v>
      </c>
      <c r="AA15" s="124">
        <f t="shared" si="0"/>
        <v>6.25E-2</v>
      </c>
      <c r="AB15" s="163">
        <f t="shared" si="1"/>
        <v>0.21328566577369437</v>
      </c>
      <c r="AC15" s="163">
        <f t="shared" si="2"/>
        <v>0.32101408247014934</v>
      </c>
      <c r="AD15" s="3"/>
      <c r="AE15" s="3"/>
      <c r="AF15" s="3"/>
      <c r="AG15" s="3"/>
      <c r="AH15" s="3"/>
      <c r="AI15" s="3"/>
      <c r="AJ15" s="3"/>
      <c r="AK15" s="3"/>
      <c r="AL15" s="3"/>
      <c r="AN15" s="3"/>
      <c r="AO15" s="3"/>
      <c r="AP15" s="10"/>
      <c r="AQ15" s="47"/>
      <c r="AR15" s="47"/>
      <c r="AS15" s="47">
        <v>0.7</v>
      </c>
      <c r="AT15" s="11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x14ac:dyDescent="0.3">
      <c r="A16" s="73" t="s">
        <v>31</v>
      </c>
      <c r="B16" s="11">
        <v>1800</v>
      </c>
      <c r="C16" s="3"/>
      <c r="D16" s="3"/>
      <c r="E16" s="3"/>
      <c r="F16" s="27" t="s">
        <v>8</v>
      </c>
      <c r="G16" s="5">
        <f>H9*G13</f>
        <v>47.023809523809526</v>
      </c>
      <c r="H16" s="3" t="s">
        <v>71</v>
      </c>
      <c r="I16" s="64" t="s">
        <v>83</v>
      </c>
      <c r="J16" s="13">
        <f>VLOOKUP(J13,tables!W19:Y87,3,FALSE)</f>
        <v>90.88</v>
      </c>
      <c r="K16" s="3"/>
      <c r="L16" s="3"/>
      <c r="M16" s="4">
        <v>0.7</v>
      </c>
      <c r="N16" s="31">
        <v>1.090621659199659E-7</v>
      </c>
      <c r="O16" s="31">
        <v>1.0224578054996806E-2</v>
      </c>
      <c r="P16" s="31">
        <v>0.12821296291186471</v>
      </c>
      <c r="Q16" s="5">
        <v>2795.9002145148388</v>
      </c>
      <c r="R16" s="5">
        <v>1577.4974048613462</v>
      </c>
      <c r="S16" s="5">
        <v>181.43999999999997</v>
      </c>
      <c r="T16" s="5">
        <v>2977.36</v>
      </c>
      <c r="U16" s="5">
        <v>2795.92</v>
      </c>
      <c r="V16" s="5">
        <v>5.6</v>
      </c>
      <c r="W16" s="54">
        <v>6.3</v>
      </c>
      <c r="X16" s="54">
        <v>3.7500000000000004</v>
      </c>
      <c r="Y16" s="54">
        <v>47.023809523809526</v>
      </c>
      <c r="Z16" s="122">
        <f>(SUM(AH$22:AH$37)/(N16*(V16+W16+X16+Y16)))*10^6</f>
        <v>0.58885917323162518</v>
      </c>
      <c r="AA16" s="124">
        <f t="shared" si="0"/>
        <v>6.6666666666666763E-2</v>
      </c>
      <c r="AB16" s="124">
        <f t="shared" si="1"/>
        <v>3.1488003189447215E-2</v>
      </c>
      <c r="AC16" s="124">
        <f t="shared" si="2"/>
        <v>0.34239399320691899</v>
      </c>
      <c r="AD16" s="3"/>
      <c r="AE16" s="3"/>
      <c r="AF16" s="3"/>
      <c r="AG16" s="3"/>
      <c r="AH16" s="3"/>
      <c r="AI16" s="3"/>
      <c r="AJ16" s="3"/>
      <c r="AK16" s="3"/>
      <c r="AL16" s="3"/>
      <c r="AN16" s="3"/>
      <c r="AO16" s="3"/>
      <c r="AP16" s="10"/>
      <c r="AQ16" s="47"/>
      <c r="AR16" s="47"/>
      <c r="AS16" s="47">
        <v>0.65</v>
      </c>
      <c r="AT16" s="11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70" x14ac:dyDescent="0.3">
      <c r="A17" s="73" t="s">
        <v>66</v>
      </c>
      <c r="B17" s="45">
        <f>20+273</f>
        <v>293</v>
      </c>
      <c r="C17" s="3"/>
      <c r="F17" s="27" t="s">
        <v>9</v>
      </c>
      <c r="G17" s="4">
        <f>G13*(1-B9)</f>
        <v>0</v>
      </c>
      <c r="H17" s="3" t="s">
        <v>70</v>
      </c>
      <c r="I17" s="3"/>
      <c r="J17" s="3"/>
      <c r="K17" s="3"/>
      <c r="L17" s="3"/>
      <c r="M17" s="4">
        <v>0.65</v>
      </c>
      <c r="N17" s="31">
        <v>1.0915278854032437E-7</v>
      </c>
      <c r="O17" s="31">
        <v>1.1938586246597979E-2</v>
      </c>
      <c r="P17" s="31">
        <v>0.12831949843282181</v>
      </c>
      <c r="Q17" s="5">
        <v>2651.5001392701761</v>
      </c>
      <c r="R17" s="5">
        <v>1525.0996812345932</v>
      </c>
      <c r="S17" s="5">
        <v>168.48</v>
      </c>
      <c r="T17" s="5">
        <v>2819.96</v>
      </c>
      <c r="U17" s="5">
        <v>2651.48</v>
      </c>
      <c r="V17" s="5">
        <v>5.2</v>
      </c>
      <c r="W17" s="54">
        <v>5.8500000000000005</v>
      </c>
      <c r="X17" s="54">
        <v>4.375</v>
      </c>
      <c r="Y17" s="54">
        <v>47.023809523809526</v>
      </c>
      <c r="Z17" s="122">
        <f>(SUM(AJ$22:AJ$37)/(N17*(V17+W17+X17+Y17)))*10^6</f>
        <v>0.18634907199420431</v>
      </c>
      <c r="AA17" s="124">
        <f t="shared" si="0"/>
        <v>7.1428571428571286E-2</v>
      </c>
      <c r="AB17" s="124">
        <f t="shared" si="1"/>
        <v>3.321572730660597E-2</v>
      </c>
      <c r="AC17" s="124">
        <f t="shared" si="2"/>
        <v>0.36423685500374403</v>
      </c>
      <c r="AD17" s="3"/>
      <c r="AE17" s="3"/>
      <c r="AF17" s="3"/>
      <c r="AG17" s="3"/>
      <c r="AH17" s="3"/>
      <c r="AI17" s="3"/>
      <c r="AJ17" s="3"/>
      <c r="AK17" s="3"/>
      <c r="AL17" s="3"/>
      <c r="AN17" s="3"/>
      <c r="AO17" s="3"/>
      <c r="AP17" s="12"/>
      <c r="AQ17" s="50"/>
      <c r="AR17" s="50"/>
      <c r="AS17" s="50">
        <v>0.6</v>
      </c>
      <c r="AT17" s="1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70" x14ac:dyDescent="0.3">
      <c r="A18" s="73" t="s">
        <v>67</v>
      </c>
      <c r="B18" s="11">
        <v>8314</v>
      </c>
      <c r="C18" s="3"/>
      <c r="D18" s="3" t="s">
        <v>35</v>
      </c>
      <c r="E18" s="5">
        <f>G13*((2*B28)+(H9*2*B29))</f>
        <v>1717.2717857142861</v>
      </c>
      <c r="F18" s="3"/>
      <c r="G18" s="3"/>
      <c r="H18" s="3"/>
      <c r="I18" s="3"/>
      <c r="J18" s="3"/>
      <c r="K18" s="3"/>
      <c r="L18" s="3"/>
      <c r="M18" s="4">
        <v>0.6</v>
      </c>
      <c r="N18" s="31">
        <v>1.0924356188736011E-7</v>
      </c>
      <c r="O18" s="31">
        <v>1.3655445235920015E-2</v>
      </c>
      <c r="P18" s="31">
        <v>0.12842621114734298</v>
      </c>
      <c r="Q18" s="5">
        <v>2507.0000705256462</v>
      </c>
      <c r="R18" s="5">
        <v>1471.5265567200124</v>
      </c>
      <c r="S18" s="5">
        <v>155.51999999999998</v>
      </c>
      <c r="T18" s="5">
        <v>2662.56</v>
      </c>
      <c r="U18" s="5">
        <v>2507.04</v>
      </c>
      <c r="V18" s="5">
        <v>4.8</v>
      </c>
      <c r="W18" s="54">
        <v>5.3999999999999995</v>
      </c>
      <c r="X18" s="54">
        <v>5</v>
      </c>
      <c r="Y18" s="54">
        <v>47.023809523809526</v>
      </c>
      <c r="Z18" s="122">
        <f>(SUM(AL$22:AL$37)/(N18*(V18+W18+X18+Y18)))*10^6</f>
        <v>5.1899496600722995E-2</v>
      </c>
      <c r="AA18" s="124">
        <f t="shared" si="0"/>
        <v>7.6923076923076983E-2</v>
      </c>
      <c r="AB18" s="124">
        <f t="shared" si="1"/>
        <v>3.5127621606485693E-2</v>
      </c>
      <c r="AC18" s="124">
        <f t="shared" si="2"/>
        <v>0.38656970219252185</v>
      </c>
      <c r="AD18" s="3"/>
      <c r="AE18" s="3"/>
      <c r="AF18" s="3"/>
      <c r="AG18" s="3"/>
      <c r="AH18" s="3"/>
      <c r="AI18" s="3"/>
      <c r="AJ18" s="3"/>
      <c r="AK18" s="3"/>
      <c r="AL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70" s="3" customFormat="1" x14ac:dyDescent="0.3">
      <c r="A19" s="73" t="s">
        <v>105</v>
      </c>
      <c r="B19" s="13">
        <v>1.17</v>
      </c>
      <c r="D19" s="3" t="s">
        <v>36</v>
      </c>
      <c r="E19" s="5">
        <f>(B26*E13)+(B27*E14)</f>
        <v>114.22672</v>
      </c>
    </row>
    <row r="20" spans="1:70" x14ac:dyDescent="0.3">
      <c r="A20" s="73" t="s">
        <v>102</v>
      </c>
      <c r="B20" s="11">
        <f>(10^5*(B14*B10*10^-6))/(B18*B17)</f>
        <v>6.5681391066181384E-6</v>
      </c>
      <c r="C20" s="3"/>
      <c r="D20" s="129" t="s">
        <v>111</v>
      </c>
      <c r="E20" s="148"/>
      <c r="F20" s="4">
        <f>E18/E19</f>
        <v>15.033888618304772</v>
      </c>
      <c r="G20" s="3"/>
      <c r="H20" s="3"/>
      <c r="I20" s="3"/>
      <c r="J20" s="3"/>
      <c r="K20" s="3"/>
      <c r="L20" s="44" t="s">
        <v>32</v>
      </c>
      <c r="M20" s="147">
        <v>1</v>
      </c>
      <c r="N20" s="147"/>
      <c r="O20" s="127">
        <v>0.99</v>
      </c>
      <c r="P20" s="127"/>
      <c r="Q20" s="147">
        <v>0.98</v>
      </c>
      <c r="R20" s="147"/>
      <c r="S20" s="127">
        <v>0.97</v>
      </c>
      <c r="T20" s="127"/>
      <c r="U20" s="147">
        <v>0.96</v>
      </c>
      <c r="V20" s="147"/>
      <c r="W20" s="127">
        <v>0.95</v>
      </c>
      <c r="X20" s="127"/>
      <c r="Y20" s="147">
        <v>0.9</v>
      </c>
      <c r="Z20" s="147"/>
      <c r="AA20" s="127">
        <v>0.85</v>
      </c>
      <c r="AB20" s="127"/>
      <c r="AC20" s="147">
        <v>0.8</v>
      </c>
      <c r="AD20" s="147"/>
      <c r="AE20" s="127">
        <v>0.75</v>
      </c>
      <c r="AF20" s="127"/>
      <c r="AG20" s="147">
        <v>0.7</v>
      </c>
      <c r="AH20" s="147"/>
      <c r="AI20" s="127">
        <v>0.65</v>
      </c>
      <c r="AJ20" s="127"/>
      <c r="AK20" s="147">
        <v>0.6</v>
      </c>
      <c r="AL20" s="147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</row>
    <row r="21" spans="1:70" x14ac:dyDescent="0.3">
      <c r="A21" s="71" t="s">
        <v>62</v>
      </c>
      <c r="B21" s="11">
        <f>B20/(B9+(G13*(1+H9)))</f>
        <v>1.0852157453893067E-7</v>
      </c>
      <c r="C21" s="3"/>
      <c r="D21" s="3"/>
      <c r="E21" s="3"/>
      <c r="F21" s="3"/>
      <c r="G21" s="3"/>
      <c r="H21" s="3"/>
      <c r="I21" s="3"/>
      <c r="J21" s="3"/>
      <c r="K21" s="4" t="s">
        <v>27</v>
      </c>
      <c r="L21" s="7" t="s">
        <v>28</v>
      </c>
      <c r="M21" s="68" t="s">
        <v>87</v>
      </c>
      <c r="N21" s="4" t="s">
        <v>88</v>
      </c>
      <c r="O21" s="29" t="s">
        <v>87</v>
      </c>
      <c r="P21" s="4" t="s">
        <v>88</v>
      </c>
      <c r="Q21" s="29" t="s">
        <v>87</v>
      </c>
      <c r="R21" s="4" t="s">
        <v>88</v>
      </c>
      <c r="S21" s="29" t="s">
        <v>87</v>
      </c>
      <c r="T21" s="4" t="s">
        <v>88</v>
      </c>
      <c r="U21" s="29" t="s">
        <v>87</v>
      </c>
      <c r="V21" s="4" t="s">
        <v>88</v>
      </c>
      <c r="W21" s="29" t="s">
        <v>87</v>
      </c>
      <c r="X21" s="4" t="s">
        <v>88</v>
      </c>
      <c r="Y21" s="29" t="s">
        <v>87</v>
      </c>
      <c r="Z21" s="4" t="s">
        <v>88</v>
      </c>
      <c r="AA21" s="29" t="s">
        <v>87</v>
      </c>
      <c r="AB21" s="4" t="s">
        <v>88</v>
      </c>
      <c r="AC21" s="29" t="s">
        <v>87</v>
      </c>
      <c r="AD21" s="4" t="s">
        <v>88</v>
      </c>
      <c r="AE21" s="29" t="s">
        <v>87</v>
      </c>
      <c r="AF21" s="4" t="s">
        <v>88</v>
      </c>
      <c r="AG21" s="29" t="s">
        <v>87</v>
      </c>
      <c r="AH21" s="4" t="s">
        <v>88</v>
      </c>
      <c r="AI21" s="29" t="s">
        <v>87</v>
      </c>
      <c r="AJ21" s="4" t="s">
        <v>88</v>
      </c>
      <c r="AK21" s="29" t="s">
        <v>87</v>
      </c>
      <c r="AL21" s="4" t="s">
        <v>88</v>
      </c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</row>
    <row r="22" spans="1:70" ht="14.4" customHeight="1" x14ac:dyDescent="0.3">
      <c r="A22" s="94"/>
      <c r="B22" s="18"/>
      <c r="C22" s="3"/>
      <c r="D22" s="91" t="s">
        <v>37</v>
      </c>
      <c r="E22" s="92">
        <f>1/(F20/E23)</f>
        <v>1</v>
      </c>
      <c r="F22" s="91"/>
      <c r="G22" s="3"/>
      <c r="H22" s="3"/>
      <c r="I22" s="3"/>
      <c r="J22" s="3"/>
      <c r="K22" s="72">
        <v>1</v>
      </c>
      <c r="L22" s="11">
        <v>10</v>
      </c>
      <c r="M22" s="95">
        <f>R6</f>
        <v>2398.8488373977302</v>
      </c>
      <c r="N22" s="11">
        <f>(((4.17*10^13)*(($P$6*($O$6)^0.5))*((EXP(-67837/M22))))/($B$16*6))*($B$10/10)*(10^-6)</f>
        <v>0</v>
      </c>
      <c r="O22" s="46">
        <f>R7</f>
        <v>2383.1577532658721</v>
      </c>
      <c r="P22" s="57">
        <f>(((4.17*10^13)*(($P$7*($O$7)^0.5))*((EXP(-67837/O22))))/($B$16*6))*($B$15)*(10^-6)</f>
        <v>1.5760461077330333E-10</v>
      </c>
      <c r="Q22" s="46">
        <f>R8</f>
        <v>2367.3664259538459</v>
      </c>
      <c r="R22" s="57">
        <f>(((4.17*10^13)*(($P$8*($O$8)^0.5))*((EXP(-67837/Q22))))/($B$16*6))*($B$15)*(10^-6)</f>
        <v>1.8438690014165573E-10</v>
      </c>
      <c r="S22" s="46">
        <f>R9</f>
        <v>2351.5100586310682</v>
      </c>
      <c r="T22" s="57">
        <f>(((4.17*10^13)*(($P$9*($O$9)^0.5))*((EXP(-67837/S22))))/($B$16*6))*($B$15)*(10^-6)</f>
        <v>1.861949276711482E-10</v>
      </c>
      <c r="U22" s="46">
        <f>R10</f>
        <v>2335.6241556218988</v>
      </c>
      <c r="V22" s="57">
        <f>(((4.17*10^13)*(($P$10*($O$10)^0.5))*((EXP(-67837/U22))))/($B$16*6))*($B$15)*(10^-6)</f>
        <v>1.7673822869531118E-10</v>
      </c>
      <c r="W22" s="46">
        <f>R11</f>
        <v>2319.6693479727683</v>
      </c>
      <c r="X22" s="57">
        <f>(((4.17*10^13)*(($P$11*($O$11)^0.5))*((EXP(-67837/W22))))/($B$16*6))*($B$15)*(10^-6)</f>
        <v>1.6185809729907129E-10</v>
      </c>
      <c r="Y22" s="46">
        <f>R12</f>
        <v>2238.6757400117017</v>
      </c>
      <c r="Z22" s="57">
        <f>(((4.17*10^13)*(($P$12*($O$12)^0.5))*((EXP(-67837/Y22))))/($B$16*6))*($B$15)*(10^-6)</f>
        <v>7.955902132065971E-11</v>
      </c>
      <c r="AA22" s="46">
        <f>R13</f>
        <v>2155.6846330638377</v>
      </c>
      <c r="AB22" s="57">
        <f>(((4.17*10^13)*(($P$13*($O$13)^0.5))*((EXP(-67837/AA22))))/($B$16*6))*($B$15)*(10^-6)</f>
        <v>3.0382718926157963E-11</v>
      </c>
      <c r="AC22" s="46">
        <f>R14</f>
        <v>2070.3634191154556</v>
      </c>
      <c r="AD22" s="57">
        <f>(((4.17*10^13)*(($P$14*($O$14)^0.5))*((EXP(-67837/AC22))))/($B$16*6))*($B$15)*(10^-6)</f>
        <v>9.6032494519760791E-12</v>
      </c>
      <c r="AE22" s="46">
        <f>R15</f>
        <v>1628.7845788759134</v>
      </c>
      <c r="AF22" s="57">
        <f>(((4.17*10^13)*(($P$15*($O$15)^0.5))*((EXP(-67837/AE22))))/($B$16*6))*($B$15)*(10^-6)</f>
        <v>1.4911837812465811E-15</v>
      </c>
      <c r="AG22" s="46">
        <f>R16</f>
        <v>1577.4974048613462</v>
      </c>
      <c r="AH22" s="57">
        <f>(((4.17*10^13)*(($P$16*($O$16)^0.5))*((EXP(-67837/AG22))))/($B$16*6))*($B$15)*(10^-6)</f>
        <v>4.2227425487979513E-16</v>
      </c>
      <c r="AI22" s="46">
        <f>R17</f>
        <v>1525.0996812345932</v>
      </c>
      <c r="AJ22" s="57">
        <f>(((4.17*10^13)*(($P$17*($O$17)^0.5))*((EXP(-67837/AI22))))/($B$16*6))*($B$15)*(10^-6)</f>
        <v>1.0422253015105541E-16</v>
      </c>
      <c r="AK22" s="46">
        <f>R18</f>
        <v>1471.5265567200124</v>
      </c>
      <c r="AL22" s="57">
        <f>(((4.17*10^13)*(($P$18*($O$18)^0.5))*((EXP(-67837/AK22))))/($B$16*6))*($B$15)*(10^-6)</f>
        <v>2.2090916551944909E-17</v>
      </c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</row>
    <row r="23" spans="1:70" x14ac:dyDescent="0.3">
      <c r="A23" s="94"/>
      <c r="B23" s="75"/>
      <c r="C23" s="3"/>
      <c r="D23" s="91" t="s">
        <v>38</v>
      </c>
      <c r="E23" s="93">
        <f>E18/E19</f>
        <v>15.033888618304772</v>
      </c>
      <c r="F23" s="91"/>
      <c r="G23" s="3"/>
      <c r="H23" s="3"/>
      <c r="I23" s="3"/>
      <c r="J23" s="3"/>
      <c r="K23" s="72">
        <v>2</v>
      </c>
      <c r="L23" s="11">
        <v>12</v>
      </c>
      <c r="M23" s="96">
        <f>M22*(($L23/L22)^(($B$19-1)/$B$19))</f>
        <v>2463.2463577219401</v>
      </c>
      <c r="N23" s="57">
        <f>(((4.17*10^13)*(($P$6*($O$6)^0.5))*((EXP(-67837/M23))))/($B$16*6))*($B$15)*(10^-6)</f>
        <v>0</v>
      </c>
      <c r="O23" s="46">
        <f t="shared" ref="O23:O37" si="3">O22*(($L23/$L22)^(($B$19-1)/$B$19))</f>
        <v>2447.134043667822</v>
      </c>
      <c r="P23" s="57">
        <f t="shared" ref="P23:P37" si="4">(((4.17*10^13)*(($P$7*($O$7)^0.5))*((EXP(-67837/O23))))/($B$16*6))*($B$15)*(10^-6)</f>
        <v>3.3171114288222766E-10</v>
      </c>
      <c r="Q23" s="46">
        <f t="shared" ref="Q23:Q37" si="5">Q22*(($L23/$L22)^(($B$19-1)/$B$19))</f>
        <v>2430.9187953876763</v>
      </c>
      <c r="R23" s="57">
        <f t="shared" ref="R23:R37" si="6">(((4.17*10^13)*(($P$8*($O$8)^0.5))*((EXP(-67837/Q23))))/($B$16*6))*($B$15)*(10^-6)</f>
        <v>3.9001115208414254E-10</v>
      </c>
      <c r="S23" s="46">
        <f t="shared" ref="S23:S37" si="7">S22*(($L23/$L22)^(($B$19-1)/$B$19))</f>
        <v>2414.6367610862135</v>
      </c>
      <c r="T23" s="57">
        <f t="shared" ref="T23:T37" si="8">(((4.17*10^13)*(($P$9*($O$9)^0.5))*((EXP(-67837/S23))))/($B$16*6))*($B$15)*(10^-6)</f>
        <v>3.9582994078487892E-10</v>
      </c>
      <c r="U23" s="46">
        <f t="shared" ref="U23:U37" si="9">U22*(($L23/$L22)^(($B$19-1)/$B$19))</f>
        <v>2398.3243982076465</v>
      </c>
      <c r="V23" s="57">
        <f t="shared" ref="V23:V37" si="10">(((4.17*10^13)*(($P$10*($O$10)^0.5))*((EXP(-67837/U23))))/($B$16*6))*($B$15)*(10^-6)</f>
        <v>3.7765834380261572E-10</v>
      </c>
      <c r="W23" s="46">
        <f t="shared" ref="W23:W37" si="11">W22*(($L23/$L22)^(($B$19-1)/$B$19))</f>
        <v>2381.9412809319001</v>
      </c>
      <c r="X23" s="57">
        <f t="shared" ref="X23:X37" si="12">(((4.17*10^13)*(($P$11*($O$11)^0.5))*((EXP(-67837/W23))))/($B$16*6))*($B$15)*(10^-6)</f>
        <v>3.4767317416361326E-10</v>
      </c>
      <c r="Y23" s="46">
        <f t="shared" ref="Y23:Y37" si="13">Y22*(($L23/$L22)^(($B$19-1)/$B$19))</f>
        <v>2298.7733852735473</v>
      </c>
      <c r="Z23" s="57">
        <f t="shared" ref="Z23:Z37" si="14">(((4.17*10^13)*(($P$12*($O$12)^0.5))*((EXP(-67837/Y23))))/($B$16*6))*($B$15)*(10^-6)</f>
        <v>1.7568675622473394E-10</v>
      </c>
      <c r="AA23" s="46">
        <f t="shared" ref="AA23:AA37" si="15">AA22*(($L23/$L22)^(($B$19-1)/$B$19))</f>
        <v>2213.5543674156311</v>
      </c>
      <c r="AB23" s="57">
        <f t="shared" ref="AB23:AB37" si="16">(((4.17*10^13)*(($P$13*($O$13)^0.5))*((EXP(-67837/AA23))))/($B$16*6))*($B$15)*(10^-6)</f>
        <v>6.9170624769802987E-11</v>
      </c>
      <c r="AC23" s="46">
        <f t="shared" ref="AC23:AC37" si="17">AC22*(($L23/$L22)^(($B$19-1)/$B$19))</f>
        <v>2125.9426904236138</v>
      </c>
      <c r="AD23" s="57">
        <f t="shared" ref="AD23:AD37" si="18">(((4.17*10^13)*(($P$14*($O$14)^0.5))*((EXP(-67837/AC23))))/($B$16*6))*($B$15)*(10^-6)</f>
        <v>2.2617139016191529E-11</v>
      </c>
      <c r="AE23" s="46">
        <f t="shared" ref="AE23:AE37" si="19">AE22*(($L23/$L22)^(($B$19-1)/$B$19))</f>
        <v>1672.5095882998942</v>
      </c>
      <c r="AF23" s="57">
        <f t="shared" ref="AF23:AF37" si="20">(((4.17*10^13)*(($P$15*($O$15)^0.5))*((EXP(-67837/AE23))))/($B$16*6))*($B$15)*(10^-6)</f>
        <v>4.4300497917126449E-15</v>
      </c>
      <c r="AG23" s="46">
        <f t="shared" ref="AG23:AG37" si="21">AG22*(($L23/$L22)^(($B$19-1)/$B$19))</f>
        <v>1619.8456010491261</v>
      </c>
      <c r="AH23" s="57">
        <f t="shared" ref="AH23:AH37" si="22">(((4.17*10^13)*(($P$16*($O$16)^0.5))*((EXP(-67837/AG23))))/($B$16*6))*($B$15)*(10^-6)</f>
        <v>1.2997089367463053E-15</v>
      </c>
      <c r="AI23" s="46">
        <f t="shared" ref="AI23:AI37" si="23">AI22*(($L23/$L22)^(($B$19-1)/$B$19))</f>
        <v>1566.0412512858732</v>
      </c>
      <c r="AJ23" s="57">
        <f t="shared" ref="AJ23:AJ37" si="24">(((4.17*10^13)*(($P$17*($O$17)^0.5))*((EXP(-67837/AI23))))/($B$16*6))*($B$15)*(10^-6)</f>
        <v>3.3341714577019924E-16</v>
      </c>
      <c r="AK23" s="46">
        <f t="shared" ref="AK23:AK37" si="25">AK22*(($L23/$L22)^(($B$19-1)/$B$19))</f>
        <v>1511.0299467905556</v>
      </c>
      <c r="AL23" s="57">
        <f t="shared" ref="AL23:AL37" si="26">(((4.17*10^13)*(($P$18*($O$18)^0.5))*((EXP(-67837/AK23))))/($B$16*6))*($B$15)*(10^-6)</f>
        <v>7.3726953839949E-17</v>
      </c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</row>
    <row r="24" spans="1:70" x14ac:dyDescent="0.3">
      <c r="A24" s="12" t="s">
        <v>52</v>
      </c>
      <c r="B24" s="13"/>
      <c r="C24" s="3"/>
      <c r="D24" s="3"/>
      <c r="E24" s="3"/>
      <c r="F24" s="3"/>
      <c r="G24" s="3"/>
      <c r="H24" s="3"/>
      <c r="I24" s="3"/>
      <c r="J24" s="3"/>
      <c r="K24" s="72">
        <v>3</v>
      </c>
      <c r="L24" s="11">
        <v>14</v>
      </c>
      <c r="M24" s="96">
        <f t="shared" ref="M24:M37" si="27">M23*((L24/L23)^(($B$19-1)/$B$19))</f>
        <v>2519.0405618382024</v>
      </c>
      <c r="N24" s="57">
        <f t="shared" ref="N24:N37" si="28">(((4.17*10^13)*(($P$6*($O$6)^0.5))*((EXP(-67837/M24))))/($B$16*6))*($B$15)*(10^-6)</f>
        <v>0</v>
      </c>
      <c r="O24" s="46">
        <f t="shared" si="3"/>
        <v>2502.5632929202307</v>
      </c>
      <c r="P24" s="57">
        <f t="shared" si="4"/>
        <v>6.1293363277031856E-10</v>
      </c>
      <c r="Q24" s="46">
        <f t="shared" si="5"/>
        <v>2485.9807582460535</v>
      </c>
      <c r="R24" s="57">
        <f t="shared" si="6"/>
        <v>7.2361757682995025E-10</v>
      </c>
      <c r="S24" s="46">
        <f t="shared" si="7"/>
        <v>2469.3299248017865</v>
      </c>
      <c r="T24" s="57">
        <f t="shared" si="8"/>
        <v>7.3748089862016709E-10</v>
      </c>
      <c r="U24" s="46">
        <f t="shared" si="9"/>
        <v>2452.6480758175312</v>
      </c>
      <c r="V24" s="57">
        <f t="shared" si="10"/>
        <v>7.0660920210101421E-10</v>
      </c>
      <c r="W24" s="46">
        <f t="shared" si="11"/>
        <v>2435.8938698009133</v>
      </c>
      <c r="X24" s="57">
        <f t="shared" si="12"/>
        <v>6.5331520997648743E-10</v>
      </c>
      <c r="Y24" s="46">
        <f t="shared" si="13"/>
        <v>2350.8421647819032</v>
      </c>
      <c r="Z24" s="57">
        <f t="shared" si="14"/>
        <v>3.3775514533747854E-10</v>
      </c>
      <c r="AA24" s="46">
        <f t="shared" si="15"/>
        <v>2263.6928782514901</v>
      </c>
      <c r="AB24" s="57">
        <f t="shared" si="16"/>
        <v>1.3636816890504689E-10</v>
      </c>
      <c r="AC24" s="46">
        <f t="shared" si="17"/>
        <v>2174.096737231449</v>
      </c>
      <c r="AD24" s="57">
        <f t="shared" si="18"/>
        <v>4.585403381320761E-11</v>
      </c>
      <c r="AE24" s="46">
        <f t="shared" si="19"/>
        <v>1710.3930671746225</v>
      </c>
      <c r="AF24" s="57">
        <f t="shared" si="20"/>
        <v>1.0878343777052024E-14</v>
      </c>
      <c r="AG24" s="46">
        <f t="shared" si="21"/>
        <v>1656.5362048202196</v>
      </c>
      <c r="AH24" s="57">
        <f t="shared" si="22"/>
        <v>3.286130944390053E-15</v>
      </c>
      <c r="AI24" s="46">
        <f t="shared" si="23"/>
        <v>1601.5131499673912</v>
      </c>
      <c r="AJ24" s="57">
        <f t="shared" si="24"/>
        <v>8.7029599958561264E-16</v>
      </c>
      <c r="AK24" s="46">
        <f t="shared" si="25"/>
        <v>1545.2558020375257</v>
      </c>
      <c r="AL24" s="57">
        <f t="shared" si="26"/>
        <v>1.9928525770807291E-16</v>
      </c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</row>
    <row r="25" spans="1:70" x14ac:dyDescent="0.3">
      <c r="A25" s="8" t="s">
        <v>39</v>
      </c>
      <c r="B25" s="9"/>
      <c r="C25" s="3"/>
      <c r="D25" s="3"/>
      <c r="E25" s="3"/>
      <c r="F25" s="3"/>
      <c r="G25" s="3"/>
      <c r="H25" s="3"/>
      <c r="I25" s="3"/>
      <c r="J25" s="3"/>
      <c r="K25" s="72">
        <v>4</v>
      </c>
      <c r="L25" s="11">
        <v>16</v>
      </c>
      <c r="M25" s="96">
        <f t="shared" si="27"/>
        <v>2568.3921917660891</v>
      </c>
      <c r="N25" s="57">
        <f t="shared" si="28"/>
        <v>0</v>
      </c>
      <c r="O25" s="46">
        <f t="shared" si="3"/>
        <v>2551.592109436463</v>
      </c>
      <c r="P25" s="57">
        <f t="shared" si="4"/>
        <v>1.0318592211649696E-9</v>
      </c>
      <c r="Q25" s="46">
        <f t="shared" si="5"/>
        <v>2534.6846990429731</v>
      </c>
      <c r="R25" s="57">
        <f t="shared" si="6"/>
        <v>1.2224328162930178E-9</v>
      </c>
      <c r="S25" s="46">
        <f t="shared" si="7"/>
        <v>2517.7076518081931</v>
      </c>
      <c r="T25" s="57">
        <f t="shared" si="8"/>
        <v>1.2502652777702438E-9</v>
      </c>
      <c r="U25" s="46">
        <f t="shared" si="9"/>
        <v>2500.6989813943605</v>
      </c>
      <c r="V25" s="57">
        <f t="shared" si="10"/>
        <v>1.2022366174480252E-9</v>
      </c>
      <c r="W25" s="46">
        <f t="shared" si="11"/>
        <v>2483.6165363697669</v>
      </c>
      <c r="X25" s="57">
        <f t="shared" si="12"/>
        <v>1.1156319919739854E-9</v>
      </c>
      <c r="Y25" s="46">
        <f t="shared" si="13"/>
        <v>2396.8985460457793</v>
      </c>
      <c r="Z25" s="57">
        <f t="shared" si="14"/>
        <v>5.8804174311416095E-10</v>
      </c>
      <c r="AA25" s="46">
        <f t="shared" si="15"/>
        <v>2308.0418795698088</v>
      </c>
      <c r="AB25" s="57">
        <f t="shared" si="16"/>
        <v>2.4254365742910285E-10</v>
      </c>
      <c r="AC25" s="46">
        <f t="shared" si="17"/>
        <v>2216.6904212033246</v>
      </c>
      <c r="AD25" s="57">
        <f t="shared" si="18"/>
        <v>8.3514198099862062E-11</v>
      </c>
      <c r="AE25" s="46">
        <f t="shared" si="19"/>
        <v>1743.9021289028024</v>
      </c>
      <c r="AF25" s="57">
        <f t="shared" si="20"/>
        <v>2.3309758215008195E-14</v>
      </c>
      <c r="AG25" s="46">
        <f t="shared" si="21"/>
        <v>1688.990133105827</v>
      </c>
      <c r="AH25" s="57">
        <f t="shared" si="22"/>
        <v>7.2180589547792402E-15</v>
      </c>
      <c r="AI25" s="46">
        <f t="shared" si="23"/>
        <v>1632.8890974210358</v>
      </c>
      <c r="AJ25" s="57">
        <f t="shared" si="24"/>
        <v>1.9640092437670138E-15</v>
      </c>
      <c r="AK25" s="46">
        <f t="shared" si="25"/>
        <v>1575.5295870814737</v>
      </c>
      <c r="AL25" s="57">
        <f t="shared" si="26"/>
        <v>4.632554686729191E-16</v>
      </c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</row>
    <row r="26" spans="1:70" x14ac:dyDescent="0.3">
      <c r="A26" s="10" t="s">
        <v>33</v>
      </c>
      <c r="B26" s="11">
        <v>12.0107</v>
      </c>
      <c r="C26" s="3"/>
      <c r="D26" s="3"/>
      <c r="E26" s="3"/>
      <c r="F26" s="3"/>
      <c r="G26" s="3"/>
      <c r="H26" s="3"/>
      <c r="I26" s="3"/>
      <c r="J26" s="3"/>
      <c r="K26" s="72">
        <v>5</v>
      </c>
      <c r="L26" s="11">
        <v>18</v>
      </c>
      <c r="M26" s="96">
        <f t="shared" si="27"/>
        <v>2612.7253481310131</v>
      </c>
      <c r="N26" s="57">
        <f t="shared" si="28"/>
        <v>0</v>
      </c>
      <c r="O26" s="46">
        <f t="shared" si="3"/>
        <v>2595.6352786727662</v>
      </c>
      <c r="P26" s="57">
        <f t="shared" si="4"/>
        <v>1.6200878395164052E-9</v>
      </c>
      <c r="Q26" s="46">
        <f t="shared" si="5"/>
        <v>2578.436028555147</v>
      </c>
      <c r="R26" s="57">
        <f t="shared" si="6"/>
        <v>1.9250852598135101E-9</v>
      </c>
      <c r="S26" s="46">
        <f t="shared" si="7"/>
        <v>2561.1659395909587</v>
      </c>
      <c r="T26" s="57">
        <f t="shared" si="8"/>
        <v>1.9749542430271799E-9</v>
      </c>
      <c r="U26" s="46">
        <f t="shared" si="9"/>
        <v>2543.8636815983155</v>
      </c>
      <c r="V26" s="57">
        <f t="shared" si="10"/>
        <v>1.9050014190460247E-9</v>
      </c>
      <c r="W26" s="46">
        <f t="shared" si="11"/>
        <v>2526.48637556737</v>
      </c>
      <c r="X26" s="57">
        <f t="shared" si="12"/>
        <v>1.7733778153043835E-9</v>
      </c>
      <c r="Y26" s="46">
        <f t="shared" si="13"/>
        <v>2438.2715413279516</v>
      </c>
      <c r="Z26" s="57">
        <f t="shared" si="14"/>
        <v>9.5054052781155058E-10</v>
      </c>
      <c r="AA26" s="46">
        <f t="shared" si="15"/>
        <v>2347.881115131961</v>
      </c>
      <c r="AB26" s="57">
        <f t="shared" si="16"/>
        <v>3.9937584439646609E-10</v>
      </c>
      <c r="AC26" s="46">
        <f t="shared" si="17"/>
        <v>2254.9528343078673</v>
      </c>
      <c r="AD26" s="57">
        <f t="shared" si="18"/>
        <v>1.4037122784958934E-10</v>
      </c>
      <c r="AE26" s="46">
        <f t="shared" si="19"/>
        <v>1774.0037177542347</v>
      </c>
      <c r="AF26" s="57">
        <f t="shared" si="20"/>
        <v>4.510197368752087E-14</v>
      </c>
      <c r="AG26" s="46">
        <f t="shared" si="21"/>
        <v>1718.143883031498</v>
      </c>
      <c r="AH26" s="57">
        <f t="shared" si="22"/>
        <v>1.4269144780915361E-14</v>
      </c>
      <c r="AI26" s="46">
        <f t="shared" si="23"/>
        <v>1661.0744843392106</v>
      </c>
      <c r="AJ26" s="57">
        <f t="shared" si="24"/>
        <v>3.974567914291269E-15</v>
      </c>
      <c r="AK26" s="46">
        <f t="shared" si="25"/>
        <v>1602.7248883931545</v>
      </c>
      <c r="AL26" s="57">
        <f t="shared" si="26"/>
        <v>9.6186177697794476E-16</v>
      </c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</row>
    <row r="27" spans="1:70" ht="18" thickBot="1" x14ac:dyDescent="0.4">
      <c r="A27" s="10" t="s">
        <v>34</v>
      </c>
      <c r="B27" s="11">
        <v>1.0078400000000001</v>
      </c>
      <c r="C27" s="3"/>
      <c r="D27" s="118" t="s">
        <v>51</v>
      </c>
      <c r="E27" s="3"/>
      <c r="F27" s="106">
        <v>2351.5287741201496</v>
      </c>
      <c r="G27" s="3"/>
      <c r="H27" s="3"/>
      <c r="I27" s="3"/>
      <c r="J27" s="3"/>
      <c r="K27" s="72">
        <v>6</v>
      </c>
      <c r="L27" s="11">
        <v>20</v>
      </c>
      <c r="M27" s="96">
        <f t="shared" si="27"/>
        <v>2653.0307456532519</v>
      </c>
      <c r="N27" s="57">
        <f t="shared" si="28"/>
        <v>0</v>
      </c>
      <c r="O27" s="46">
        <f t="shared" si="3"/>
        <v>2635.6770349960971</v>
      </c>
      <c r="P27" s="57">
        <f t="shared" si="4"/>
        <v>2.4097648564297353E-9</v>
      </c>
      <c r="Q27" s="46">
        <f t="shared" si="5"/>
        <v>2618.2124593961917</v>
      </c>
      <c r="R27" s="57">
        <f t="shared" si="6"/>
        <v>2.8710205037002862E-9</v>
      </c>
      <c r="S27" s="46">
        <f t="shared" si="7"/>
        <v>2600.6759521491003</v>
      </c>
      <c r="T27" s="57">
        <f t="shared" si="8"/>
        <v>2.9533428460025485E-9</v>
      </c>
      <c r="U27" s="46">
        <f t="shared" si="9"/>
        <v>2583.1067796156981</v>
      </c>
      <c r="V27" s="57">
        <f t="shared" si="10"/>
        <v>2.8565429059945707E-9</v>
      </c>
      <c r="W27" s="46">
        <f t="shared" si="11"/>
        <v>2565.4614013099749</v>
      </c>
      <c r="X27" s="57">
        <f t="shared" si="12"/>
        <v>2.6665939004733884E-9</v>
      </c>
      <c r="Y27" s="46">
        <f t="shared" si="13"/>
        <v>2475.8857145171405</v>
      </c>
      <c r="Z27" s="57">
        <f t="shared" si="14"/>
        <v>1.4505596935049614E-9</v>
      </c>
      <c r="AA27" s="46">
        <f t="shared" si="15"/>
        <v>2384.1008738402556</v>
      </c>
      <c r="AB27" s="57">
        <f t="shared" si="16"/>
        <v>6.1946072695397925E-10</v>
      </c>
      <c r="AC27" s="46">
        <f t="shared" si="17"/>
        <v>2289.7390281363505</v>
      </c>
      <c r="AD27" s="57">
        <f t="shared" si="18"/>
        <v>2.2170024268795205E-10</v>
      </c>
      <c r="AE27" s="46">
        <f t="shared" si="19"/>
        <v>1801.3705150722772</v>
      </c>
      <c r="AF27" s="57">
        <f t="shared" si="20"/>
        <v>8.0629803650338959E-14</v>
      </c>
      <c r="AG27" s="46">
        <f t="shared" si="21"/>
        <v>1744.648954548305</v>
      </c>
      <c r="AH27" s="57">
        <f t="shared" si="22"/>
        <v>2.5995651815718186E-14</v>
      </c>
      <c r="AI27" s="46">
        <f t="shared" si="23"/>
        <v>1686.6991706282734</v>
      </c>
      <c r="AJ27" s="57">
        <f t="shared" si="24"/>
        <v>7.3916732602044135E-15</v>
      </c>
      <c r="AK27" s="46">
        <f t="shared" si="25"/>
        <v>1627.4494403984702</v>
      </c>
      <c r="AL27" s="57">
        <f t="shared" si="26"/>
        <v>1.8296808356462242E-15</v>
      </c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</row>
    <row r="28" spans="1:70" ht="15" thickTop="1" x14ac:dyDescent="0.3">
      <c r="A28" s="10" t="s">
        <v>40</v>
      </c>
      <c r="B28" s="11">
        <v>15.999000000000001</v>
      </c>
      <c r="C28" s="3"/>
      <c r="D28" s="3"/>
      <c r="F28" s="3"/>
      <c r="G28" s="3"/>
      <c r="H28" s="3"/>
      <c r="I28" s="3"/>
      <c r="J28" s="3"/>
      <c r="K28" s="72">
        <v>7</v>
      </c>
      <c r="L28" s="11">
        <v>22</v>
      </c>
      <c r="M28" s="96">
        <f t="shared" si="27"/>
        <v>2690.0267875629124</v>
      </c>
      <c r="N28" s="57">
        <f t="shared" si="28"/>
        <v>0</v>
      </c>
      <c r="O28" s="46">
        <f t="shared" si="3"/>
        <v>2672.4310824969812</v>
      </c>
      <c r="P28" s="57">
        <f t="shared" si="4"/>
        <v>3.4332405685729971E-9</v>
      </c>
      <c r="Q28" s="46">
        <f t="shared" si="5"/>
        <v>2654.7229664963897</v>
      </c>
      <c r="R28" s="57">
        <f t="shared" si="6"/>
        <v>4.1000703079524106E-9</v>
      </c>
      <c r="S28" s="46">
        <f t="shared" si="7"/>
        <v>2636.9419157745851</v>
      </c>
      <c r="T28" s="57">
        <f t="shared" si="8"/>
        <v>4.2277801751342825E-9</v>
      </c>
      <c r="U28" s="46">
        <f t="shared" si="9"/>
        <v>2619.1277442548621</v>
      </c>
      <c r="V28" s="57">
        <f t="shared" si="10"/>
        <v>4.0991985801936041E-9</v>
      </c>
      <c r="W28" s="46">
        <f t="shared" si="11"/>
        <v>2601.2363042868756</v>
      </c>
      <c r="X28" s="57">
        <f t="shared" si="12"/>
        <v>3.8361357422072884E-9</v>
      </c>
      <c r="Y28" s="46">
        <f t="shared" si="13"/>
        <v>2510.4115004726482</v>
      </c>
      <c r="Z28" s="57">
        <f t="shared" si="14"/>
        <v>2.1143979826802155E-9</v>
      </c>
      <c r="AA28" s="46">
        <f t="shared" si="15"/>
        <v>2417.3467365163528</v>
      </c>
      <c r="AB28" s="57">
        <f t="shared" si="16"/>
        <v>9.1614721903459245E-10</v>
      </c>
      <c r="AC28" s="46">
        <f t="shared" si="17"/>
        <v>2321.6690316562531</v>
      </c>
      <c r="AD28" s="57">
        <f t="shared" si="18"/>
        <v>3.3321265377312941E-10</v>
      </c>
      <c r="AE28" s="46">
        <f t="shared" si="19"/>
        <v>1826.4903065332808</v>
      </c>
      <c r="AF28" s="57">
        <f t="shared" si="20"/>
        <v>1.3533968837805073E-13</v>
      </c>
      <c r="AG28" s="46">
        <f t="shared" si="21"/>
        <v>1768.9777739356664</v>
      </c>
      <c r="AH28" s="57">
        <f t="shared" si="22"/>
        <v>4.4375486916862285E-14</v>
      </c>
      <c r="AI28" s="46">
        <f t="shared" si="23"/>
        <v>1710.2198905851724</v>
      </c>
      <c r="AJ28" s="57">
        <f t="shared" si="24"/>
        <v>1.2851810546910135E-14</v>
      </c>
      <c r="AK28" s="46">
        <f t="shared" si="25"/>
        <v>1650.1439334048112</v>
      </c>
      <c r="AL28" s="57">
        <f t="shared" si="26"/>
        <v>3.2459551718795073E-15</v>
      </c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</row>
    <row r="29" spans="1:70" x14ac:dyDescent="0.3">
      <c r="A29" s="12" t="s">
        <v>41</v>
      </c>
      <c r="B29" s="13">
        <v>14.0067</v>
      </c>
      <c r="C29" s="3"/>
      <c r="E29" s="3" t="s">
        <v>56</v>
      </c>
      <c r="F29" s="3"/>
      <c r="G29" s="3"/>
      <c r="I29" s="3"/>
      <c r="J29" s="3"/>
      <c r="K29" s="72">
        <v>8</v>
      </c>
      <c r="L29" s="11">
        <v>24</v>
      </c>
      <c r="M29" s="96">
        <f t="shared" si="27"/>
        <v>2724.2518241557623</v>
      </c>
      <c r="N29" s="57">
        <f t="shared" si="28"/>
        <v>0</v>
      </c>
      <c r="O29" s="46">
        <f t="shared" si="3"/>
        <v>2706.4322500739004</v>
      </c>
      <c r="P29" s="57">
        <f t="shared" si="4"/>
        <v>4.722820831091659E-9</v>
      </c>
      <c r="Q29" s="46">
        <f t="shared" si="5"/>
        <v>2688.4988348603374</v>
      </c>
      <c r="R29" s="57">
        <f t="shared" si="6"/>
        <v>5.6521330066520261E-9</v>
      </c>
      <c r="S29" s="46">
        <f t="shared" si="7"/>
        <v>2670.4915569818268</v>
      </c>
      <c r="T29" s="57">
        <f t="shared" si="8"/>
        <v>5.8408168902642996E-9</v>
      </c>
      <c r="U29" s="46">
        <f t="shared" si="9"/>
        <v>2652.4507369116313</v>
      </c>
      <c r="V29" s="57">
        <f t="shared" si="10"/>
        <v>5.6756398196929841E-9</v>
      </c>
      <c r="W29" s="46">
        <f t="shared" si="11"/>
        <v>2634.331665311709</v>
      </c>
      <c r="X29" s="57">
        <f t="shared" si="12"/>
        <v>5.3233106849218496E-9</v>
      </c>
      <c r="Y29" s="46">
        <f t="shared" si="13"/>
        <v>2542.3513034010152</v>
      </c>
      <c r="Z29" s="57">
        <f t="shared" si="14"/>
        <v>2.9690837675191591E-9</v>
      </c>
      <c r="AA29" s="46">
        <f t="shared" si="15"/>
        <v>2448.1024824804417</v>
      </c>
      <c r="AB29" s="57">
        <f t="shared" si="16"/>
        <v>1.3033980572751305E-9</v>
      </c>
      <c r="AC29" s="46">
        <f t="shared" si="17"/>
        <v>2351.207476378177</v>
      </c>
      <c r="AD29" s="57">
        <f t="shared" si="18"/>
        <v>4.8099785335026463E-10</v>
      </c>
      <c r="AE29" s="46">
        <f t="shared" si="19"/>
        <v>1849.7286244067698</v>
      </c>
      <c r="AF29" s="57">
        <f t="shared" si="20"/>
        <v>2.1580799830334263E-13</v>
      </c>
      <c r="AG29" s="46">
        <f t="shared" si="21"/>
        <v>1791.4843635818374</v>
      </c>
      <c r="AH29" s="57">
        <f t="shared" si="22"/>
        <v>7.1841228489655865E-14</v>
      </c>
      <c r="AI29" s="46">
        <f t="shared" si="23"/>
        <v>1731.9789074870546</v>
      </c>
      <c r="AJ29" s="57">
        <f t="shared" si="24"/>
        <v>2.1153559316791198E-14</v>
      </c>
      <c r="AK29" s="46">
        <f t="shared" si="25"/>
        <v>1671.1386077944348</v>
      </c>
      <c r="AL29" s="57">
        <f t="shared" si="26"/>
        <v>5.4405238417217272E-15</v>
      </c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</row>
    <row r="30" spans="1:70" x14ac:dyDescent="0.3">
      <c r="A30" s="3"/>
      <c r="B30" s="3"/>
      <c r="C30" s="3"/>
      <c r="D30" s="3" t="s">
        <v>50</v>
      </c>
      <c r="E30" s="55">
        <f>8.6E-19*(F27^6) - 1.037488E-14*(F27^5) + 4.968947595E-11*(F27^4) - 0.0000001201911805397*(F27^3) + 0.000156509548934808*(F27^2) - 0.0482393620326645*F27 + 5.20845196264969</f>
        <v>113.1453296560435</v>
      </c>
      <c r="G30" s="3"/>
      <c r="H30" s="3"/>
      <c r="I30" s="3"/>
      <c r="J30" s="3"/>
      <c r="K30" s="72">
        <v>9</v>
      </c>
      <c r="L30" s="11">
        <v>26</v>
      </c>
      <c r="M30" s="96">
        <f t="shared" si="27"/>
        <v>2756.1202037281805</v>
      </c>
      <c r="N30" s="57">
        <f t="shared" si="28"/>
        <v>0</v>
      </c>
      <c r="O30" s="46">
        <f t="shared" si="3"/>
        <v>2738.0921757340834</v>
      </c>
      <c r="P30" s="57">
        <f t="shared" si="4"/>
        <v>6.3105839899145003E-9</v>
      </c>
      <c r="Q30" s="46">
        <f t="shared" si="5"/>
        <v>2719.9489748913106</v>
      </c>
      <c r="R30" s="57">
        <f t="shared" si="6"/>
        <v>7.5669357640827278E-9</v>
      </c>
      <c r="S30" s="46">
        <f t="shared" si="7"/>
        <v>2701.7310473359203</v>
      </c>
      <c r="T30" s="57">
        <f t="shared" si="8"/>
        <v>7.834939774933128E-9</v>
      </c>
      <c r="U30" s="46">
        <f t="shared" si="9"/>
        <v>2683.4791852112799</v>
      </c>
      <c r="V30" s="57">
        <f t="shared" si="10"/>
        <v>7.6285943182521552E-9</v>
      </c>
      <c r="W30" s="46">
        <f t="shared" si="11"/>
        <v>2665.1481561681703</v>
      </c>
      <c r="X30" s="57">
        <f t="shared" si="12"/>
        <v>7.1695987850392377E-9</v>
      </c>
      <c r="Y30" s="46">
        <f t="shared" si="13"/>
        <v>2572.0918052242355</v>
      </c>
      <c r="Z30" s="57">
        <f t="shared" si="14"/>
        <v>4.0421640813920345E-9</v>
      </c>
      <c r="AA30" s="46">
        <f t="shared" si="15"/>
        <v>2476.7404587688648</v>
      </c>
      <c r="AB30" s="57">
        <f t="shared" si="16"/>
        <v>1.7956721979207834E-9</v>
      </c>
      <c r="AC30" s="46">
        <f t="shared" si="17"/>
        <v>2378.7119719781563</v>
      </c>
      <c r="AD30" s="57">
        <f t="shared" si="18"/>
        <v>6.7147152728436796E-10</v>
      </c>
      <c r="AE30" s="46">
        <f t="shared" si="19"/>
        <v>1871.3668053509377</v>
      </c>
      <c r="AF30" s="57">
        <f t="shared" si="20"/>
        <v>3.2978548951608893E-13</v>
      </c>
      <c r="AG30" s="46">
        <f t="shared" si="21"/>
        <v>1812.4412014154216</v>
      </c>
      <c r="AH30" s="57">
        <f t="shared" si="22"/>
        <v>1.1130770990996177E-13</v>
      </c>
      <c r="AI30" s="46">
        <f t="shared" si="23"/>
        <v>1752.2396487099497</v>
      </c>
      <c r="AJ30" s="57">
        <f t="shared" si="24"/>
        <v>3.3271162021525192E-14</v>
      </c>
      <c r="AK30" s="46">
        <f t="shared" si="25"/>
        <v>1690.6876373661851</v>
      </c>
      <c r="AL30" s="57">
        <f t="shared" si="26"/>
        <v>8.6993304535607627E-15</v>
      </c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</row>
    <row r="31" spans="1:70" x14ac:dyDescent="0.3">
      <c r="A31" s="3"/>
      <c r="B31" s="3"/>
      <c r="C31" s="3"/>
      <c r="D31" s="3" t="s">
        <v>53</v>
      </c>
      <c r="E31" s="56">
        <f xml:space="preserve"> 6.7E-19*(F27^6) - 7.89843E-15*(F27^5) + 3.687984988E-11*(F27^4) - 8.638622855912E-08*(F27^3) + 0.000110740178605573*(F27^2) - 0.031241611607915*F27 + 3.30066945333761</f>
        <v>91.945617704473364</v>
      </c>
      <c r="F31" s="3"/>
      <c r="G31" s="3"/>
      <c r="H31" s="3"/>
      <c r="I31" s="3"/>
      <c r="J31" s="3"/>
      <c r="K31" s="72">
        <v>10</v>
      </c>
      <c r="L31" s="11">
        <v>28</v>
      </c>
      <c r="M31" s="96">
        <f t="shared" si="27"/>
        <v>2785.9579794757756</v>
      </c>
      <c r="N31" s="57">
        <f t="shared" si="28"/>
        <v>0</v>
      </c>
      <c r="O31" s="46">
        <f t="shared" si="3"/>
        <v>2767.7347799301142</v>
      </c>
      <c r="P31" s="57">
        <f t="shared" si="4"/>
        <v>8.2282466155320235E-9</v>
      </c>
      <c r="Q31" s="46">
        <f t="shared" si="5"/>
        <v>2749.3951606737473</v>
      </c>
      <c r="R31" s="57">
        <f t="shared" si="6"/>
        <v>9.8838576032380832E-9</v>
      </c>
      <c r="S31" s="46">
        <f t="shared" si="7"/>
        <v>2730.9800057128728</v>
      </c>
      <c r="T31" s="57">
        <f t="shared" si="8"/>
        <v>1.0252371464883302E-8</v>
      </c>
      <c r="U31" s="46">
        <f t="shared" si="9"/>
        <v>2712.5305488068748</v>
      </c>
      <c r="V31" s="57">
        <f t="shared" si="10"/>
        <v>1.0000634076375858E-8</v>
      </c>
      <c r="W31" s="46">
        <f t="shared" si="11"/>
        <v>2694.001067920819</v>
      </c>
      <c r="X31" s="57">
        <f t="shared" si="12"/>
        <v>9.4164371430699116E-9</v>
      </c>
      <c r="Y31" s="46">
        <f t="shared" si="13"/>
        <v>2599.9372882995722</v>
      </c>
      <c r="Z31" s="57">
        <f t="shared" si="14"/>
        <v>5.3615334808583504E-9</v>
      </c>
      <c r="AA31" s="46">
        <f t="shared" si="15"/>
        <v>2503.5536675301432</v>
      </c>
      <c r="AB31" s="57">
        <f t="shared" si="16"/>
        <v>2.407825316742625E-9</v>
      </c>
      <c r="AC31" s="46">
        <f t="shared" si="17"/>
        <v>2404.4639236862113</v>
      </c>
      <c r="AD31" s="57">
        <f t="shared" si="18"/>
        <v>9.1133003245578987E-10</v>
      </c>
      <c r="AE31" s="46">
        <f t="shared" si="19"/>
        <v>1891.6262348939683</v>
      </c>
      <c r="AF31" s="57">
        <f t="shared" si="20"/>
        <v>4.8623001861547173E-13</v>
      </c>
      <c r="AG31" s="46">
        <f t="shared" si="21"/>
        <v>1832.0627019763849</v>
      </c>
      <c r="AH31" s="57">
        <f t="shared" si="22"/>
        <v>1.6619474319530208E-13</v>
      </c>
      <c r="AI31" s="46">
        <f t="shared" si="23"/>
        <v>1771.2094068589336</v>
      </c>
      <c r="AJ31" s="57">
        <f t="shared" si="24"/>
        <v>5.0366441738715341E-14</v>
      </c>
      <c r="AK31" s="46">
        <f t="shared" si="25"/>
        <v>1708.9910330289449</v>
      </c>
      <c r="AL31" s="57">
        <f t="shared" si="26"/>
        <v>1.3369493886850628E-14</v>
      </c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</row>
    <row r="32" spans="1:70" x14ac:dyDescent="0.3">
      <c r="A32" s="3"/>
      <c r="B32" s="3"/>
      <c r="C32" s="3"/>
      <c r="D32" s="3" t="s">
        <v>54</v>
      </c>
      <c r="E32" s="55">
        <f>6.5E-19*(F27^6) - 7.82245E-15*(F27^5) + 0.0000000000371204177*(F27^4) - 8.798317617007E-08*(F27^3) + 0.000109823272345614*(F27^2) - 0.0326064446414848*F27 + 3.57864890028521</f>
        <v>72.616008750440713</v>
      </c>
      <c r="F32" s="3"/>
      <c r="G32" s="3"/>
      <c r="H32" s="3"/>
      <c r="I32" s="3"/>
      <c r="J32" s="3"/>
      <c r="K32" s="72">
        <v>11</v>
      </c>
      <c r="L32" s="11">
        <v>30</v>
      </c>
      <c r="M32" s="96">
        <f t="shared" si="27"/>
        <v>2814.0265616589386</v>
      </c>
      <c r="N32" s="57">
        <f t="shared" si="28"/>
        <v>0</v>
      </c>
      <c r="O32" s="46">
        <f t="shared" si="3"/>
        <v>2795.619763014563</v>
      </c>
      <c r="P32" s="57">
        <f t="shared" si="4"/>
        <v>1.0507065535297551E-8</v>
      </c>
      <c r="Q32" s="46">
        <f t="shared" si="5"/>
        <v>2777.0953717285756</v>
      </c>
      <c r="R32" s="57">
        <f t="shared" si="6"/>
        <v>1.2641798018998454E-8</v>
      </c>
      <c r="S32" s="46">
        <f t="shared" si="7"/>
        <v>2758.4946837143516</v>
      </c>
      <c r="T32" s="57">
        <f t="shared" si="8"/>
        <v>1.3134919469557537E-8</v>
      </c>
      <c r="U32" s="46">
        <f t="shared" si="9"/>
        <v>2739.8593481622233</v>
      </c>
      <c r="V32" s="57">
        <f t="shared" si="10"/>
        <v>1.2834013373140637E-8</v>
      </c>
      <c r="W32" s="46">
        <f t="shared" si="11"/>
        <v>2721.1431823868429</v>
      </c>
      <c r="X32" s="57">
        <f t="shared" si="12"/>
        <v>1.2105053020210302E-8</v>
      </c>
      <c r="Y32" s="46">
        <f t="shared" si="13"/>
        <v>2626.1317083106874</v>
      </c>
      <c r="Z32" s="57">
        <f t="shared" si="14"/>
        <v>6.9552947984832789E-9</v>
      </c>
      <c r="AA32" s="46">
        <f t="shared" si="15"/>
        <v>2528.7770206405344</v>
      </c>
      <c r="AB32" s="57">
        <f t="shared" si="16"/>
        <v>3.1550254952616024E-9</v>
      </c>
      <c r="AC32" s="46">
        <f t="shared" si="17"/>
        <v>2428.6889456519543</v>
      </c>
      <c r="AD32" s="57">
        <f t="shared" si="18"/>
        <v>1.2075102038114892E-9</v>
      </c>
      <c r="AE32" s="46">
        <f t="shared" si="19"/>
        <v>1910.6844069213653</v>
      </c>
      <c r="AF32" s="57">
        <f t="shared" si="20"/>
        <v>6.9532935802378448E-13</v>
      </c>
      <c r="AG32" s="46">
        <f t="shared" si="21"/>
        <v>1850.5207702221983</v>
      </c>
      <c r="AH32" s="57">
        <f t="shared" si="22"/>
        <v>2.4044554800320625E-13</v>
      </c>
      <c r="AI32" s="46">
        <f t="shared" si="23"/>
        <v>1789.0543769432873</v>
      </c>
      <c r="AJ32" s="57">
        <f t="shared" si="24"/>
        <v>7.3799183777100567E-14</v>
      </c>
      <c r="AK32" s="46">
        <f t="shared" si="25"/>
        <v>1726.2091517565964</v>
      </c>
      <c r="AL32" s="57">
        <f t="shared" si="26"/>
        <v>1.9863943328232581E-14</v>
      </c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</row>
    <row r="33" spans="1:70" x14ac:dyDescent="0.3">
      <c r="A33" s="3"/>
      <c r="B33" s="3"/>
      <c r="C33" s="3"/>
      <c r="D33" s="3" t="s">
        <v>55</v>
      </c>
      <c r="E33" s="56">
        <f>5.9E-19*(F27^6) - 7.10207E-15*(F27^5) + 3.346089681E-11*(F27^4) - 7.890960163412E-08*(F27^3) + 0.000098599769211504*(F27^2) - 0.028172899155961*F27 + 3.05378907997741</f>
        <v>68.194170136830905</v>
      </c>
      <c r="F33" s="3"/>
      <c r="G33" s="3"/>
      <c r="H33" s="3"/>
      <c r="I33" s="3"/>
      <c r="J33" s="3"/>
      <c r="K33" s="72">
        <v>12</v>
      </c>
      <c r="L33" s="11">
        <v>32</v>
      </c>
      <c r="M33" s="96">
        <f t="shared" si="27"/>
        <v>2840.5389057540729</v>
      </c>
      <c r="N33" s="57">
        <f t="shared" si="28"/>
        <v>0</v>
      </c>
      <c r="O33" s="46">
        <f t="shared" si="3"/>
        <v>2821.9586875030741</v>
      </c>
      <c r="P33" s="57">
        <f t="shared" si="4"/>
        <v>1.3177767110257595E-8</v>
      </c>
      <c r="Q33" s="46">
        <f t="shared" si="5"/>
        <v>2803.25976871169</v>
      </c>
      <c r="R33" s="57">
        <f t="shared" si="6"/>
        <v>1.587908009125865E-8</v>
      </c>
      <c r="S33" s="46">
        <f t="shared" si="7"/>
        <v>2784.4838343626379</v>
      </c>
      <c r="T33" s="57">
        <f t="shared" si="8"/>
        <v>1.6523862801579917E-8</v>
      </c>
      <c r="U33" s="46">
        <f t="shared" si="9"/>
        <v>2765.6729260439915</v>
      </c>
      <c r="V33" s="57">
        <f t="shared" si="10"/>
        <v>1.6170545170356358E-8</v>
      </c>
      <c r="W33" s="46">
        <f t="shared" si="11"/>
        <v>2746.7804259603499</v>
      </c>
      <c r="X33" s="57">
        <f t="shared" si="12"/>
        <v>1.5276334756467911E-8</v>
      </c>
      <c r="Y33" s="46">
        <f t="shared" si="13"/>
        <v>2650.8738015227818</v>
      </c>
      <c r="Z33" s="57">
        <f t="shared" si="14"/>
        <v>8.851645558787248E-9</v>
      </c>
      <c r="AA33" s="46">
        <f t="shared" si="15"/>
        <v>2552.6018869102991</v>
      </c>
      <c r="AB33" s="57">
        <f t="shared" si="16"/>
        <v>4.0526816395019591E-9</v>
      </c>
      <c r="AC33" s="46">
        <f t="shared" si="17"/>
        <v>2451.5708323777189</v>
      </c>
      <c r="AD33" s="57">
        <f t="shared" si="18"/>
        <v>1.5671539637393717E-9</v>
      </c>
      <c r="AE33" s="46">
        <f t="shared" si="19"/>
        <v>1928.685915202667</v>
      </c>
      <c r="AF33" s="57">
        <f t="shared" si="20"/>
        <v>9.6851569519967536E-13</v>
      </c>
      <c r="AG33" s="46">
        <f t="shared" si="21"/>
        <v>1867.9554469533236</v>
      </c>
      <c r="AH33" s="57">
        <f t="shared" si="22"/>
        <v>3.3854140987132245E-13</v>
      </c>
      <c r="AI33" s="46">
        <f t="shared" si="23"/>
        <v>1805.9099482064328</v>
      </c>
      <c r="AJ33" s="57">
        <f t="shared" si="24"/>
        <v>1.0513610532324194E-13</v>
      </c>
      <c r="AK33" s="46">
        <f t="shared" si="25"/>
        <v>1742.472626890449</v>
      </c>
      <c r="AL33" s="57">
        <f t="shared" si="26"/>
        <v>2.8665629547630734E-14</v>
      </c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</row>
    <row r="34" spans="1:70" x14ac:dyDescent="0.3">
      <c r="A34" s="3"/>
      <c r="B34" s="3"/>
      <c r="C34" s="3"/>
      <c r="D34" s="130" t="s">
        <v>49</v>
      </c>
      <c r="E34" s="130"/>
      <c r="F34" s="130"/>
      <c r="G34" s="130"/>
      <c r="H34" s="130"/>
      <c r="I34" s="130"/>
      <c r="J34" s="131"/>
      <c r="K34" s="72">
        <v>13</v>
      </c>
      <c r="L34" s="11">
        <v>34</v>
      </c>
      <c r="M34" s="96">
        <f t="shared" si="27"/>
        <v>2865.6709047868553</v>
      </c>
      <c r="N34" s="57">
        <f t="shared" si="28"/>
        <v>0</v>
      </c>
      <c r="O34" s="46">
        <f t="shared" si="3"/>
        <v>2846.926295889361</v>
      </c>
      <c r="P34" s="57">
        <f t="shared" si="4"/>
        <v>1.6270497117051509E-8</v>
      </c>
      <c r="Q34" s="46">
        <f t="shared" si="5"/>
        <v>2828.0619362346156</v>
      </c>
      <c r="R34" s="57">
        <f t="shared" si="6"/>
        <v>1.9633379910405325E-8</v>
      </c>
      <c r="S34" s="46">
        <f t="shared" si="7"/>
        <v>2809.1198796180797</v>
      </c>
      <c r="T34" s="57">
        <f t="shared" si="8"/>
        <v>2.0459867520206032E-8</v>
      </c>
      <c r="U34" s="46">
        <f t="shared" si="9"/>
        <v>2790.1425395956771</v>
      </c>
      <c r="V34" s="57">
        <f t="shared" si="10"/>
        <v>2.0051507293316989E-8</v>
      </c>
      <c r="W34" s="46">
        <f t="shared" si="11"/>
        <v>2771.082885915629</v>
      </c>
      <c r="X34" s="57">
        <f t="shared" si="12"/>
        <v>1.8970732196639402E-8</v>
      </c>
      <c r="Y34" s="46">
        <f t="shared" si="13"/>
        <v>2674.3277164404558</v>
      </c>
      <c r="Z34" s="57">
        <f t="shared" si="14"/>
        <v>1.1078785156431339E-8</v>
      </c>
      <c r="AA34" s="46">
        <f t="shared" si="15"/>
        <v>2575.1863296098713</v>
      </c>
      <c r="AB34" s="57">
        <f t="shared" si="16"/>
        <v>5.1163825885143437E-9</v>
      </c>
      <c r="AC34" s="46">
        <f t="shared" si="17"/>
        <v>2473.2613910471691</v>
      </c>
      <c r="AD34" s="57">
        <f t="shared" si="18"/>
        <v>1.9975771515410573E-9</v>
      </c>
      <c r="AE34" s="46">
        <f t="shared" si="19"/>
        <v>1945.7501886253001</v>
      </c>
      <c r="AF34" s="57">
        <f t="shared" si="20"/>
        <v>1.3184731656707832E-12</v>
      </c>
      <c r="AG34" s="46">
        <f t="shared" si="21"/>
        <v>1884.4824004799993</v>
      </c>
      <c r="AH34" s="57">
        <f t="shared" si="22"/>
        <v>4.6551304215505658E-13</v>
      </c>
      <c r="AI34" s="46">
        <f t="shared" si="23"/>
        <v>1821.8879469515573</v>
      </c>
      <c r="AJ34" s="57">
        <f t="shared" si="24"/>
        <v>1.461585379619221E-13</v>
      </c>
      <c r="AK34" s="46">
        <f t="shared" si="25"/>
        <v>1757.8893565416258</v>
      </c>
      <c r="AL34" s="57">
        <f t="shared" si="26"/>
        <v>4.0331330606681775E-14</v>
      </c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</row>
    <row r="35" spans="1:70" x14ac:dyDescent="0.3">
      <c r="A35" s="3"/>
      <c r="B35" s="3"/>
      <c r="C35" s="3"/>
      <c r="K35" s="72">
        <v>14</v>
      </c>
      <c r="L35" s="11">
        <v>36</v>
      </c>
      <c r="M35" s="96">
        <f t="shared" si="27"/>
        <v>2889.569601250329</v>
      </c>
      <c r="N35" s="57">
        <f t="shared" si="28"/>
        <v>0</v>
      </c>
      <c r="O35" s="46">
        <f t="shared" si="3"/>
        <v>2870.6686688484087</v>
      </c>
      <c r="P35" s="57">
        <f t="shared" si="4"/>
        <v>1.9814786309791124E-8</v>
      </c>
      <c r="Q35" s="46">
        <f t="shared" si="5"/>
        <v>2851.6469870096635</v>
      </c>
      <c r="R35" s="57">
        <f t="shared" si="6"/>
        <v>2.3941676200111821E-8</v>
      </c>
      <c r="S35" s="46">
        <f t="shared" si="7"/>
        <v>2832.5469602435487</v>
      </c>
      <c r="T35" s="57">
        <f t="shared" si="8"/>
        <v>2.4982924651198336E-8</v>
      </c>
      <c r="U35" s="46">
        <f t="shared" si="9"/>
        <v>2813.4113558202612</v>
      </c>
      <c r="V35" s="57">
        <f t="shared" si="10"/>
        <v>2.451757183495934E-8</v>
      </c>
      <c r="W35" s="46">
        <f t="shared" si="11"/>
        <v>2794.1927512721154</v>
      </c>
      <c r="X35" s="57">
        <f t="shared" si="12"/>
        <v>2.3228180301867182E-8</v>
      </c>
      <c r="Y35" s="46">
        <f t="shared" si="13"/>
        <v>2696.6306774093182</v>
      </c>
      <c r="Z35" s="57">
        <f t="shared" si="14"/>
        <v>1.3664838920667171E-8</v>
      </c>
      <c r="AA35" s="46">
        <f t="shared" si="15"/>
        <v>2596.6624859701255</v>
      </c>
      <c r="AB35" s="57">
        <f t="shared" si="16"/>
        <v>6.3618452190502247E-9</v>
      </c>
      <c r="AC35" s="46">
        <f t="shared" si="17"/>
        <v>2493.8875289476277</v>
      </c>
      <c r="AD35" s="57">
        <f t="shared" si="18"/>
        <v>2.5062420495741174E-9</v>
      </c>
      <c r="AE35" s="46">
        <f t="shared" si="19"/>
        <v>1961.9770669713193</v>
      </c>
      <c r="AF35" s="57">
        <f t="shared" si="20"/>
        <v>1.7591395651963241E-12</v>
      </c>
      <c r="AG35" s="46">
        <f t="shared" si="21"/>
        <v>1900.1983268289043</v>
      </c>
      <c r="AH35" s="57">
        <f t="shared" si="22"/>
        <v>6.269490752693067E-13</v>
      </c>
      <c r="AI35" s="46">
        <f t="shared" si="23"/>
        <v>1837.0818573764864</v>
      </c>
      <c r="AJ35" s="57">
        <f t="shared" si="24"/>
        <v>1.9886894363172055E-13</v>
      </c>
      <c r="AK35" s="46">
        <f t="shared" si="25"/>
        <v>1772.5495410304252</v>
      </c>
      <c r="AL35" s="57">
        <f t="shared" si="26"/>
        <v>5.5495073757341243E-14</v>
      </c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</row>
    <row r="36" spans="1:70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72">
        <v>15</v>
      </c>
      <c r="L36" s="11">
        <v>38</v>
      </c>
      <c r="M36" s="96">
        <f t="shared" si="27"/>
        <v>2912.3592314368698</v>
      </c>
      <c r="N36" s="57">
        <f t="shared" si="28"/>
        <v>0</v>
      </c>
      <c r="O36" s="46">
        <f t="shared" si="3"/>
        <v>2893.3092300319277</v>
      </c>
      <c r="P36" s="57">
        <f t="shared" si="4"/>
        <v>2.383952797047388E-8</v>
      </c>
      <c r="Q36" s="46">
        <f t="shared" si="5"/>
        <v>2874.137526856287</v>
      </c>
      <c r="R36" s="57">
        <f t="shared" si="6"/>
        <v>2.8840215523992678E-8</v>
      </c>
      <c r="S36" s="46">
        <f t="shared" si="7"/>
        <v>2854.8868608578227</v>
      </c>
      <c r="T36" s="57">
        <f t="shared" si="8"/>
        <v>3.0132305518876868E-8</v>
      </c>
      <c r="U36" s="46">
        <f t="shared" si="9"/>
        <v>2835.6003366061937</v>
      </c>
      <c r="V36" s="57">
        <f t="shared" si="10"/>
        <v>2.960875277525796E-8</v>
      </c>
      <c r="W36" s="46">
        <f t="shared" si="11"/>
        <v>2816.2301576193618</v>
      </c>
      <c r="X36" s="57">
        <f t="shared" si="12"/>
        <v>2.8088041083950722E-8</v>
      </c>
      <c r="Y36" s="46">
        <f t="shared" si="13"/>
        <v>2717.8986253629673</v>
      </c>
      <c r="Z36" s="57">
        <f t="shared" si="14"/>
        <v>1.6637795983143264E-8</v>
      </c>
      <c r="AA36" s="46">
        <f t="shared" si="15"/>
        <v>2617.1419988183075</v>
      </c>
      <c r="AB36" s="57">
        <f t="shared" si="16"/>
        <v>7.8048701431258961E-9</v>
      </c>
      <c r="AC36" s="46">
        <f t="shared" si="17"/>
        <v>2513.5564701238327</v>
      </c>
      <c r="AD36" s="57">
        <f t="shared" si="18"/>
        <v>3.1007331436497192E-9</v>
      </c>
      <c r="AE36" s="46">
        <f t="shared" si="19"/>
        <v>1977.4509049336937</v>
      </c>
      <c r="AF36" s="57">
        <f t="shared" si="20"/>
        <v>2.3057032103767784E-12</v>
      </c>
      <c r="AG36" s="46">
        <f t="shared" si="21"/>
        <v>1915.1849245321664</v>
      </c>
      <c r="AH36" s="57">
        <f t="shared" si="22"/>
        <v>8.2900204812029403E-13</v>
      </c>
      <c r="AI36" s="46">
        <f t="shared" si="23"/>
        <v>1851.5706643371832</v>
      </c>
      <c r="AJ36" s="57">
        <f t="shared" si="24"/>
        <v>2.6549637763780532E-13</v>
      </c>
      <c r="AK36" s="46">
        <f t="shared" si="25"/>
        <v>1786.5293906626771</v>
      </c>
      <c r="AL36" s="57">
        <f t="shared" si="26"/>
        <v>7.487119704732983E-14</v>
      </c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</row>
    <row r="37" spans="1:70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43">
        <v>16</v>
      </c>
      <c r="L37" s="11">
        <v>40</v>
      </c>
      <c r="M37" s="96">
        <f t="shared" si="27"/>
        <v>2934.1457567692719</v>
      </c>
      <c r="N37" s="57">
        <f t="shared" si="28"/>
        <v>0</v>
      </c>
      <c r="O37" s="46">
        <f t="shared" si="3"/>
        <v>2914.9532477595976</v>
      </c>
      <c r="P37" s="57">
        <f t="shared" si="4"/>
        <v>2.8372964655308188E-8</v>
      </c>
      <c r="Q37" s="46">
        <f t="shared" si="5"/>
        <v>2895.638126563133</v>
      </c>
      <c r="R37" s="57">
        <f t="shared" si="6"/>
        <v>3.4364489563585623E-8</v>
      </c>
      <c r="S37" s="46">
        <f t="shared" si="7"/>
        <v>2876.2434518455816</v>
      </c>
      <c r="T37" s="57">
        <f t="shared" si="8"/>
        <v>3.5946530686979885E-8</v>
      </c>
      <c r="U37" s="46">
        <f t="shared" si="9"/>
        <v>2856.8126506295425</v>
      </c>
      <c r="V37" s="57">
        <f t="shared" si="10"/>
        <v>3.5364367955135758E-8</v>
      </c>
      <c r="W37" s="46">
        <f t="shared" si="11"/>
        <v>2837.2975688811853</v>
      </c>
      <c r="X37" s="57">
        <f t="shared" si="12"/>
        <v>3.3589060090778443E-8</v>
      </c>
      <c r="Y37" s="46">
        <f t="shared" si="13"/>
        <v>2738.2304465933985</v>
      </c>
      <c r="Z37" s="57">
        <f t="shared" si="14"/>
        <v>2.0025458482347117E-8</v>
      </c>
      <c r="AA37" s="46">
        <f t="shared" si="15"/>
        <v>2636.720088581505</v>
      </c>
      <c r="AB37" s="57">
        <f t="shared" si="16"/>
        <v>9.4613038342503732E-9</v>
      </c>
      <c r="AC37" s="46">
        <f t="shared" si="17"/>
        <v>2532.3596662129903</v>
      </c>
      <c r="AD37" s="57">
        <f t="shared" si="18"/>
        <v>3.7887357131571093E-9</v>
      </c>
      <c r="AE37" s="46">
        <f t="shared" si="19"/>
        <v>1992.243648826302</v>
      </c>
      <c r="AF37" s="57">
        <f t="shared" si="20"/>
        <v>2.9745957672130827E-12</v>
      </c>
      <c r="AG37" s="46">
        <f t="shared" si="21"/>
        <v>1929.5118744579036</v>
      </c>
      <c r="AH37" s="57">
        <f t="shared" si="22"/>
        <v>1.078392231668544E-12</v>
      </c>
      <c r="AI37" s="46">
        <f t="shared" si="23"/>
        <v>1865.4217342010518</v>
      </c>
      <c r="AJ37" s="57">
        <f t="shared" si="24"/>
        <v>3.4850100413153729E-13</v>
      </c>
      <c r="AK37" s="46">
        <f t="shared" si="25"/>
        <v>1799.8939053855227</v>
      </c>
      <c r="AL37" s="57">
        <f t="shared" si="26"/>
        <v>9.9257074710908139E-14</v>
      </c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</row>
    <row r="38" spans="1:70" s="59" customFormat="1" x14ac:dyDescent="0.3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60" t="s">
        <v>95</v>
      </c>
      <c r="L38" s="31"/>
      <c r="M38" s="61"/>
      <c r="N38" s="61">
        <v>0</v>
      </c>
      <c r="O38" s="61"/>
      <c r="P38" s="61">
        <f>SUM(P22:P37)</f>
        <v>1.4084146200682798E-7</v>
      </c>
      <c r="Q38" s="61"/>
      <c r="R38" s="61">
        <f t="shared" ref="R38" si="29">SUM(R22:R37)</f>
        <v>1.6982019019914035E-7</v>
      </c>
      <c r="S38" s="61"/>
      <c r="T38" s="61">
        <f t="shared" ref="T38" si="30">SUM(T22:T37)</f>
        <v>1.7683438708748975E-7</v>
      </c>
      <c r="U38" s="61"/>
      <c r="V38" s="61">
        <f t="shared" ref="V38" si="31">SUM(V22:V37)</f>
        <v>1.7317561191376922E-7</v>
      </c>
      <c r="W38" s="61"/>
      <c r="X38" s="61">
        <f t="shared" ref="X38" si="32">SUM(X22:X37)</f>
        <v>1.6372133399434315E-7</v>
      </c>
      <c r="Y38" s="61"/>
      <c r="Z38" s="61">
        <f t="shared" ref="Z38" si="33">SUM(Z22:Z37)</f>
        <v>9.5283141099622724E-8</v>
      </c>
      <c r="AA38" s="61"/>
      <c r="AB38" s="61">
        <f t="shared" ref="AB38" si="34">SUM(AB22:AB37)</f>
        <v>4.3872453452058089E-8</v>
      </c>
      <c r="AC38" s="61"/>
      <c r="AD38" s="61">
        <f t="shared" ref="AD38" si="35">SUM(AD22:AD37)</f>
        <v>1.7088624383255195E-8</v>
      </c>
      <c r="AE38" s="61"/>
      <c r="AF38" s="61">
        <f t="shared" ref="AF38" si="36">SUM(AF22:AF37)</f>
        <v>1.1354761069396261E-11</v>
      </c>
      <c r="AG38" s="61"/>
      <c r="AH38" s="61">
        <f t="shared" ref="AH38" si="37">SUM(AH22:AH37)</f>
        <v>4.0250534932869411E-12</v>
      </c>
      <c r="AI38" s="61"/>
      <c r="AJ38" s="61">
        <f t="shared" ref="AJ38" si="38">SUM(AJ22:AJ37)</f>
        <v>1.2702413121810393E-12</v>
      </c>
      <c r="AK38" s="61"/>
      <c r="AL38" s="62">
        <f t="shared" ref="AL38" si="39">SUM(AL22:AL37)</f>
        <v>3.5278945356153396E-13</v>
      </c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</row>
    <row r="39" spans="1:70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</row>
    <row r="40" spans="1:70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</row>
    <row r="41" spans="1:70" hidden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</row>
    <row r="42" spans="1:70" hidden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</row>
    <row r="43" spans="1:70" hidden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</row>
    <row r="44" spans="1:70" hidden="1" x14ac:dyDescent="0.3">
      <c r="A44" s="3"/>
      <c r="B44" s="3"/>
      <c r="C44" s="3"/>
      <c r="D44" s="130" t="s">
        <v>99</v>
      </c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</row>
    <row r="45" spans="1:70" ht="15" hidden="1" thickBot="1" x14ac:dyDescent="0.35">
      <c r="A45" s="3"/>
      <c r="B45" s="3"/>
      <c r="C45" s="3"/>
      <c r="D45" s="130" t="s">
        <v>101</v>
      </c>
      <c r="E45" s="130"/>
      <c r="F45" s="130"/>
      <c r="G45" s="130"/>
      <c r="H45" s="130"/>
      <c r="I45" s="130"/>
      <c r="J45" s="130"/>
      <c r="K45" s="3"/>
      <c r="L45" s="3"/>
      <c r="M45" s="3"/>
      <c r="N45" s="3"/>
      <c r="O45" s="3"/>
      <c r="P45" s="3" t="s">
        <v>89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</row>
    <row r="46" spans="1:70" ht="15" hidden="1" thickBot="1" x14ac:dyDescent="0.35">
      <c r="A46" s="3"/>
      <c r="B46" s="3"/>
      <c r="C46" s="3"/>
      <c r="D46" s="3" t="s">
        <v>47</v>
      </c>
      <c r="E46" s="4">
        <f>E52*8</f>
        <v>7.76</v>
      </c>
      <c r="F46" s="3" t="s">
        <v>97</v>
      </c>
      <c r="G46" s="4">
        <v>12.5</v>
      </c>
      <c r="H46" s="3"/>
      <c r="I46" s="3"/>
      <c r="J46" s="3"/>
      <c r="K46" s="3"/>
      <c r="L46" s="3"/>
      <c r="M46" s="34" t="s">
        <v>32</v>
      </c>
      <c r="N46" s="35" t="s">
        <v>62</v>
      </c>
      <c r="O46" s="24" t="s">
        <v>72</v>
      </c>
      <c r="P46" s="24" t="s">
        <v>73</v>
      </c>
      <c r="Q46" s="24" t="s">
        <v>85</v>
      </c>
      <c r="R46" s="24" t="s">
        <v>75</v>
      </c>
      <c r="S46" s="24" t="s">
        <v>80</v>
      </c>
      <c r="T46" s="24" t="s">
        <v>81</v>
      </c>
      <c r="U46" s="36" t="s">
        <v>79</v>
      </c>
      <c r="V46" s="24" t="s">
        <v>91</v>
      </c>
      <c r="W46" s="42" t="s">
        <v>92</v>
      </c>
      <c r="X46" s="42" t="s">
        <v>93</v>
      </c>
      <c r="Y46" s="42" t="s">
        <v>94</v>
      </c>
      <c r="Z46" s="24" t="s">
        <v>90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</row>
    <row r="47" spans="1:70" hidden="1" x14ac:dyDescent="0.3">
      <c r="A47" s="3"/>
      <c r="B47" s="3"/>
      <c r="C47" s="3"/>
      <c r="D47" s="3" t="s">
        <v>48</v>
      </c>
      <c r="E47" s="4">
        <f>E52*18</f>
        <v>17.46</v>
      </c>
      <c r="F47" s="3" t="s">
        <v>0</v>
      </c>
      <c r="G47" s="4">
        <f>8*E52*(1+E53)</f>
        <v>8.1479999999999997</v>
      </c>
      <c r="H47" s="3" t="s">
        <v>68</v>
      </c>
      <c r="I47" s="3"/>
      <c r="J47" s="76"/>
      <c r="K47" s="3"/>
      <c r="L47" s="3"/>
      <c r="M47" s="3">
        <v>0.97</v>
      </c>
      <c r="N47" s="3">
        <f>E63</f>
        <v>1.0861814299021231E-7</v>
      </c>
      <c r="O47" s="3">
        <f>($G$49*$N$47)/($E$58*10^-6)</f>
        <v>1.0692098450599036E-3</v>
      </c>
      <c r="P47" s="3">
        <f>($G$50*$N$47)/($E$58*10^-6)</f>
        <v>0.13400763391417447</v>
      </c>
      <c r="Q47" s="77">
        <f>(G47*E68)+(G48*E69)+(G50*E71)+(E70*G49)</f>
        <v>4913.0500000097036</v>
      </c>
      <c r="R47" s="3">
        <f>E65</f>
        <v>2263.8249985257667</v>
      </c>
      <c r="S47" s="3"/>
      <c r="T47" s="3"/>
      <c r="U47" s="3">
        <v>4913.05</v>
      </c>
      <c r="V47" s="3">
        <f>G47</f>
        <v>8.1479999999999997</v>
      </c>
      <c r="W47" s="3">
        <f>G48</f>
        <v>9.166500000000001</v>
      </c>
      <c r="X47" s="3">
        <f>G49</f>
        <v>0.39375000000000038</v>
      </c>
      <c r="Y47" s="3">
        <f>G50</f>
        <v>49.35</v>
      </c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</row>
    <row r="48" spans="1:70" hidden="1" x14ac:dyDescent="0.3">
      <c r="A48" s="3"/>
      <c r="B48" s="3"/>
      <c r="C48" s="3"/>
      <c r="D48" s="3"/>
      <c r="E48" s="3"/>
      <c r="F48" s="3" t="s">
        <v>2</v>
      </c>
      <c r="G48" s="4">
        <f>9*E52*(1+E53)</f>
        <v>9.166500000000001</v>
      </c>
      <c r="H48" s="3" t="s">
        <v>69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</row>
    <row r="49" spans="1:70" hidden="1" x14ac:dyDescent="0.3">
      <c r="A49" s="3"/>
      <c r="B49" s="3"/>
      <c r="C49" s="3"/>
      <c r="D49" s="3"/>
      <c r="E49" s="3"/>
      <c r="F49" s="3" t="s">
        <v>9</v>
      </c>
      <c r="G49" s="4">
        <f>G46*(1-E52)*(1+E53)</f>
        <v>0.39375000000000038</v>
      </c>
      <c r="H49" s="3" t="s">
        <v>70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</row>
    <row r="50" spans="1:70" hidden="1" x14ac:dyDescent="0.3">
      <c r="A50" s="3"/>
      <c r="B50" s="3"/>
      <c r="C50" s="3"/>
      <c r="D50" s="3"/>
      <c r="E50" s="3"/>
      <c r="F50" s="3" t="s">
        <v>8</v>
      </c>
      <c r="G50" s="4">
        <f>G46*E51*(1+E53)</f>
        <v>49.35</v>
      </c>
      <c r="H50" s="3" t="s">
        <v>71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</row>
    <row r="51" spans="1:70" hidden="1" x14ac:dyDescent="0.3">
      <c r="A51" s="3"/>
      <c r="B51" s="3"/>
      <c r="C51" s="3"/>
      <c r="D51" s="78" t="s">
        <v>100</v>
      </c>
      <c r="E51" s="7">
        <v>3.76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</row>
    <row r="52" spans="1:70" hidden="1" x14ac:dyDescent="0.3">
      <c r="A52" s="3"/>
      <c r="B52" s="3"/>
      <c r="C52" s="3"/>
      <c r="D52" s="72" t="s">
        <v>32</v>
      </c>
      <c r="E52" s="7">
        <v>0.97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</row>
    <row r="53" spans="1:70" hidden="1" x14ac:dyDescent="0.3">
      <c r="A53" s="3"/>
      <c r="B53" s="3"/>
      <c r="C53" s="3"/>
      <c r="D53" s="72" t="s">
        <v>96</v>
      </c>
      <c r="E53" s="79">
        <v>0.05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</row>
    <row r="54" spans="1:70" hidden="1" x14ac:dyDescent="0.3">
      <c r="A54" s="3"/>
      <c r="B54" s="3"/>
      <c r="C54" s="3"/>
      <c r="D54" s="71" t="s">
        <v>63</v>
      </c>
      <c r="E54" s="11">
        <v>0.4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</row>
    <row r="55" spans="1:70" hidden="1" x14ac:dyDescent="0.3">
      <c r="A55" s="3"/>
      <c r="B55" s="3"/>
      <c r="C55" s="3"/>
      <c r="D55" s="73" t="s">
        <v>29</v>
      </c>
      <c r="E55" s="11">
        <v>1600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</row>
    <row r="56" spans="1:70" hidden="1" x14ac:dyDescent="0.3">
      <c r="A56" s="3"/>
      <c r="B56" s="3"/>
      <c r="C56" s="3"/>
      <c r="D56" s="73" t="s">
        <v>30</v>
      </c>
      <c r="E56" s="11">
        <v>4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</row>
    <row r="57" spans="1:70" hidden="1" x14ac:dyDescent="0.3">
      <c r="A57" s="3"/>
      <c r="B57" s="3"/>
      <c r="C57" s="3"/>
      <c r="D57" s="71" t="s">
        <v>64</v>
      </c>
      <c r="E57" s="45">
        <f>E55/E56</f>
        <v>400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</row>
    <row r="58" spans="1:70" hidden="1" x14ac:dyDescent="0.3">
      <c r="A58" s="3"/>
      <c r="B58" s="3"/>
      <c r="C58" s="3"/>
      <c r="D58" s="74" t="s">
        <v>74</v>
      </c>
      <c r="E58" s="45">
        <f>E57*0.1</f>
        <v>40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</row>
    <row r="59" spans="1:70" hidden="1" x14ac:dyDescent="0.3">
      <c r="A59" s="3"/>
      <c r="B59" s="3"/>
      <c r="C59" s="3"/>
      <c r="D59" s="73" t="s">
        <v>31</v>
      </c>
      <c r="E59" s="11">
        <v>1800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</row>
    <row r="60" spans="1:70" hidden="1" x14ac:dyDescent="0.3">
      <c r="A60" s="3"/>
      <c r="B60" s="3"/>
      <c r="C60" s="3"/>
      <c r="D60" s="73" t="s">
        <v>66</v>
      </c>
      <c r="E60" s="45">
        <f>20+273</f>
        <v>293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</row>
    <row r="61" spans="1:70" hidden="1" x14ac:dyDescent="0.3">
      <c r="A61" s="3"/>
      <c r="B61" s="3"/>
      <c r="C61" s="3"/>
      <c r="D61" s="73" t="s">
        <v>67</v>
      </c>
      <c r="E61" s="11">
        <v>8314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</row>
    <row r="62" spans="1:70" hidden="1" x14ac:dyDescent="0.3">
      <c r="A62" s="3"/>
      <c r="B62" s="3"/>
      <c r="C62" s="3"/>
      <c r="D62" s="73" t="s">
        <v>103</v>
      </c>
      <c r="E62" s="11">
        <f>(10^5*(E57*E54*10^-6))/(E61*E60)</f>
        <v>6.5681391066181384E-6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</row>
    <row r="63" spans="1:70" hidden="1" x14ac:dyDescent="0.3">
      <c r="A63" s="3"/>
      <c r="B63" s="3"/>
      <c r="C63" s="3"/>
      <c r="D63" s="71" t="s">
        <v>62</v>
      </c>
      <c r="E63" s="11">
        <f>E62/(E52+(G46*(1+E51)))</f>
        <v>1.0861814299021231E-7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</row>
    <row r="64" spans="1:70" hidden="1" x14ac:dyDescent="0.3">
      <c r="A64" s="3"/>
      <c r="B64" s="3"/>
      <c r="C64" s="3"/>
      <c r="D64" s="65" t="s">
        <v>65</v>
      </c>
      <c r="E64" s="13">
        <v>1.17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</row>
    <row r="65" spans="1:70" hidden="1" x14ac:dyDescent="0.3">
      <c r="A65" s="3"/>
      <c r="B65" s="3"/>
      <c r="C65" s="3"/>
      <c r="D65" s="3" t="s">
        <v>104</v>
      </c>
      <c r="E65" s="2">
        <v>2263.8249985257667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</row>
    <row r="66" spans="1:70" hidden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</row>
    <row r="67" spans="1:70" hidden="1" x14ac:dyDescent="0.3">
      <c r="A67" s="3"/>
      <c r="B67" s="3"/>
      <c r="C67" s="3"/>
      <c r="E67" s="3" t="s">
        <v>56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</row>
    <row r="68" spans="1:70" hidden="1" x14ac:dyDescent="0.3">
      <c r="A68" s="3"/>
      <c r="B68" s="3"/>
      <c r="C68" s="3"/>
      <c r="D68" s="3" t="s">
        <v>50</v>
      </c>
      <c r="E68" s="55">
        <f>8.6E-19*(E65^6) - 1.037488E-14*(E65^5) + 4.968947595E-11*(E65^4) - 0.0000001201911805397*(E65^3) + 0.000156509548934808*(E65^2) - 0.0482393620326645*E65 + 5.20845196264969</f>
        <v>107.61511312779467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</row>
    <row r="69" spans="1:70" hidden="1" x14ac:dyDescent="0.3">
      <c r="A69" s="3"/>
      <c r="B69" s="3"/>
      <c r="C69" s="3"/>
      <c r="D69" s="3" t="s">
        <v>53</v>
      </c>
      <c r="E69" s="56">
        <f xml:space="preserve"> 6.7E-19*(E65^6) - 7.89843E-15*(E65^5) + 3.687984988E-11*(E65^4) - 8.638622855912E-08*(E65^3) + 0.000110740178605573*(E65^2) - 0.031241611607915*E65 + 3.30066945333761</f>
        <v>87.056030776991264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</row>
    <row r="70" spans="1:70" hidden="1" x14ac:dyDescent="0.3">
      <c r="A70" s="3"/>
      <c r="B70" s="3"/>
      <c r="C70" s="3"/>
      <c r="D70" s="3" t="s">
        <v>54</v>
      </c>
      <c r="E70" s="55">
        <f>6.5E-19*(E65^6) - 7.82245E-15*(E65^5) + 0.0000000000371204177*(E65^4) - 8.798317617007E-08*(E65^3) + 0.000109823272345614*(E65^2) - 0.0326064446414848*E65 + 3.57864890028521</f>
        <v>69.161620288126628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</row>
    <row r="71" spans="1:70" hidden="1" x14ac:dyDescent="0.3">
      <c r="A71" s="3"/>
      <c r="B71" s="3"/>
      <c r="C71" s="3"/>
      <c r="D71" s="3" t="s">
        <v>55</v>
      </c>
      <c r="E71" s="56">
        <f>5.9E-19*(E65^6) - 7.10207E-15*(E65^5) + 3.346089681E-11*(E65^4) - 7.890960163412E-08*(E65^3) + 0.000098599769211504*(E65^2) - 0.028172899155961*E65 + 3.05378907997741</f>
        <v>65.065259658332167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1:70" hidden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1:70" hidden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</row>
    <row r="74" spans="1:70" hidden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1:70" hidden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1:70" hidden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1:70" hidden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1:70" hidden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</row>
    <row r="79" spans="1:70" hidden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</row>
    <row r="80" spans="1:70" hidden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</row>
    <row r="81" spans="1:70" hidden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2" spans="1:70" hidden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</row>
    <row r="83" spans="1:70" hidden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</row>
    <row r="84" spans="1:70" hidden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</row>
    <row r="85" spans="1:70" hidden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</row>
    <row r="86" spans="1:70" hidden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</row>
    <row r="87" spans="1:70" hidden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</row>
    <row r="88" spans="1:70" hidden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</row>
    <row r="89" spans="1:70" hidden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</row>
    <row r="90" spans="1:70" hidden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</row>
    <row r="91" spans="1:70" hidden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</row>
    <row r="92" spans="1:70" hidden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</row>
    <row r="93" spans="1:70" hidden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</row>
    <row r="94" spans="1:70" hidden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</row>
    <row r="95" spans="1:70" hidden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</row>
    <row r="96" spans="1:70" hidden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</row>
    <row r="97" spans="1:70" hidden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</row>
    <row r="98" spans="1:70" hidden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</row>
    <row r="99" spans="1:70" hidden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</row>
    <row r="100" spans="1:70" hidden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</row>
    <row r="101" spans="1:70" hidden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</row>
    <row r="102" spans="1:70" hidden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</row>
    <row r="103" spans="1:70" hidden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</row>
    <row r="104" spans="1:70" hidden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</row>
    <row r="105" spans="1:70" hidden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</row>
    <row r="106" spans="1:70" hidden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</row>
    <row r="107" spans="1:70" hidden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</row>
    <row r="108" spans="1:70" hidden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</row>
    <row r="109" spans="1:70" hidden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</row>
    <row r="110" spans="1:70" hidden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</row>
    <row r="111" spans="1:70" hidden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</row>
    <row r="112" spans="1:70" hidden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</row>
    <row r="113" spans="1:70" hidden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</row>
    <row r="114" spans="1:70" hidden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</row>
    <row r="115" spans="1:70" hidden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</row>
    <row r="116" spans="1:70" hidden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</row>
    <row r="117" spans="1:70" hidden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</row>
    <row r="118" spans="1:70" hidden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</row>
    <row r="119" spans="1:70" hidden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</row>
    <row r="120" spans="1:70" hidden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</row>
    <row r="121" spans="1:70" hidden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</row>
    <row r="122" spans="1:70" hidden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</row>
    <row r="123" spans="1:70" hidden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</row>
    <row r="124" spans="1:70" hidden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</row>
    <row r="125" spans="1:70" hidden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</row>
    <row r="126" spans="1:70" hidden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</row>
    <row r="127" spans="1:70" hidden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</row>
    <row r="128" spans="1:70" hidden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</row>
    <row r="129" spans="1:70" hidden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</row>
    <row r="130" spans="1:70" hidden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</row>
    <row r="131" spans="1:70" hidden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</row>
    <row r="132" spans="1:70" hidden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</row>
    <row r="133" spans="1:70" hidden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</row>
    <row r="134" spans="1:70" hidden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</row>
    <row r="135" spans="1:70" hidden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</row>
    <row r="136" spans="1:70" hidden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</row>
    <row r="137" spans="1:70" hidden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</row>
    <row r="138" spans="1:70" hidden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</row>
    <row r="139" spans="1:70" hidden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</row>
    <row r="140" spans="1:70" hidden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</row>
    <row r="141" spans="1:70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</row>
    <row r="142" spans="1:70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</row>
    <row r="143" spans="1:70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</row>
    <row r="144" spans="1:70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</row>
    <row r="145" spans="1:70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</row>
    <row r="146" spans="1:70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</row>
    <row r="147" spans="1:70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</row>
    <row r="148" spans="1:70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</row>
    <row r="149" spans="1:70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</row>
    <row r="150" spans="1:70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</row>
    <row r="151" spans="1:70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</row>
    <row r="152" spans="1:70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</row>
    <row r="153" spans="1:70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</row>
    <row r="154" spans="1:70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</row>
    <row r="155" spans="1:70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</row>
    <row r="156" spans="1:70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</row>
    <row r="157" spans="1:70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</row>
    <row r="158" spans="1:70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</row>
    <row r="159" spans="1:70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</row>
    <row r="160" spans="1:70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</row>
    <row r="161" spans="1:70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</row>
    <row r="162" spans="1:70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</row>
    <row r="163" spans="1:70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</row>
    <row r="164" spans="1:70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</row>
    <row r="165" spans="1:70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</row>
    <row r="166" spans="1:70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</row>
    <row r="167" spans="1:70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</row>
    <row r="168" spans="1:70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</row>
    <row r="169" spans="1:70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</row>
    <row r="170" spans="1:70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</row>
    <row r="171" spans="1:70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</row>
    <row r="172" spans="1:70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</row>
    <row r="173" spans="1:70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</row>
    <row r="174" spans="1:70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</row>
    <row r="175" spans="1:70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</row>
    <row r="176" spans="1:70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</row>
    <row r="177" spans="1:70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</row>
    <row r="178" spans="1:70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</row>
    <row r="179" spans="1:70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</row>
    <row r="180" spans="1:70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</row>
    <row r="181" spans="1:70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</row>
    <row r="182" spans="1:70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</row>
    <row r="183" spans="1:70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</row>
    <row r="184" spans="1:70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</row>
    <row r="185" spans="1:70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</row>
    <row r="186" spans="1:70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</row>
    <row r="187" spans="1:70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</row>
    <row r="188" spans="1:70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</row>
    <row r="189" spans="1:70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</row>
    <row r="190" spans="1:70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</row>
    <row r="191" spans="1:70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</row>
    <row r="192" spans="1:70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</row>
    <row r="193" spans="1:70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</row>
    <row r="194" spans="1:70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</row>
    <row r="195" spans="1:70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</row>
    <row r="196" spans="1:70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</row>
    <row r="197" spans="1:70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</row>
    <row r="198" spans="1:70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</row>
    <row r="199" spans="1:70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</row>
    <row r="200" spans="1:70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</row>
    <row r="201" spans="1:70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</row>
    <row r="202" spans="1:70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</row>
    <row r="203" spans="1:70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</row>
    <row r="204" spans="1:70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</row>
    <row r="205" spans="1:70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</row>
    <row r="206" spans="1:70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</row>
    <row r="207" spans="1:70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</row>
    <row r="208" spans="1:70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</row>
    <row r="209" spans="1:70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</row>
    <row r="210" spans="1:70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</row>
    <row r="211" spans="1:70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</row>
    <row r="212" spans="1:70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</row>
    <row r="213" spans="1:70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</row>
    <row r="214" spans="1:70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</row>
    <row r="215" spans="1:70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</row>
    <row r="216" spans="1:70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</row>
    <row r="217" spans="1:70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</row>
    <row r="218" spans="1:70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</row>
    <row r="219" spans="1:70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</row>
    <row r="220" spans="1:70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</row>
    <row r="221" spans="1:70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</row>
    <row r="222" spans="1:70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</row>
    <row r="223" spans="1:70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</row>
    <row r="224" spans="1:70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</row>
    <row r="225" spans="1:70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</row>
    <row r="226" spans="1:70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</row>
    <row r="227" spans="1:70" x14ac:dyDescent="0.3">
      <c r="A227" s="3"/>
      <c r="B227" s="3"/>
      <c r="C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</row>
    <row r="228" spans="1:70" x14ac:dyDescent="0.3">
      <c r="A228" s="3"/>
      <c r="B228" s="3"/>
      <c r="C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</row>
    <row r="229" spans="1:70" x14ac:dyDescent="0.3">
      <c r="A229" s="3"/>
      <c r="B229" s="3"/>
      <c r="C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</row>
    <row r="230" spans="1:70" x14ac:dyDescent="0.3">
      <c r="A230" s="3"/>
      <c r="B230" s="3"/>
      <c r="C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</row>
  </sheetData>
  <mergeCells count="24">
    <mergeCell ref="AK20:AL20"/>
    <mergeCell ref="S1:U1"/>
    <mergeCell ref="W20:X20"/>
    <mergeCell ref="Y20:Z20"/>
    <mergeCell ref="AA20:AB20"/>
    <mergeCell ref="AC20:AD20"/>
    <mergeCell ref="AE20:AF20"/>
    <mergeCell ref="S20:T20"/>
    <mergeCell ref="U20:V20"/>
    <mergeCell ref="S4:U4"/>
    <mergeCell ref="O20:P20"/>
    <mergeCell ref="Q20:R20"/>
    <mergeCell ref="F12:H12"/>
    <mergeCell ref="AG20:AH20"/>
    <mergeCell ref="AI20:AJ20"/>
    <mergeCell ref="D45:J45"/>
    <mergeCell ref="F10:L10"/>
    <mergeCell ref="D7:H7"/>
    <mergeCell ref="D44:N44"/>
    <mergeCell ref="D34:J34"/>
    <mergeCell ref="F8:G9"/>
    <mergeCell ref="M20:N20"/>
    <mergeCell ref="D10:E10"/>
    <mergeCell ref="D20:E20"/>
  </mergeCells>
  <dataValidations disablePrompts="1" count="1">
    <dataValidation type="list" allowBlank="1" showInputMessage="1" showErrorMessage="1" sqref="B9" xr:uid="{F08B5ABD-2196-4CBA-B8A4-EBD511218259}">
      <formula1>$AS$5:$AS$17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CE9B0C95-1F1D-4B82-AD2C-F9158C99B835}">
          <x14:formula1>
            <xm:f>tables!$I$20:$I$87</xm:f>
          </x14:formula1>
          <xm:sqref>J13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2A735-7E88-4D39-B1CB-931048BC03AA}">
  <dimension ref="A1:BR230"/>
  <sheetViews>
    <sheetView tabSelected="1" topLeftCell="C48" zoomScale="70" zoomScaleNormal="70" workbookViewId="0">
      <selection activeCell="F58" sqref="F58:S83"/>
    </sheetView>
  </sheetViews>
  <sheetFormatPr defaultRowHeight="14.4" x14ac:dyDescent="0.3"/>
  <cols>
    <col min="1" max="1" width="10.109375" hidden="1" customWidth="1"/>
    <col min="2" max="2" width="13" hidden="1" customWidth="1"/>
    <col min="4" max="4" width="13.6640625" customWidth="1"/>
    <col min="5" max="5" width="13.88671875" customWidth="1"/>
    <col min="6" max="6" width="9" bestFit="1" customWidth="1"/>
    <col min="7" max="7" width="10.109375" customWidth="1"/>
    <col min="8" max="8" width="13" bestFit="1" customWidth="1"/>
    <col min="9" max="10" width="9" bestFit="1" customWidth="1"/>
    <col min="11" max="11" width="11.109375" bestFit="1" customWidth="1"/>
    <col min="12" max="12" width="9" bestFit="1" customWidth="1"/>
    <col min="13" max="13" width="14.88671875" hidden="1" customWidth="1"/>
    <col min="14" max="14" width="14.5546875" hidden="1" customWidth="1"/>
    <col min="15" max="15" width="13.109375" bestFit="1" customWidth="1"/>
    <col min="16" max="16" width="16.77734375" bestFit="1" customWidth="1"/>
    <col min="17" max="17" width="13.109375" bestFit="1" customWidth="1"/>
    <col min="18" max="18" width="15" bestFit="1" customWidth="1"/>
    <col min="19" max="19" width="14.88671875" customWidth="1"/>
    <col min="20" max="20" width="13.109375" hidden="1" customWidth="1"/>
    <col min="22" max="22" width="14.88671875" bestFit="1" customWidth="1"/>
    <col min="23" max="23" width="10.109375" bestFit="1" customWidth="1"/>
    <col min="24" max="25" width="14.88671875" bestFit="1" customWidth="1"/>
    <col min="26" max="26" width="13.5546875" bestFit="1" customWidth="1"/>
    <col min="28" max="28" width="14.88671875" bestFit="1" customWidth="1"/>
    <col min="30" max="30" width="14.88671875" bestFit="1" customWidth="1"/>
    <col min="32" max="32" width="14.88671875" bestFit="1" customWidth="1"/>
    <col min="34" max="34" width="14.88671875" bestFit="1" customWidth="1"/>
    <col min="36" max="36" width="14.88671875" bestFit="1" customWidth="1"/>
    <col min="38" max="38" width="14.88671875" bestFit="1" customWidth="1"/>
    <col min="39" max="39" width="8.88671875" style="3"/>
  </cols>
  <sheetData>
    <row r="1" spans="1:67" hidden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27" t="s">
        <v>86</v>
      </c>
      <c r="T1" s="127"/>
      <c r="U1" s="127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</row>
    <row r="2" spans="1:67" hidden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L2" s="3"/>
      <c r="M2" t="s">
        <v>32</v>
      </c>
      <c r="N2" t="s">
        <v>62</v>
      </c>
      <c r="O2" t="s">
        <v>72</v>
      </c>
      <c r="P2" t="s">
        <v>73</v>
      </c>
      <c r="Q2" t="s">
        <v>85</v>
      </c>
      <c r="R2" t="s">
        <v>75</v>
      </c>
      <c r="S2" t="s">
        <v>80</v>
      </c>
      <c r="T2" t="s">
        <v>81</v>
      </c>
      <c r="U2" t="s">
        <v>79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67" hidden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>
        <f>B9</f>
        <v>0.97</v>
      </c>
      <c r="N3" s="37">
        <f>B21</f>
        <v>1.0857539239668828E-7</v>
      </c>
      <c r="O3" s="28">
        <f>(G17*B21)/(B15*10^-6)</f>
        <v>1.0178943037189537E-3</v>
      </c>
      <c r="P3" s="38">
        <f>(G16*B21)/(B15*10^-6)</f>
        <v>0.12764071427586868</v>
      </c>
      <c r="Q3" s="39">
        <f>(8*B9*E30)+(9*B9*E31)+(G13*(1-B9)*E32)+(47*E33)</f>
        <v>4913.0500004034184</v>
      </c>
      <c r="R3" s="40">
        <f>F27</f>
        <v>2351.5287741201496</v>
      </c>
      <c r="S3" s="30">
        <f>(B9*AR5)</f>
        <v>251.42399999999998</v>
      </c>
      <c r="T3" s="30">
        <f>((AR6*G14)+(G15*AR7))</f>
        <v>5164.4740000000002</v>
      </c>
      <c r="U3" s="41">
        <f>((AR6*G14)+(G15*AR7))-(B9*AR5)</f>
        <v>4913.05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N3" s="3"/>
      <c r="AO3" s="3"/>
      <c r="AP3" s="8"/>
      <c r="AQ3" s="49"/>
      <c r="AR3" s="49"/>
      <c r="AS3" s="49"/>
      <c r="AT3" s="9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67" ht="15" hidden="1" thickBo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53" t="s">
        <v>86</v>
      </c>
      <c r="T4" s="153"/>
      <c r="U4" s="15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N4" s="3"/>
      <c r="AO4" s="3"/>
      <c r="AP4" s="10"/>
      <c r="AQ4" s="47"/>
      <c r="AR4" s="47" t="s">
        <v>82</v>
      </c>
      <c r="AS4" s="48" t="s">
        <v>32</v>
      </c>
      <c r="AT4" s="11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67" ht="15" hidden="1" thickBo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4" t="s">
        <v>32</v>
      </c>
      <c r="N5" s="35" t="s">
        <v>62</v>
      </c>
      <c r="O5" s="24" t="s">
        <v>72</v>
      </c>
      <c r="P5" s="24" t="s">
        <v>73</v>
      </c>
      <c r="Q5" s="24" t="s">
        <v>85</v>
      </c>
      <c r="R5" s="24" t="s">
        <v>75</v>
      </c>
      <c r="S5" s="24" t="s">
        <v>80</v>
      </c>
      <c r="T5" s="24" t="s">
        <v>81</v>
      </c>
      <c r="U5" s="36" t="s">
        <v>79</v>
      </c>
      <c r="V5" s="24" t="s">
        <v>91</v>
      </c>
      <c r="W5" s="42" t="s">
        <v>92</v>
      </c>
      <c r="X5" s="42" t="s">
        <v>93</v>
      </c>
      <c r="Y5" s="42" t="s">
        <v>94</v>
      </c>
      <c r="Z5" s="24" t="s">
        <v>90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N5" s="3"/>
      <c r="AO5" s="3"/>
      <c r="AP5" s="10"/>
      <c r="AQ5" s="47" t="s">
        <v>76</v>
      </c>
      <c r="AR5" s="47">
        <v>259.2</v>
      </c>
      <c r="AS5" s="47">
        <v>1</v>
      </c>
      <c r="AT5" s="11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67" hidden="1" x14ac:dyDescent="0.3">
      <c r="A6" s="3"/>
      <c r="B6" s="3"/>
      <c r="C6" s="3"/>
      <c r="D6" s="3" t="s">
        <v>42</v>
      </c>
      <c r="E6" s="3"/>
      <c r="F6" s="3"/>
      <c r="G6" s="3"/>
      <c r="H6" s="3"/>
      <c r="I6" s="3"/>
      <c r="J6" s="3"/>
      <c r="K6" s="3"/>
      <c r="L6" s="3"/>
      <c r="M6" s="32">
        <v>1</v>
      </c>
      <c r="N6" s="33">
        <v>1.0852157453893067E-7</v>
      </c>
      <c r="O6" s="33">
        <v>0</v>
      </c>
      <c r="P6" s="33">
        <v>0.12757744625856435</v>
      </c>
      <c r="Q6" s="51">
        <v>5064.9999991441364</v>
      </c>
      <c r="R6" s="51">
        <v>2398.8488373977302</v>
      </c>
      <c r="S6" s="51">
        <v>259.2</v>
      </c>
      <c r="T6" s="51">
        <v>5324.2000000000007</v>
      </c>
      <c r="U6" s="51">
        <v>5065.0000000000009</v>
      </c>
      <c r="V6" s="52">
        <v>8</v>
      </c>
      <c r="W6" s="53">
        <v>9</v>
      </c>
      <c r="X6" s="53">
        <v>0</v>
      </c>
      <c r="Y6" s="51">
        <v>47.023809523809526</v>
      </c>
      <c r="Z6" s="52">
        <f>(SUM(N22:N37)/(N6*(V6+W6+X6+Y6)))*10^6</f>
        <v>0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N6" s="3"/>
      <c r="AO6" s="3"/>
      <c r="AP6" s="10"/>
      <c r="AQ6" s="47" t="s">
        <v>0</v>
      </c>
      <c r="AR6" s="47">
        <v>393.5</v>
      </c>
      <c r="AS6" s="47">
        <v>0.99</v>
      </c>
      <c r="AT6" s="11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67" hidden="1" x14ac:dyDescent="0.3">
      <c r="C7" s="3"/>
      <c r="D7" s="154" t="s">
        <v>46</v>
      </c>
      <c r="E7" s="154"/>
      <c r="F7" s="154"/>
      <c r="G7" s="154"/>
      <c r="H7" s="154"/>
      <c r="I7" s="3"/>
      <c r="J7" s="3"/>
      <c r="K7" s="3"/>
      <c r="L7" s="3"/>
      <c r="M7" s="4">
        <v>0.99</v>
      </c>
      <c r="N7" s="31">
        <v>1.0853950789586075E-7</v>
      </c>
      <c r="O7" s="31">
        <v>3.3918596217456516E-4</v>
      </c>
      <c r="P7" s="31">
        <v>0.1275985286275744</v>
      </c>
      <c r="Q7" s="5">
        <v>5014.399999995112</v>
      </c>
      <c r="R7" s="5">
        <v>2383.1577532658721</v>
      </c>
      <c r="S7" s="5">
        <v>256.608</v>
      </c>
      <c r="T7" s="5">
        <v>5270.9580000000005</v>
      </c>
      <c r="U7" s="5">
        <v>5014.3500000000004</v>
      </c>
      <c r="V7" s="5">
        <v>7.92</v>
      </c>
      <c r="W7" s="54">
        <v>8.91</v>
      </c>
      <c r="X7" s="54">
        <v>0.12500000000000011</v>
      </c>
      <c r="Y7" s="54">
        <v>47.023809523809526</v>
      </c>
      <c r="Z7" s="52">
        <f>(SUM(P22:P37)/(N7*(V7+W7+X7+Y7)))*10^6</f>
        <v>20281.80120755902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N7" s="3"/>
      <c r="AO7" s="3"/>
      <c r="AP7" s="10"/>
      <c r="AQ7" s="47" t="s">
        <v>77</v>
      </c>
      <c r="AR7" s="47">
        <v>241.8</v>
      </c>
      <c r="AS7" s="47">
        <v>0.98</v>
      </c>
      <c r="AT7" s="11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67" hidden="1" x14ac:dyDescent="0.3">
      <c r="A8" s="3"/>
      <c r="B8" s="3"/>
      <c r="C8" s="3"/>
      <c r="D8" s="3" t="s">
        <v>9</v>
      </c>
      <c r="E8" s="25">
        <v>0.21</v>
      </c>
      <c r="F8" s="140" t="s">
        <v>98</v>
      </c>
      <c r="G8" s="141"/>
      <c r="H8" s="3"/>
      <c r="J8" s="3"/>
      <c r="K8" s="3"/>
      <c r="L8" s="3"/>
      <c r="M8" s="4">
        <v>0.98</v>
      </c>
      <c r="N8" s="31">
        <v>1.0855744718080002E-7</v>
      </c>
      <c r="O8" s="31">
        <v>6.7848404488000079E-4</v>
      </c>
      <c r="P8" s="31">
        <v>0.12761961796552385</v>
      </c>
      <c r="Q8" s="5">
        <v>4963.700000133842</v>
      </c>
      <c r="R8" s="5">
        <v>2367.3664259538459</v>
      </c>
      <c r="S8" s="5">
        <v>254.01599999999999</v>
      </c>
      <c r="T8" s="5">
        <v>5217.7160000000003</v>
      </c>
      <c r="U8" s="5">
        <v>4963.7000000000007</v>
      </c>
      <c r="V8" s="5">
        <v>7.84</v>
      </c>
      <c r="W8" s="54">
        <v>8.82</v>
      </c>
      <c r="X8" s="54">
        <v>0.25000000000000022</v>
      </c>
      <c r="Y8" s="5">
        <v>47.023809523809526</v>
      </c>
      <c r="Z8" s="52">
        <f>(SUM(R$22:R$37)/(N8*(V8+W8+X8+Y8)))*10^6</f>
        <v>24468.036413845406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N8" s="3"/>
      <c r="AO8" s="3"/>
      <c r="AP8" s="10"/>
      <c r="AQ8" s="47" t="s">
        <v>78</v>
      </c>
      <c r="AR8" s="47">
        <v>285.8</v>
      </c>
      <c r="AS8" s="47">
        <v>0.97</v>
      </c>
      <c r="AT8" s="11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67" hidden="1" x14ac:dyDescent="0.3">
      <c r="A9" s="70" t="s">
        <v>32</v>
      </c>
      <c r="B9" s="69">
        <v>0.97</v>
      </c>
      <c r="C9" s="3"/>
      <c r="D9" s="3" t="s">
        <v>8</v>
      </c>
      <c r="E9" s="14">
        <f>1-E8</f>
        <v>0.79</v>
      </c>
      <c r="F9" s="142"/>
      <c r="G9" s="143"/>
      <c r="H9" s="26">
        <f>E9/E8</f>
        <v>3.7619047619047623</v>
      </c>
      <c r="I9" s="3"/>
      <c r="J9" s="3"/>
      <c r="K9" s="3"/>
      <c r="L9" s="3"/>
      <c r="M9" s="4">
        <v>0.97</v>
      </c>
      <c r="N9" s="31">
        <v>1.0857539239668828E-7</v>
      </c>
      <c r="O9" s="31">
        <v>1.0178943037189537E-3</v>
      </c>
      <c r="P9" s="31">
        <v>0.12764071427586868</v>
      </c>
      <c r="Q9" s="5">
        <v>4913.0000002981278</v>
      </c>
      <c r="R9" s="5">
        <v>2351.5100586310682</v>
      </c>
      <c r="S9" s="5">
        <v>251.42399999999998</v>
      </c>
      <c r="T9" s="5">
        <v>5164.4740000000002</v>
      </c>
      <c r="U9" s="5">
        <v>4913.05</v>
      </c>
      <c r="V9" s="5">
        <v>7.76</v>
      </c>
      <c r="W9" s="54">
        <v>8.73</v>
      </c>
      <c r="X9" s="54">
        <v>0.37500000000000033</v>
      </c>
      <c r="Y9" s="54">
        <v>47.023809523809526</v>
      </c>
      <c r="Z9" s="80">
        <f>(SUM(T$22:T$37)/(N9*(V9+W9+X9+Y9)))*10^6</f>
        <v>25492.387894904801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N9" s="3"/>
      <c r="AO9" s="3"/>
      <c r="AP9" s="10"/>
      <c r="AQ9" s="47"/>
      <c r="AR9" s="47"/>
      <c r="AS9" s="47">
        <v>0.96</v>
      </c>
      <c r="AT9" s="11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67" hidden="1" x14ac:dyDescent="0.3">
      <c r="A10" s="71" t="s">
        <v>63</v>
      </c>
      <c r="B10" s="11">
        <v>0.4</v>
      </c>
      <c r="C10" s="3"/>
      <c r="D10" s="129" t="s">
        <v>43</v>
      </c>
      <c r="E10" s="129"/>
      <c r="F10" s="154" t="s">
        <v>61</v>
      </c>
      <c r="G10" s="154"/>
      <c r="H10" s="154"/>
      <c r="I10" s="154"/>
      <c r="J10" s="154"/>
      <c r="K10" s="154"/>
      <c r="L10" s="155"/>
      <c r="M10" s="4">
        <v>0.96</v>
      </c>
      <c r="N10" s="31">
        <v>1.0859334354646729E-7</v>
      </c>
      <c r="O10" s="31">
        <v>1.3574167943308424E-3</v>
      </c>
      <c r="P10" s="31">
        <v>0.12766181756206721</v>
      </c>
      <c r="Q10" s="5">
        <v>4862.4000004942882</v>
      </c>
      <c r="R10" s="5">
        <v>2335.6241556218988</v>
      </c>
      <c r="S10" s="5">
        <v>248.83199999999999</v>
      </c>
      <c r="T10" s="5">
        <v>5111.232</v>
      </c>
      <c r="U10" s="5">
        <v>4862.3999999999996</v>
      </c>
      <c r="V10" s="5">
        <v>7.68</v>
      </c>
      <c r="W10" s="54">
        <v>8.64</v>
      </c>
      <c r="X10" s="54">
        <v>0.50000000000000044</v>
      </c>
      <c r="Y10" s="54">
        <v>47.023809523809526</v>
      </c>
      <c r="Z10" s="52">
        <f>(SUM(V$22:V$37)/(N10*(V10+W10+X10+Y10)))*10^6</f>
        <v>24978.406702081542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N10" s="3"/>
      <c r="AO10" s="3"/>
      <c r="AP10" s="10"/>
      <c r="AQ10" s="47"/>
      <c r="AR10" s="47"/>
      <c r="AS10" s="47">
        <v>0.95</v>
      </c>
      <c r="AT10" s="11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hidden="1" x14ac:dyDescent="0.3">
      <c r="A11" s="74"/>
      <c r="B11" s="45"/>
      <c r="C11" s="3"/>
      <c r="D11" s="3" t="s">
        <v>44</v>
      </c>
      <c r="E11" s="3" t="s">
        <v>45</v>
      </c>
      <c r="F11" s="3"/>
      <c r="G11" s="3"/>
      <c r="H11" s="3"/>
      <c r="I11" s="3"/>
      <c r="J11" s="3"/>
      <c r="K11" s="3"/>
      <c r="L11" s="3"/>
      <c r="M11" s="4">
        <v>0.95</v>
      </c>
      <c r="N11" s="31">
        <v>1.0861130063308073E-7</v>
      </c>
      <c r="O11" s="31">
        <v>1.6970515723918882E-3</v>
      </c>
      <c r="P11" s="31">
        <v>0.12768292782758006</v>
      </c>
      <c r="Q11" s="5">
        <v>4811.8000007146293</v>
      </c>
      <c r="R11" s="5">
        <v>2319.6693479727683</v>
      </c>
      <c r="S11" s="5">
        <v>246.23999999999998</v>
      </c>
      <c r="T11" s="5">
        <v>5057.99</v>
      </c>
      <c r="U11" s="5">
        <v>4811.75</v>
      </c>
      <c r="V11" s="5">
        <v>7.6</v>
      </c>
      <c r="W11" s="54">
        <v>8.5499999999999989</v>
      </c>
      <c r="X11" s="54">
        <v>0.62500000000000056</v>
      </c>
      <c r="Y11" s="54">
        <v>47.023809523809526</v>
      </c>
      <c r="Z11" s="52">
        <f>(SUM(X$22:X$37)/(N11*(V11+W11+X11+Y11)))*10^6</f>
        <v>23627.495287562986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N11" s="3"/>
      <c r="AO11" s="3"/>
      <c r="AP11" s="10"/>
      <c r="AQ11" s="47"/>
      <c r="AR11" s="47"/>
      <c r="AS11" s="47">
        <v>0.9</v>
      </c>
      <c r="AT11" s="11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idden="1" x14ac:dyDescent="0.3">
      <c r="A12" s="73" t="s">
        <v>29</v>
      </c>
      <c r="B12" s="11">
        <v>1600</v>
      </c>
      <c r="C12" s="3"/>
      <c r="D12" s="6"/>
      <c r="E12" s="67"/>
      <c r="F12" s="149" t="s">
        <v>60</v>
      </c>
      <c r="G12" s="149"/>
      <c r="H12" s="149"/>
      <c r="I12" s="67"/>
      <c r="J12" s="68"/>
      <c r="K12" s="3"/>
      <c r="L12" s="3"/>
      <c r="M12" s="4">
        <v>0.9</v>
      </c>
      <c r="N12" s="31">
        <v>1.0870117522183064E-7</v>
      </c>
      <c r="O12" s="31">
        <v>3.3969117256822073E-3</v>
      </c>
      <c r="P12" s="31">
        <v>0.12778858396614021</v>
      </c>
      <c r="Q12" s="5">
        <v>4558.5005116222073</v>
      </c>
      <c r="R12" s="5">
        <v>2238.6757400117017</v>
      </c>
      <c r="S12" s="5">
        <v>233.28</v>
      </c>
      <c r="T12" s="5">
        <v>4791.7800000000007</v>
      </c>
      <c r="U12" s="5">
        <v>4558.5000000000009</v>
      </c>
      <c r="V12" s="5">
        <v>7.2</v>
      </c>
      <c r="W12" s="54">
        <v>8.1</v>
      </c>
      <c r="X12" s="54">
        <v>1.2499999999999998</v>
      </c>
      <c r="Y12" s="54">
        <v>47.023809523809526</v>
      </c>
      <c r="Z12" s="52">
        <f>(SUM(Z$22:Z$37)/(N12*(V12+W12+X12+Y12)))*10^6</f>
        <v>13788.07349852954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N12" s="3"/>
      <c r="AO12" s="3"/>
      <c r="AP12" s="10"/>
      <c r="AQ12" s="47"/>
      <c r="AR12" s="47"/>
      <c r="AS12" s="47">
        <v>0.85</v>
      </c>
      <c r="AT12" s="11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67" hidden="1" x14ac:dyDescent="0.3">
      <c r="A13" s="73" t="s">
        <v>30</v>
      </c>
      <c r="B13" s="11">
        <v>4</v>
      </c>
      <c r="C13" s="3"/>
      <c r="D13" s="89" t="s">
        <v>47</v>
      </c>
      <c r="E13" s="43">
        <f>8*B9</f>
        <v>7.76</v>
      </c>
      <c r="F13" s="89" t="s">
        <v>97</v>
      </c>
      <c r="G13" s="43">
        <v>12.5</v>
      </c>
      <c r="H13" s="3"/>
      <c r="I13" s="65" t="s">
        <v>84</v>
      </c>
      <c r="J13" s="66">
        <v>2950</v>
      </c>
      <c r="K13" s="3"/>
      <c r="L13" s="3"/>
      <c r="M13" s="4">
        <v>0.85</v>
      </c>
      <c r="N13" s="31">
        <v>1.0879119867411829E-7</v>
      </c>
      <c r="O13" s="31">
        <v>5.0995874378492959E-3</v>
      </c>
      <c r="P13" s="31">
        <v>0.12789441510796645</v>
      </c>
      <c r="Q13" s="5">
        <v>4305.3000000125703</v>
      </c>
      <c r="R13" s="5">
        <v>2155.6846330638377</v>
      </c>
      <c r="S13" s="5">
        <v>220.32</v>
      </c>
      <c r="T13" s="5">
        <v>4525.57</v>
      </c>
      <c r="U13" s="5">
        <v>4305.25</v>
      </c>
      <c r="V13" s="5">
        <v>6.8</v>
      </c>
      <c r="W13" s="54">
        <v>7.6499999999999995</v>
      </c>
      <c r="X13" s="54">
        <v>1.8750000000000002</v>
      </c>
      <c r="Y13" s="54">
        <v>47.023809523809526</v>
      </c>
      <c r="Z13" s="52">
        <f>(SUM(AB$22:AB$37)/(N13*(V13+W13+X13+Y13)))*10^6</f>
        <v>6365.8983873006409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N13" s="3"/>
      <c r="AO13" s="3"/>
      <c r="AP13" s="10"/>
      <c r="AQ13" s="47"/>
      <c r="AR13" s="47"/>
      <c r="AS13" s="47">
        <v>0.8</v>
      </c>
      <c r="AT13" s="11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hidden="1" x14ac:dyDescent="0.3">
      <c r="A14" s="71" t="s">
        <v>64</v>
      </c>
      <c r="B14" s="45">
        <f>B12/B13</f>
        <v>400</v>
      </c>
      <c r="C14" s="3"/>
      <c r="D14" s="89" t="s">
        <v>48</v>
      </c>
      <c r="E14" s="4">
        <f>18*B9</f>
        <v>17.46</v>
      </c>
      <c r="F14" s="89" t="s">
        <v>0</v>
      </c>
      <c r="G14" s="4">
        <f>8*B9</f>
        <v>7.76</v>
      </c>
      <c r="H14" s="3" t="s">
        <v>68</v>
      </c>
      <c r="I14" s="63" t="s">
        <v>83</v>
      </c>
      <c r="J14" s="11">
        <f>VLOOKUP(J13,tables!B19:D87,3,FALSE)</f>
        <v>149.78</v>
      </c>
      <c r="K14" s="3"/>
      <c r="L14" s="3"/>
      <c r="M14" s="4">
        <v>0.8</v>
      </c>
      <c r="N14" s="31">
        <v>1.088813713601049E-7</v>
      </c>
      <c r="O14" s="31">
        <v>6.8050857100065559E-3</v>
      </c>
      <c r="P14" s="31">
        <v>0.1280004216882186</v>
      </c>
      <c r="Q14" s="5">
        <v>4052.0000000399205</v>
      </c>
      <c r="R14" s="5">
        <v>2070.3634191154556</v>
      </c>
      <c r="S14" s="5">
        <v>207.36</v>
      </c>
      <c r="T14" s="5">
        <v>4259.3600000000006</v>
      </c>
      <c r="U14" s="5">
        <v>4052.0000000000005</v>
      </c>
      <c r="V14" s="5">
        <v>6.4</v>
      </c>
      <c r="W14" s="54">
        <v>7.2</v>
      </c>
      <c r="X14" s="54">
        <v>2.4999999999999996</v>
      </c>
      <c r="Y14" s="54">
        <v>47.023809523809526</v>
      </c>
      <c r="Z14" s="52">
        <f>(SUM(AD$22:AD$37)/(N14*(V14+W14+X14+Y14)))*10^6</f>
        <v>2486.3388785224925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N14" s="3"/>
      <c r="AO14" s="3"/>
      <c r="AP14" s="10"/>
      <c r="AQ14" s="47"/>
      <c r="AR14" s="47"/>
      <c r="AS14" s="47">
        <v>0.75</v>
      </c>
      <c r="AT14" s="11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idden="1" x14ac:dyDescent="0.3">
      <c r="A15" s="74" t="s">
        <v>74</v>
      </c>
      <c r="B15" s="45">
        <f>B14*0.1</f>
        <v>40</v>
      </c>
      <c r="C15" s="3"/>
      <c r="D15" s="3"/>
      <c r="E15" s="3"/>
      <c r="F15" s="89" t="s">
        <v>2</v>
      </c>
      <c r="G15" s="4">
        <f>9*B9</f>
        <v>8.73</v>
      </c>
      <c r="H15" s="3" t="s">
        <v>69</v>
      </c>
      <c r="I15" s="63" t="s">
        <v>83</v>
      </c>
      <c r="J15" s="11">
        <f>VLOOKUP(J13,tables!I19:K87,3,FALSE)</f>
        <v>123.77</v>
      </c>
      <c r="K15" s="3"/>
      <c r="L15" s="3"/>
      <c r="M15" s="4">
        <v>0.75</v>
      </c>
      <c r="N15" s="31">
        <v>1.0897169365117985E-7</v>
      </c>
      <c r="O15" s="31">
        <v>8.5134135664984272E-3</v>
      </c>
      <c r="P15" s="31">
        <v>0.12810660414350014</v>
      </c>
      <c r="Q15" s="5">
        <v>2940.4000353266138</v>
      </c>
      <c r="R15" s="5">
        <v>1628.7845788759134</v>
      </c>
      <c r="S15" s="5">
        <v>194.39999999999998</v>
      </c>
      <c r="T15" s="5">
        <v>3134.76</v>
      </c>
      <c r="U15" s="5">
        <v>2940.36</v>
      </c>
      <c r="V15" s="5">
        <v>6</v>
      </c>
      <c r="W15" s="54">
        <v>6.75</v>
      </c>
      <c r="X15" s="54">
        <v>3.125</v>
      </c>
      <c r="Y15" s="54">
        <v>47.023809523809526</v>
      </c>
      <c r="Z15" s="52">
        <f>(SUM(AF$22:AF$37)/(N15*(V15+W15+X15+Y15)))*10^6</f>
        <v>1.6566160839802588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3"/>
      <c r="AO15" s="3"/>
      <c r="AP15" s="10"/>
      <c r="AQ15" s="47"/>
      <c r="AR15" s="47"/>
      <c r="AS15" s="47">
        <v>0.7</v>
      </c>
      <c r="AT15" s="11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idden="1" x14ac:dyDescent="0.3">
      <c r="A16" s="73" t="s">
        <v>31</v>
      </c>
      <c r="B16" s="11">
        <v>1800</v>
      </c>
      <c r="C16" s="3"/>
      <c r="D16" s="3"/>
      <c r="E16" s="3"/>
      <c r="F16" s="89" t="s">
        <v>8</v>
      </c>
      <c r="G16" s="5">
        <f>H9*G13</f>
        <v>47.023809523809526</v>
      </c>
      <c r="H16" s="3" t="s">
        <v>71</v>
      </c>
      <c r="I16" s="64" t="s">
        <v>83</v>
      </c>
      <c r="J16" s="13">
        <f>VLOOKUP(J13,tables!W19:Y87,3,FALSE)</f>
        <v>90.88</v>
      </c>
      <c r="K16" s="3"/>
      <c r="L16" s="3"/>
      <c r="M16" s="4">
        <v>0.7</v>
      </c>
      <c r="N16" s="31">
        <v>1.090621659199659E-7</v>
      </c>
      <c r="O16" s="31">
        <v>1.0224578054996806E-2</v>
      </c>
      <c r="P16" s="31">
        <v>0.12821296291186471</v>
      </c>
      <c r="Q16" s="5">
        <v>2795.9002145148388</v>
      </c>
      <c r="R16" s="5">
        <v>1577.4974048613462</v>
      </c>
      <c r="S16" s="5">
        <v>181.43999999999997</v>
      </c>
      <c r="T16" s="5">
        <v>2977.36</v>
      </c>
      <c r="U16" s="5">
        <v>2795.92</v>
      </c>
      <c r="V16" s="5">
        <v>5.6</v>
      </c>
      <c r="W16" s="54">
        <v>6.3</v>
      </c>
      <c r="X16" s="54">
        <v>3.7500000000000004</v>
      </c>
      <c r="Y16" s="54">
        <v>47.023809523809526</v>
      </c>
      <c r="Z16" s="52">
        <f>(SUM(AH$22:AH$37)/(N16*(V16+W16+X16+Y16)))*10^6</f>
        <v>0.58885917323162518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3"/>
      <c r="AO16" s="3"/>
      <c r="AP16" s="10"/>
      <c r="AQ16" s="47"/>
      <c r="AR16" s="47"/>
      <c r="AS16" s="47">
        <v>0.65</v>
      </c>
      <c r="AT16" s="11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70" hidden="1" x14ac:dyDescent="0.3">
      <c r="A17" s="73" t="s">
        <v>66</v>
      </c>
      <c r="B17" s="45">
        <f>20+273</f>
        <v>293</v>
      </c>
      <c r="C17" s="3"/>
      <c r="F17" s="89" t="s">
        <v>9</v>
      </c>
      <c r="G17" s="4">
        <f>G13*(1-B9)</f>
        <v>0.37500000000000033</v>
      </c>
      <c r="H17" s="3" t="s">
        <v>70</v>
      </c>
      <c r="I17" s="3"/>
      <c r="J17" s="3"/>
      <c r="K17" s="3"/>
      <c r="L17" s="3"/>
      <c r="M17" s="4">
        <v>0.65</v>
      </c>
      <c r="N17" s="31">
        <v>1.0915278854032437E-7</v>
      </c>
      <c r="O17" s="31">
        <v>1.1938586246597979E-2</v>
      </c>
      <c r="P17" s="31">
        <v>0.12831949843282181</v>
      </c>
      <c r="Q17" s="5">
        <v>2651.5001392701761</v>
      </c>
      <c r="R17" s="5">
        <v>1525.0996812345932</v>
      </c>
      <c r="S17" s="5">
        <v>168.48</v>
      </c>
      <c r="T17" s="5">
        <v>2819.96</v>
      </c>
      <c r="U17" s="5">
        <v>2651.48</v>
      </c>
      <c r="V17" s="5">
        <v>5.2</v>
      </c>
      <c r="W17" s="54">
        <v>5.8500000000000005</v>
      </c>
      <c r="X17" s="54">
        <v>4.375</v>
      </c>
      <c r="Y17" s="54">
        <v>47.023809523809526</v>
      </c>
      <c r="Z17" s="52">
        <f>(SUM(AJ$22:AJ$37)/(N17*(V17+W17+X17+Y17)))*10^6</f>
        <v>0.18634907199420431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3"/>
      <c r="AO17" s="3"/>
      <c r="AP17" s="12"/>
      <c r="AQ17" s="50"/>
      <c r="AR17" s="50"/>
      <c r="AS17" s="50">
        <v>0.6</v>
      </c>
      <c r="AT17" s="1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70" hidden="1" x14ac:dyDescent="0.3">
      <c r="A18" s="73" t="s">
        <v>67</v>
      </c>
      <c r="B18" s="11">
        <v>8314</v>
      </c>
      <c r="C18" s="3"/>
      <c r="D18" s="3" t="s">
        <v>35</v>
      </c>
      <c r="E18" s="5">
        <f>G13*((2*I24)+(H9*2*I25))</f>
        <v>1717.2717857142861</v>
      </c>
      <c r="F18" s="3"/>
      <c r="G18" s="3"/>
      <c r="H18" s="3"/>
      <c r="I18" s="3"/>
      <c r="J18" s="3"/>
      <c r="K18" s="3"/>
      <c r="L18" s="3"/>
      <c r="M18" s="4">
        <v>0.6</v>
      </c>
      <c r="N18" s="31">
        <v>1.0924356188736011E-7</v>
      </c>
      <c r="O18" s="31">
        <v>1.3655445235920015E-2</v>
      </c>
      <c r="P18" s="31">
        <v>0.12842621114734298</v>
      </c>
      <c r="Q18" s="5">
        <v>2507.0000705256462</v>
      </c>
      <c r="R18" s="5">
        <v>1471.5265567200124</v>
      </c>
      <c r="S18" s="5">
        <v>155.51999999999998</v>
      </c>
      <c r="T18" s="5">
        <v>2662.56</v>
      </c>
      <c r="U18" s="5">
        <v>2507.04</v>
      </c>
      <c r="V18" s="5">
        <v>4.8</v>
      </c>
      <c r="W18" s="54">
        <v>5.3999999999999995</v>
      </c>
      <c r="X18" s="54">
        <v>5</v>
      </c>
      <c r="Y18" s="54">
        <v>47.023809523809526</v>
      </c>
      <c r="Z18" s="52">
        <f>(SUM(AL$22:AL$37)/(N18*(V18+W18+X18+Y18)))*10^6</f>
        <v>5.1899496600722995E-2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70" s="3" customFormat="1" hidden="1" x14ac:dyDescent="0.3">
      <c r="A19" s="73"/>
      <c r="B19" s="11"/>
      <c r="D19" s="3" t="s">
        <v>36</v>
      </c>
      <c r="E19" s="5">
        <f>(I22*E13)+(I23*E14)</f>
        <v>110.7999184</v>
      </c>
    </row>
    <row r="20" spans="1:70" hidden="1" x14ac:dyDescent="0.3">
      <c r="A20" s="73" t="s">
        <v>102</v>
      </c>
      <c r="B20" s="11">
        <f>(10^5*(B14*B10*10^-6))/(B18*B17)</f>
        <v>6.5681391066181384E-6</v>
      </c>
      <c r="C20" s="3"/>
      <c r="D20" s="129" t="s">
        <v>111</v>
      </c>
      <c r="E20" s="148"/>
      <c r="F20" s="4">
        <f>E18/E19</f>
        <v>15.498854245675023</v>
      </c>
      <c r="G20" s="3"/>
      <c r="H20" s="6" t="s">
        <v>52</v>
      </c>
      <c r="I20" s="7"/>
      <c r="J20" s="3"/>
      <c r="K20" s="3"/>
      <c r="L20" s="44" t="s">
        <v>32</v>
      </c>
      <c r="M20" s="147">
        <v>1</v>
      </c>
      <c r="N20" s="147"/>
      <c r="O20" s="127">
        <v>0.99</v>
      </c>
      <c r="P20" s="127"/>
      <c r="Q20" s="147">
        <v>0.98</v>
      </c>
      <c r="R20" s="147"/>
      <c r="S20" s="127">
        <v>0.97</v>
      </c>
      <c r="T20" s="127"/>
      <c r="U20" s="147">
        <v>0.96</v>
      </c>
      <c r="V20" s="147"/>
      <c r="W20" s="127">
        <v>0.95</v>
      </c>
      <c r="X20" s="127"/>
      <c r="Y20" s="147">
        <v>0.9</v>
      </c>
      <c r="Z20" s="147"/>
      <c r="AA20" s="127">
        <v>0.85</v>
      </c>
      <c r="AB20" s="127"/>
      <c r="AC20" s="147">
        <v>0.8</v>
      </c>
      <c r="AD20" s="147"/>
      <c r="AE20" s="127">
        <v>0.75</v>
      </c>
      <c r="AF20" s="127"/>
      <c r="AG20" s="147">
        <v>0.7</v>
      </c>
      <c r="AH20" s="147"/>
      <c r="AI20" s="127">
        <v>0.65</v>
      </c>
      <c r="AJ20" s="127"/>
      <c r="AK20" s="147">
        <v>0.6</v>
      </c>
      <c r="AL20" s="147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</row>
    <row r="21" spans="1:70" hidden="1" x14ac:dyDescent="0.3">
      <c r="A21" s="71" t="s">
        <v>62</v>
      </c>
      <c r="B21" s="11">
        <f>B20/(B9+(G13*(1+H9)))</f>
        <v>1.0857539239668828E-7</v>
      </c>
      <c r="C21" s="3"/>
      <c r="D21" s="3"/>
      <c r="E21" s="3"/>
      <c r="F21" s="3"/>
      <c r="G21" s="3"/>
      <c r="H21" s="8" t="s">
        <v>39</v>
      </c>
      <c r="I21" s="9"/>
      <c r="J21" s="3"/>
      <c r="K21" s="4" t="s">
        <v>27</v>
      </c>
      <c r="L21" s="7" t="s">
        <v>28</v>
      </c>
      <c r="M21" s="68" t="s">
        <v>87</v>
      </c>
      <c r="N21" s="4" t="s">
        <v>88</v>
      </c>
      <c r="O21" s="29" t="s">
        <v>87</v>
      </c>
      <c r="P21" s="4" t="s">
        <v>88</v>
      </c>
      <c r="Q21" s="29" t="s">
        <v>87</v>
      </c>
      <c r="R21" s="4" t="s">
        <v>88</v>
      </c>
      <c r="S21" s="29" t="s">
        <v>87</v>
      </c>
      <c r="T21" s="4" t="s">
        <v>88</v>
      </c>
      <c r="U21" s="29" t="s">
        <v>87</v>
      </c>
      <c r="V21" s="4" t="s">
        <v>88</v>
      </c>
      <c r="W21" s="29" t="s">
        <v>87</v>
      </c>
      <c r="X21" s="4" t="s">
        <v>88</v>
      </c>
      <c r="Y21" s="29" t="s">
        <v>87</v>
      </c>
      <c r="Z21" s="4" t="s">
        <v>88</v>
      </c>
      <c r="AA21" s="29" t="s">
        <v>87</v>
      </c>
      <c r="AB21" s="4" t="s">
        <v>88</v>
      </c>
      <c r="AC21" s="29" t="s">
        <v>87</v>
      </c>
      <c r="AD21" s="4" t="s">
        <v>88</v>
      </c>
      <c r="AE21" s="29" t="s">
        <v>87</v>
      </c>
      <c r="AF21" s="4" t="s">
        <v>88</v>
      </c>
      <c r="AG21" s="29" t="s">
        <v>87</v>
      </c>
      <c r="AH21" s="4" t="s">
        <v>88</v>
      </c>
      <c r="AI21" s="29" t="s">
        <v>87</v>
      </c>
      <c r="AJ21" s="4" t="s">
        <v>88</v>
      </c>
      <c r="AK21" s="29" t="s">
        <v>87</v>
      </c>
      <c r="AL21" s="4" t="s">
        <v>88</v>
      </c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</row>
    <row r="22" spans="1:70" hidden="1" x14ac:dyDescent="0.3">
      <c r="A22" s="134" t="s">
        <v>105</v>
      </c>
      <c r="B22" s="11"/>
      <c r="C22" s="3"/>
      <c r="D22" s="3" t="s">
        <v>37</v>
      </c>
      <c r="E22" s="5">
        <f>1/(F20/E23)</f>
        <v>1</v>
      </c>
      <c r="F22" s="3"/>
      <c r="G22" s="3"/>
      <c r="H22" s="10" t="s">
        <v>33</v>
      </c>
      <c r="I22" s="11">
        <v>12.0107</v>
      </c>
      <c r="J22" s="3"/>
      <c r="K22" s="72">
        <v>1</v>
      </c>
      <c r="L22" s="11">
        <v>10</v>
      </c>
      <c r="M22" s="75">
        <f>R6</f>
        <v>2398.8488373977302</v>
      </c>
      <c r="N22" s="11">
        <f>(((4.17*10^13)*(($P$6*($O$6)^0.5))*((EXP(-67837/M22))))/($B$16*6))*($B$10/10)*(10^-6)</f>
        <v>0</v>
      </c>
      <c r="O22" s="46">
        <f>R7</f>
        <v>2383.1577532658721</v>
      </c>
      <c r="P22" s="57">
        <f>(((4.17*10^13)*(($P$7*($O$7)^0.5))*((EXP(-67837/O22))))/($B$16*6))*($B$15)*(10^-6)</f>
        <v>1.5760461077330333E-10</v>
      </c>
      <c r="Q22" s="46">
        <f>R8</f>
        <v>2367.3664259538459</v>
      </c>
      <c r="R22" s="57">
        <f>(((4.17*10^13)*(($P$8*($O$8)^0.5))*((EXP(-67837/Q22))))/($B$16*6))*($B$15)*(10^-6)</f>
        <v>1.8438690014165573E-10</v>
      </c>
      <c r="S22" s="46">
        <f>R9</f>
        <v>2351.5100586310682</v>
      </c>
      <c r="T22" s="57">
        <f>(((4.17*10^13)*(($P$9*($O$9)^0.5))*((EXP(-67837/S22))))/($B$16*6))*($B$15)*(10^-6)</f>
        <v>1.861949276711482E-10</v>
      </c>
      <c r="U22" s="46">
        <f>R10</f>
        <v>2335.6241556218988</v>
      </c>
      <c r="V22" s="57">
        <f>(((4.17*10^13)*(($P$10*($O$10)^0.5))*((EXP(-67837/U22))))/($B$16*6))*($B$15)*(10^-6)</f>
        <v>1.7673822869531118E-10</v>
      </c>
      <c r="W22" s="46">
        <f>R11</f>
        <v>2319.6693479727683</v>
      </c>
      <c r="X22" s="57">
        <f>(((4.17*10^13)*(($P$11*($O$11)^0.5))*((EXP(-67837/W22))))/($B$16*6))*($B$15)*(10^-6)</f>
        <v>1.6185809729907129E-10</v>
      </c>
      <c r="Y22" s="46">
        <f>R12</f>
        <v>2238.6757400117017</v>
      </c>
      <c r="Z22" s="57">
        <f>(((4.17*10^13)*(($P$12*($O$12)^0.5))*((EXP(-67837/Y22))))/($B$16*6))*($B$15)*(10^-6)</f>
        <v>7.955902132065971E-11</v>
      </c>
      <c r="AA22" s="46">
        <f>R13</f>
        <v>2155.6846330638377</v>
      </c>
      <c r="AB22" s="57">
        <f>(((4.17*10^13)*(($P$13*($O$13)^0.5))*((EXP(-67837/AA22))))/($B$16*6))*($B$15)*(10^-6)</f>
        <v>3.0382718926157963E-11</v>
      </c>
      <c r="AC22" s="46">
        <f>R14</f>
        <v>2070.3634191154556</v>
      </c>
      <c r="AD22" s="57">
        <f>(((4.17*10^13)*(($P$14*($O$14)^0.5))*((EXP(-67837/AC22))))/($B$16*6))*($B$15)*(10^-6)</f>
        <v>9.6032494519760791E-12</v>
      </c>
      <c r="AE22" s="46">
        <f>R15</f>
        <v>1628.7845788759134</v>
      </c>
      <c r="AF22" s="57">
        <f>(((4.17*10^13)*(($P$15*($O$15)^0.5))*((EXP(-67837/AE22))))/($B$16*6))*($B$15)*(10^-6)</f>
        <v>1.4911837812465811E-15</v>
      </c>
      <c r="AG22" s="46">
        <f>R16</f>
        <v>1577.4974048613462</v>
      </c>
      <c r="AH22" s="57">
        <f>(((4.17*10^13)*(($P$16*($O$16)^0.5))*((EXP(-67837/AG22))))/($B$16*6))*($B$15)*(10^-6)</f>
        <v>4.2227425487979513E-16</v>
      </c>
      <c r="AI22" s="46">
        <f>R17</f>
        <v>1525.0996812345932</v>
      </c>
      <c r="AJ22" s="57">
        <f>(((4.17*10^13)*(($P$17*($O$17)^0.5))*((EXP(-67837/AI22))))/($B$16*6))*($B$15)*(10^-6)</f>
        <v>1.0422253015105541E-16</v>
      </c>
      <c r="AK22" s="46">
        <f>R18</f>
        <v>1471.5265567200124</v>
      </c>
      <c r="AL22" s="57">
        <f>(((4.17*10^13)*(($P$18*($O$18)^0.5))*((EXP(-67837/AK22))))/($B$16*6))*($B$15)*(10^-6)</f>
        <v>2.2090916551944909E-17</v>
      </c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</row>
    <row r="23" spans="1:70" hidden="1" x14ac:dyDescent="0.3">
      <c r="A23" s="135"/>
      <c r="B23" s="13">
        <v>1.17</v>
      </c>
      <c r="C23" s="3"/>
      <c r="D23" s="3" t="s">
        <v>38</v>
      </c>
      <c r="E23" s="4">
        <f>E18/E19</f>
        <v>15.498854245675023</v>
      </c>
      <c r="F23" s="3"/>
      <c r="G23" s="3"/>
      <c r="H23" s="10" t="s">
        <v>34</v>
      </c>
      <c r="I23" s="11">
        <v>1.0078400000000001</v>
      </c>
      <c r="J23" s="3"/>
      <c r="K23" s="72">
        <v>2</v>
      </c>
      <c r="L23" s="11">
        <v>12</v>
      </c>
      <c r="M23" s="18">
        <f>M22*(($L23/L22)^(($B$23-1)/$B$23))</f>
        <v>2463.2463577219401</v>
      </c>
      <c r="N23" s="11">
        <f t="shared" ref="N23:N37" si="0">(((4.17*10^13)*(($P$6*($O$6)^0.5))*((EXP(-67837/M23))))/($B$16*6))*($B$10/10)*(10^-6)</f>
        <v>0</v>
      </c>
      <c r="O23" s="46">
        <f>O22*(($L23/$L22)^(($B$23-1)/$B$23))</f>
        <v>2447.134043667822</v>
      </c>
      <c r="P23" s="57">
        <f t="shared" ref="P23:P37" si="1">(((4.17*10^13)*(($P$7*($O$7)^0.5))*((EXP(-67837/O23))))/($B$16*6))*($B$15)*(10^-6)</f>
        <v>3.3171114288222766E-10</v>
      </c>
      <c r="Q23" s="46">
        <f t="shared" ref="Q23:Q37" si="2">Q22*(($L23/$L22)^(($B$23-1)/$B$23))</f>
        <v>2430.9187953876763</v>
      </c>
      <c r="R23" s="57">
        <f t="shared" ref="R23:R37" si="3">(((4.17*10^13)*(($P$8*($O$8)^0.5))*((EXP(-67837/Q23))))/($B$16*6))*($B$15)*(10^-6)</f>
        <v>3.9001115208414254E-10</v>
      </c>
      <c r="S23" s="46">
        <f t="shared" ref="S23:S37" si="4">S22*(($L23/$L22)^(($B$23-1)/$B$23))</f>
        <v>2414.6367610862135</v>
      </c>
      <c r="T23" s="57">
        <f t="shared" ref="T23:T37" si="5">(((4.17*10^13)*(($P$9*($O$9)^0.5))*((EXP(-67837/S23))))/($B$16*6))*($B$15)*(10^-6)</f>
        <v>3.9582994078487892E-10</v>
      </c>
      <c r="U23" s="46">
        <f t="shared" ref="U23:U37" si="6">U22*(($L23/$L22)^(($B$23-1)/$B$23))</f>
        <v>2398.3243982076465</v>
      </c>
      <c r="V23" s="57">
        <f t="shared" ref="V23:V37" si="7">(((4.17*10^13)*(($P$10*($O$10)^0.5))*((EXP(-67837/U23))))/($B$16*6))*($B$15)*(10^-6)</f>
        <v>3.7765834380261572E-10</v>
      </c>
      <c r="W23" s="46">
        <f t="shared" ref="W23:W37" si="8">W22*(($L23/$L22)^(($B$23-1)/$B$23))</f>
        <v>2381.9412809319001</v>
      </c>
      <c r="X23" s="57">
        <f t="shared" ref="X23:X37" si="9">(((4.17*10^13)*(($P$11*($O$11)^0.5))*((EXP(-67837/W23))))/($B$16*6))*($B$15)*(10^-6)</f>
        <v>3.4767317416361326E-10</v>
      </c>
      <c r="Y23" s="46">
        <f t="shared" ref="Y23:Y37" si="10">Y22*(($L23/$L22)^(($B$23-1)/$B$23))</f>
        <v>2298.7733852735473</v>
      </c>
      <c r="Z23" s="57">
        <f t="shared" ref="Z23:Z37" si="11">(((4.17*10^13)*(($P$12*($O$12)^0.5))*((EXP(-67837/Y23))))/($B$16*6))*($B$15)*(10^-6)</f>
        <v>1.7568675622473394E-10</v>
      </c>
      <c r="AA23" s="46">
        <f t="shared" ref="AA23:AA37" si="12">AA22*(($L23/$L22)^(($B$23-1)/$B$23))</f>
        <v>2213.5543674156311</v>
      </c>
      <c r="AB23" s="57">
        <f t="shared" ref="AB23:AB37" si="13">(((4.17*10^13)*(($P$13*($O$13)^0.5))*((EXP(-67837/AA23))))/($B$16*6))*($B$15)*(10^-6)</f>
        <v>6.9170624769802987E-11</v>
      </c>
      <c r="AC23" s="46">
        <f t="shared" ref="AC23:AC37" si="14">AC22*(($L23/$L22)^(($B$23-1)/$B$23))</f>
        <v>2125.9426904236138</v>
      </c>
      <c r="AD23" s="57">
        <f t="shared" ref="AD23:AD37" si="15">(((4.17*10^13)*(($P$14*($O$14)^0.5))*((EXP(-67837/AC23))))/($B$16*6))*($B$15)*(10^-6)</f>
        <v>2.2617139016191529E-11</v>
      </c>
      <c r="AE23" s="46">
        <f t="shared" ref="AE23:AE37" si="16">AE22*(($L23/$L22)^(($B$23-1)/$B$23))</f>
        <v>1672.5095882998942</v>
      </c>
      <c r="AF23" s="57">
        <f t="shared" ref="AF23:AF37" si="17">(((4.17*10^13)*(($P$15*($O$15)^0.5))*((EXP(-67837/AE23))))/($B$16*6))*($B$15)*(10^-6)</f>
        <v>4.4300497917126449E-15</v>
      </c>
      <c r="AG23" s="46">
        <f t="shared" ref="AG23:AG37" si="18">AG22*(($L23/$L22)^(($B$23-1)/$B$23))</f>
        <v>1619.8456010491261</v>
      </c>
      <c r="AH23" s="57">
        <f t="shared" ref="AH23:AH37" si="19">(((4.17*10^13)*(($P$16*($O$16)^0.5))*((EXP(-67837/AG23))))/($B$16*6))*($B$15)*(10^-6)</f>
        <v>1.2997089367463053E-15</v>
      </c>
      <c r="AI23" s="46">
        <f t="shared" ref="AI23:AI37" si="20">AI22*(($L23/$L22)^(($B$23-1)/$B$23))</f>
        <v>1566.0412512858732</v>
      </c>
      <c r="AJ23" s="57">
        <f t="shared" ref="AJ23:AJ37" si="21">(((4.17*10^13)*(($P$17*($O$17)^0.5))*((EXP(-67837/AI23))))/($B$16*6))*($B$15)*(10^-6)</f>
        <v>3.3341714577019924E-16</v>
      </c>
      <c r="AK23" s="46">
        <f t="shared" ref="AK23:AK37" si="22">AK22*(($L23/$L22)^(($B$23-1)/$B$23))</f>
        <v>1511.0299467905556</v>
      </c>
      <c r="AL23" s="57">
        <f t="shared" ref="AL23:AL37" si="23">(((4.17*10^13)*(($P$18*($O$18)^0.5))*((EXP(-67837/AK23))))/($B$16*6))*($B$15)*(10^-6)</f>
        <v>7.3726953839949E-17</v>
      </c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</row>
    <row r="24" spans="1:70" hidden="1" x14ac:dyDescent="0.3">
      <c r="A24" s="3"/>
      <c r="B24" s="3"/>
      <c r="C24" s="3"/>
      <c r="D24" s="3"/>
      <c r="E24" s="3"/>
      <c r="F24" s="3"/>
      <c r="G24" s="3"/>
      <c r="H24" s="10" t="s">
        <v>40</v>
      </c>
      <c r="I24" s="11">
        <v>15.999000000000001</v>
      </c>
      <c r="J24" s="3"/>
      <c r="K24" s="72">
        <v>3</v>
      </c>
      <c r="L24" s="11">
        <v>14</v>
      </c>
      <c r="M24" s="18">
        <f t="shared" ref="M24:M37" si="24">M23*((L24/L23)^(($B$23-1)/$B$23))</f>
        <v>2519.0405618382024</v>
      </c>
      <c r="N24" s="11">
        <f t="shared" si="0"/>
        <v>0</v>
      </c>
      <c r="O24" s="46">
        <f t="shared" ref="O24:O37" si="25">O23*(($L24/$L23)^(($B$23-1)/$B$23))</f>
        <v>2502.5632929202307</v>
      </c>
      <c r="P24" s="57">
        <f t="shared" si="1"/>
        <v>6.1293363277031856E-10</v>
      </c>
      <c r="Q24" s="46">
        <f t="shared" si="2"/>
        <v>2485.9807582460535</v>
      </c>
      <c r="R24" s="57">
        <f t="shared" si="3"/>
        <v>7.2361757682995025E-10</v>
      </c>
      <c r="S24" s="46">
        <f t="shared" si="4"/>
        <v>2469.3299248017865</v>
      </c>
      <c r="T24" s="57">
        <f t="shared" si="5"/>
        <v>7.3748089862016709E-10</v>
      </c>
      <c r="U24" s="46">
        <f t="shared" si="6"/>
        <v>2452.6480758175312</v>
      </c>
      <c r="V24" s="57">
        <f t="shared" si="7"/>
        <v>7.0660920210101421E-10</v>
      </c>
      <c r="W24" s="46">
        <f t="shared" si="8"/>
        <v>2435.8938698009133</v>
      </c>
      <c r="X24" s="57">
        <f t="shared" si="9"/>
        <v>6.5331520997648743E-10</v>
      </c>
      <c r="Y24" s="46">
        <f t="shared" si="10"/>
        <v>2350.8421647819032</v>
      </c>
      <c r="Z24" s="57">
        <f t="shared" si="11"/>
        <v>3.3775514533747854E-10</v>
      </c>
      <c r="AA24" s="46">
        <f t="shared" si="12"/>
        <v>2263.6928782514901</v>
      </c>
      <c r="AB24" s="57">
        <f t="shared" si="13"/>
        <v>1.3636816890504689E-10</v>
      </c>
      <c r="AC24" s="46">
        <f t="shared" si="14"/>
        <v>2174.096737231449</v>
      </c>
      <c r="AD24" s="57">
        <f t="shared" si="15"/>
        <v>4.585403381320761E-11</v>
      </c>
      <c r="AE24" s="46">
        <f t="shared" si="16"/>
        <v>1710.3930671746225</v>
      </c>
      <c r="AF24" s="57">
        <f t="shared" si="17"/>
        <v>1.0878343777052024E-14</v>
      </c>
      <c r="AG24" s="46">
        <f t="shared" si="18"/>
        <v>1656.5362048202196</v>
      </c>
      <c r="AH24" s="57">
        <f t="shared" si="19"/>
        <v>3.286130944390053E-15</v>
      </c>
      <c r="AI24" s="46">
        <f t="shared" si="20"/>
        <v>1601.5131499673912</v>
      </c>
      <c r="AJ24" s="57">
        <f t="shared" si="21"/>
        <v>8.7029599958561264E-16</v>
      </c>
      <c r="AK24" s="46">
        <f t="shared" si="22"/>
        <v>1545.2558020375257</v>
      </c>
      <c r="AL24" s="57">
        <f t="shared" si="23"/>
        <v>1.9928525770807291E-16</v>
      </c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</row>
    <row r="25" spans="1:70" hidden="1" x14ac:dyDescent="0.3">
      <c r="A25" s="3"/>
      <c r="B25" s="3"/>
      <c r="C25" s="3"/>
      <c r="D25" s="3"/>
      <c r="E25" s="3"/>
      <c r="F25" s="3"/>
      <c r="G25" s="3"/>
      <c r="H25" s="12" t="s">
        <v>41</v>
      </c>
      <c r="I25" s="13">
        <v>14.0067</v>
      </c>
      <c r="J25" s="3"/>
      <c r="K25" s="72">
        <v>4</v>
      </c>
      <c r="L25" s="11">
        <v>16</v>
      </c>
      <c r="M25" s="18">
        <f t="shared" si="24"/>
        <v>2568.3921917660891</v>
      </c>
      <c r="N25" s="11">
        <f t="shared" si="0"/>
        <v>0</v>
      </c>
      <c r="O25" s="46">
        <f t="shared" si="25"/>
        <v>2551.592109436463</v>
      </c>
      <c r="P25" s="57">
        <f t="shared" si="1"/>
        <v>1.0318592211649696E-9</v>
      </c>
      <c r="Q25" s="46">
        <f t="shared" si="2"/>
        <v>2534.6846990429731</v>
      </c>
      <c r="R25" s="57">
        <f t="shared" si="3"/>
        <v>1.2224328162930178E-9</v>
      </c>
      <c r="S25" s="46">
        <f t="shared" si="4"/>
        <v>2517.7076518081931</v>
      </c>
      <c r="T25" s="57">
        <f t="shared" si="5"/>
        <v>1.2502652777702438E-9</v>
      </c>
      <c r="U25" s="46">
        <f t="shared" si="6"/>
        <v>2500.6989813943605</v>
      </c>
      <c r="V25" s="57">
        <f t="shared" si="7"/>
        <v>1.2022366174480252E-9</v>
      </c>
      <c r="W25" s="46">
        <f t="shared" si="8"/>
        <v>2483.6165363697669</v>
      </c>
      <c r="X25" s="57">
        <f t="shared" si="9"/>
        <v>1.1156319919739854E-9</v>
      </c>
      <c r="Y25" s="46">
        <f t="shared" si="10"/>
        <v>2396.8985460457793</v>
      </c>
      <c r="Z25" s="57">
        <f t="shared" si="11"/>
        <v>5.8804174311416095E-10</v>
      </c>
      <c r="AA25" s="46">
        <f t="shared" si="12"/>
        <v>2308.0418795698088</v>
      </c>
      <c r="AB25" s="57">
        <f t="shared" si="13"/>
        <v>2.4254365742910285E-10</v>
      </c>
      <c r="AC25" s="46">
        <f t="shared" si="14"/>
        <v>2216.6904212033246</v>
      </c>
      <c r="AD25" s="57">
        <f t="shared" si="15"/>
        <v>8.3514198099862062E-11</v>
      </c>
      <c r="AE25" s="46">
        <f t="shared" si="16"/>
        <v>1743.9021289028024</v>
      </c>
      <c r="AF25" s="57">
        <f t="shared" si="17"/>
        <v>2.3309758215008195E-14</v>
      </c>
      <c r="AG25" s="46">
        <f t="shared" si="18"/>
        <v>1688.990133105827</v>
      </c>
      <c r="AH25" s="57">
        <f t="shared" si="19"/>
        <v>7.2180589547792402E-15</v>
      </c>
      <c r="AI25" s="46">
        <f t="shared" si="20"/>
        <v>1632.8890974210358</v>
      </c>
      <c r="AJ25" s="57">
        <f t="shared" si="21"/>
        <v>1.9640092437670138E-15</v>
      </c>
      <c r="AK25" s="46">
        <f t="shared" si="22"/>
        <v>1575.5295870814737</v>
      </c>
      <c r="AL25" s="57">
        <f t="shared" si="23"/>
        <v>4.632554686729191E-16</v>
      </c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</row>
    <row r="26" spans="1:70" hidden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72">
        <v>5</v>
      </c>
      <c r="L26" s="11">
        <v>18</v>
      </c>
      <c r="M26" s="18">
        <f t="shared" si="24"/>
        <v>2612.7253481310131</v>
      </c>
      <c r="N26" s="11">
        <f t="shared" si="0"/>
        <v>0</v>
      </c>
      <c r="O26" s="46">
        <f t="shared" si="25"/>
        <v>2595.6352786727662</v>
      </c>
      <c r="P26" s="57">
        <f t="shared" si="1"/>
        <v>1.6200878395164052E-9</v>
      </c>
      <c r="Q26" s="46">
        <f t="shared" si="2"/>
        <v>2578.436028555147</v>
      </c>
      <c r="R26" s="57">
        <f t="shared" si="3"/>
        <v>1.9250852598135101E-9</v>
      </c>
      <c r="S26" s="46">
        <f t="shared" si="4"/>
        <v>2561.1659395909587</v>
      </c>
      <c r="T26" s="57">
        <f t="shared" si="5"/>
        <v>1.9749542430271799E-9</v>
      </c>
      <c r="U26" s="46">
        <f t="shared" si="6"/>
        <v>2543.8636815983155</v>
      </c>
      <c r="V26" s="57">
        <f t="shared" si="7"/>
        <v>1.9050014190460247E-9</v>
      </c>
      <c r="W26" s="46">
        <f t="shared" si="8"/>
        <v>2526.48637556737</v>
      </c>
      <c r="X26" s="57">
        <f t="shared" si="9"/>
        <v>1.7733778153043835E-9</v>
      </c>
      <c r="Y26" s="46">
        <f t="shared" si="10"/>
        <v>2438.2715413279516</v>
      </c>
      <c r="Z26" s="57">
        <f t="shared" si="11"/>
        <v>9.5054052781155058E-10</v>
      </c>
      <c r="AA26" s="46">
        <f t="shared" si="12"/>
        <v>2347.881115131961</v>
      </c>
      <c r="AB26" s="57">
        <f t="shared" si="13"/>
        <v>3.9937584439646609E-10</v>
      </c>
      <c r="AC26" s="46">
        <f t="shared" si="14"/>
        <v>2254.9528343078673</v>
      </c>
      <c r="AD26" s="57">
        <f t="shared" si="15"/>
        <v>1.4037122784958934E-10</v>
      </c>
      <c r="AE26" s="46">
        <f t="shared" si="16"/>
        <v>1774.0037177542347</v>
      </c>
      <c r="AF26" s="57">
        <f t="shared" si="17"/>
        <v>4.510197368752087E-14</v>
      </c>
      <c r="AG26" s="46">
        <f t="shared" si="18"/>
        <v>1718.143883031498</v>
      </c>
      <c r="AH26" s="57">
        <f t="shared" si="19"/>
        <v>1.4269144780915361E-14</v>
      </c>
      <c r="AI26" s="46">
        <f t="shared" si="20"/>
        <v>1661.0744843392106</v>
      </c>
      <c r="AJ26" s="57">
        <f t="shared" si="21"/>
        <v>3.974567914291269E-15</v>
      </c>
      <c r="AK26" s="46">
        <f t="shared" si="22"/>
        <v>1602.7248883931545</v>
      </c>
      <c r="AL26" s="57">
        <f t="shared" si="23"/>
        <v>9.6186177697794476E-16</v>
      </c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</row>
    <row r="27" spans="1:70" hidden="1" x14ac:dyDescent="0.3">
      <c r="A27" s="3"/>
      <c r="B27" s="3"/>
      <c r="C27" s="3"/>
      <c r="D27" s="3" t="s">
        <v>51</v>
      </c>
      <c r="E27" s="3"/>
      <c r="F27" s="2">
        <v>2351.5287741201496</v>
      </c>
      <c r="G27" s="3"/>
      <c r="H27" s="3"/>
      <c r="I27" s="3"/>
      <c r="J27" s="3"/>
      <c r="K27" s="72">
        <v>6</v>
      </c>
      <c r="L27" s="11">
        <v>20</v>
      </c>
      <c r="M27" s="18">
        <f t="shared" si="24"/>
        <v>2653.0307456532519</v>
      </c>
      <c r="N27" s="11">
        <f t="shared" si="0"/>
        <v>0</v>
      </c>
      <c r="O27" s="46">
        <f t="shared" si="25"/>
        <v>2635.6770349960971</v>
      </c>
      <c r="P27" s="57">
        <f t="shared" si="1"/>
        <v>2.4097648564297353E-9</v>
      </c>
      <c r="Q27" s="46">
        <f t="shared" si="2"/>
        <v>2618.2124593961917</v>
      </c>
      <c r="R27" s="57">
        <f t="shared" si="3"/>
        <v>2.8710205037002862E-9</v>
      </c>
      <c r="S27" s="46">
        <f t="shared" si="4"/>
        <v>2600.6759521491003</v>
      </c>
      <c r="T27" s="57">
        <f t="shared" si="5"/>
        <v>2.9533428460025485E-9</v>
      </c>
      <c r="U27" s="46">
        <f t="shared" si="6"/>
        <v>2583.1067796156981</v>
      </c>
      <c r="V27" s="57">
        <f t="shared" si="7"/>
        <v>2.8565429059945707E-9</v>
      </c>
      <c r="W27" s="46">
        <f t="shared" si="8"/>
        <v>2565.4614013099749</v>
      </c>
      <c r="X27" s="57">
        <f t="shared" si="9"/>
        <v>2.6665939004733884E-9</v>
      </c>
      <c r="Y27" s="46">
        <f t="shared" si="10"/>
        <v>2475.8857145171405</v>
      </c>
      <c r="Z27" s="57">
        <f t="shared" si="11"/>
        <v>1.4505596935049614E-9</v>
      </c>
      <c r="AA27" s="46">
        <f t="shared" si="12"/>
        <v>2384.1008738402556</v>
      </c>
      <c r="AB27" s="57">
        <f t="shared" si="13"/>
        <v>6.1946072695397925E-10</v>
      </c>
      <c r="AC27" s="46">
        <f t="shared" si="14"/>
        <v>2289.7390281363505</v>
      </c>
      <c r="AD27" s="57">
        <f t="shared" si="15"/>
        <v>2.2170024268795205E-10</v>
      </c>
      <c r="AE27" s="46">
        <f t="shared" si="16"/>
        <v>1801.3705150722772</v>
      </c>
      <c r="AF27" s="57">
        <f t="shared" si="17"/>
        <v>8.0629803650338959E-14</v>
      </c>
      <c r="AG27" s="46">
        <f t="shared" si="18"/>
        <v>1744.648954548305</v>
      </c>
      <c r="AH27" s="57">
        <f t="shared" si="19"/>
        <v>2.5995651815718186E-14</v>
      </c>
      <c r="AI27" s="46">
        <f t="shared" si="20"/>
        <v>1686.6991706282734</v>
      </c>
      <c r="AJ27" s="57">
        <f t="shared" si="21"/>
        <v>7.3916732602044135E-15</v>
      </c>
      <c r="AK27" s="46">
        <f t="shared" si="22"/>
        <v>1627.4494403984702</v>
      </c>
      <c r="AL27" s="57">
        <f t="shared" si="23"/>
        <v>1.8296808356462242E-15</v>
      </c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</row>
    <row r="28" spans="1:70" hidden="1" x14ac:dyDescent="0.3">
      <c r="A28" s="3"/>
      <c r="B28" s="3"/>
      <c r="C28" s="3"/>
      <c r="D28" s="3"/>
      <c r="F28" s="3"/>
      <c r="G28" s="3"/>
      <c r="H28" s="3"/>
      <c r="I28" s="3"/>
      <c r="J28" s="3"/>
      <c r="K28" s="72">
        <v>7</v>
      </c>
      <c r="L28" s="11">
        <v>22</v>
      </c>
      <c r="M28" s="18">
        <f t="shared" si="24"/>
        <v>2690.0267875629124</v>
      </c>
      <c r="N28" s="11">
        <f t="shared" si="0"/>
        <v>0</v>
      </c>
      <c r="O28" s="46">
        <f t="shared" si="25"/>
        <v>2672.4310824969812</v>
      </c>
      <c r="P28" s="57">
        <f t="shared" si="1"/>
        <v>3.4332405685729971E-9</v>
      </c>
      <c r="Q28" s="46">
        <f t="shared" si="2"/>
        <v>2654.7229664963897</v>
      </c>
      <c r="R28" s="57">
        <f t="shared" si="3"/>
        <v>4.1000703079524106E-9</v>
      </c>
      <c r="S28" s="46">
        <f t="shared" si="4"/>
        <v>2636.9419157745851</v>
      </c>
      <c r="T28" s="57">
        <f t="shared" si="5"/>
        <v>4.2277801751342825E-9</v>
      </c>
      <c r="U28" s="46">
        <f t="shared" si="6"/>
        <v>2619.1277442548621</v>
      </c>
      <c r="V28" s="57">
        <f t="shared" si="7"/>
        <v>4.0991985801936041E-9</v>
      </c>
      <c r="W28" s="46">
        <f t="shared" si="8"/>
        <v>2601.2363042868756</v>
      </c>
      <c r="X28" s="57">
        <f t="shared" si="9"/>
        <v>3.8361357422072884E-9</v>
      </c>
      <c r="Y28" s="46">
        <f t="shared" si="10"/>
        <v>2510.4115004726482</v>
      </c>
      <c r="Z28" s="57">
        <f t="shared" si="11"/>
        <v>2.1143979826802155E-9</v>
      </c>
      <c r="AA28" s="46">
        <f t="shared" si="12"/>
        <v>2417.3467365163528</v>
      </c>
      <c r="AB28" s="57">
        <f t="shared" si="13"/>
        <v>9.1614721903459245E-10</v>
      </c>
      <c r="AC28" s="46">
        <f t="shared" si="14"/>
        <v>2321.6690316562531</v>
      </c>
      <c r="AD28" s="57">
        <f t="shared" si="15"/>
        <v>3.3321265377312941E-10</v>
      </c>
      <c r="AE28" s="46">
        <f t="shared" si="16"/>
        <v>1826.4903065332808</v>
      </c>
      <c r="AF28" s="57">
        <f t="shared" si="17"/>
        <v>1.3533968837805073E-13</v>
      </c>
      <c r="AG28" s="46">
        <f t="shared" si="18"/>
        <v>1768.9777739356664</v>
      </c>
      <c r="AH28" s="57">
        <f t="shared" si="19"/>
        <v>4.4375486916862285E-14</v>
      </c>
      <c r="AI28" s="46">
        <f t="shared" si="20"/>
        <v>1710.2198905851724</v>
      </c>
      <c r="AJ28" s="57">
        <f t="shared" si="21"/>
        <v>1.2851810546910135E-14</v>
      </c>
      <c r="AK28" s="46">
        <f t="shared" si="22"/>
        <v>1650.1439334048112</v>
      </c>
      <c r="AL28" s="57">
        <f t="shared" si="23"/>
        <v>3.2459551718795073E-15</v>
      </c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</row>
    <row r="29" spans="1:70" hidden="1" x14ac:dyDescent="0.3">
      <c r="A29" s="3"/>
      <c r="B29" s="3"/>
      <c r="C29" s="3"/>
      <c r="E29" s="3" t="s">
        <v>56</v>
      </c>
      <c r="F29" s="3"/>
      <c r="G29" s="3"/>
      <c r="I29" s="3"/>
      <c r="J29" s="3"/>
      <c r="K29" s="72">
        <v>8</v>
      </c>
      <c r="L29" s="11">
        <v>24</v>
      </c>
      <c r="M29" s="18">
        <f t="shared" si="24"/>
        <v>2724.2518241557623</v>
      </c>
      <c r="N29" s="11">
        <f t="shared" si="0"/>
        <v>0</v>
      </c>
      <c r="O29" s="46">
        <f t="shared" si="25"/>
        <v>2706.4322500739004</v>
      </c>
      <c r="P29" s="57">
        <f t="shared" si="1"/>
        <v>4.722820831091659E-9</v>
      </c>
      <c r="Q29" s="46">
        <f t="shared" si="2"/>
        <v>2688.4988348603374</v>
      </c>
      <c r="R29" s="57">
        <f t="shared" si="3"/>
        <v>5.6521330066520261E-9</v>
      </c>
      <c r="S29" s="46">
        <f t="shared" si="4"/>
        <v>2670.4915569818268</v>
      </c>
      <c r="T29" s="57">
        <f t="shared" si="5"/>
        <v>5.8408168902642996E-9</v>
      </c>
      <c r="U29" s="46">
        <f t="shared" si="6"/>
        <v>2652.4507369116313</v>
      </c>
      <c r="V29" s="57">
        <f t="shared" si="7"/>
        <v>5.6756398196929841E-9</v>
      </c>
      <c r="W29" s="46">
        <f t="shared" si="8"/>
        <v>2634.331665311709</v>
      </c>
      <c r="X29" s="57">
        <f t="shared" si="9"/>
        <v>5.3233106849218496E-9</v>
      </c>
      <c r="Y29" s="46">
        <f t="shared" si="10"/>
        <v>2542.3513034010152</v>
      </c>
      <c r="Z29" s="57">
        <f t="shared" si="11"/>
        <v>2.9690837675191591E-9</v>
      </c>
      <c r="AA29" s="46">
        <f t="shared" si="12"/>
        <v>2448.1024824804417</v>
      </c>
      <c r="AB29" s="57">
        <f t="shared" si="13"/>
        <v>1.3033980572751305E-9</v>
      </c>
      <c r="AC29" s="46">
        <f t="shared" si="14"/>
        <v>2351.207476378177</v>
      </c>
      <c r="AD29" s="57">
        <f t="shared" si="15"/>
        <v>4.8099785335026463E-10</v>
      </c>
      <c r="AE29" s="46">
        <f t="shared" si="16"/>
        <v>1849.7286244067698</v>
      </c>
      <c r="AF29" s="57">
        <f t="shared" si="17"/>
        <v>2.1580799830334263E-13</v>
      </c>
      <c r="AG29" s="46">
        <f t="shared" si="18"/>
        <v>1791.4843635818374</v>
      </c>
      <c r="AH29" s="57">
        <f t="shared" si="19"/>
        <v>7.1841228489655865E-14</v>
      </c>
      <c r="AI29" s="46">
        <f t="shared" si="20"/>
        <v>1731.9789074870546</v>
      </c>
      <c r="AJ29" s="57">
        <f t="shared" si="21"/>
        <v>2.1153559316791198E-14</v>
      </c>
      <c r="AK29" s="46">
        <f t="shared" si="22"/>
        <v>1671.1386077944348</v>
      </c>
      <c r="AL29" s="57">
        <f t="shared" si="23"/>
        <v>5.4405238417217272E-15</v>
      </c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</row>
    <row r="30" spans="1:70" hidden="1" x14ac:dyDescent="0.3">
      <c r="A30" s="3"/>
      <c r="B30" s="3"/>
      <c r="C30" s="3"/>
      <c r="D30" s="3" t="s">
        <v>50</v>
      </c>
      <c r="E30" s="55">
        <f>8.6E-19*(F27^6) - 1.037488E-14*(F27^5) + 4.968947595E-11*(F27^4) - 0.0000001201911805397*(F27^3) + 0.000156509548934808*(F27^2) - 0.0482393620326645*F27 + 5.20845196264969</f>
        <v>113.1453296560435</v>
      </c>
      <c r="G30" s="3"/>
      <c r="H30" s="3"/>
      <c r="I30" s="3"/>
      <c r="J30" s="3"/>
      <c r="K30" s="72">
        <v>9</v>
      </c>
      <c r="L30" s="11">
        <v>26</v>
      </c>
      <c r="M30" s="18">
        <f t="shared" si="24"/>
        <v>2756.1202037281805</v>
      </c>
      <c r="N30" s="11">
        <f t="shared" si="0"/>
        <v>0</v>
      </c>
      <c r="O30" s="46">
        <f t="shared" si="25"/>
        <v>2738.0921757340834</v>
      </c>
      <c r="P30" s="57">
        <f t="shared" si="1"/>
        <v>6.3105839899145003E-9</v>
      </c>
      <c r="Q30" s="46">
        <f t="shared" si="2"/>
        <v>2719.9489748913106</v>
      </c>
      <c r="R30" s="57">
        <f t="shared" si="3"/>
        <v>7.5669357640827278E-9</v>
      </c>
      <c r="S30" s="46">
        <f t="shared" si="4"/>
        <v>2701.7310473359203</v>
      </c>
      <c r="T30" s="57">
        <f t="shared" si="5"/>
        <v>7.834939774933128E-9</v>
      </c>
      <c r="U30" s="46">
        <f t="shared" si="6"/>
        <v>2683.4791852112799</v>
      </c>
      <c r="V30" s="57">
        <f t="shared" si="7"/>
        <v>7.6285943182521552E-9</v>
      </c>
      <c r="W30" s="46">
        <f t="shared" si="8"/>
        <v>2665.1481561681703</v>
      </c>
      <c r="X30" s="57">
        <f t="shared" si="9"/>
        <v>7.1695987850392377E-9</v>
      </c>
      <c r="Y30" s="46">
        <f t="shared" si="10"/>
        <v>2572.0918052242355</v>
      </c>
      <c r="Z30" s="57">
        <f t="shared" si="11"/>
        <v>4.0421640813920345E-9</v>
      </c>
      <c r="AA30" s="46">
        <f t="shared" si="12"/>
        <v>2476.7404587688648</v>
      </c>
      <c r="AB30" s="57">
        <f t="shared" si="13"/>
        <v>1.7956721979207834E-9</v>
      </c>
      <c r="AC30" s="46">
        <f t="shared" si="14"/>
        <v>2378.7119719781563</v>
      </c>
      <c r="AD30" s="57">
        <f t="shared" si="15"/>
        <v>6.7147152728436796E-10</v>
      </c>
      <c r="AE30" s="46">
        <f t="shared" si="16"/>
        <v>1871.3668053509377</v>
      </c>
      <c r="AF30" s="57">
        <f t="shared" si="17"/>
        <v>3.2978548951608893E-13</v>
      </c>
      <c r="AG30" s="46">
        <f t="shared" si="18"/>
        <v>1812.4412014154216</v>
      </c>
      <c r="AH30" s="57">
        <f t="shared" si="19"/>
        <v>1.1130770990996177E-13</v>
      </c>
      <c r="AI30" s="46">
        <f t="shared" si="20"/>
        <v>1752.2396487099497</v>
      </c>
      <c r="AJ30" s="57">
        <f t="shared" si="21"/>
        <v>3.3271162021525192E-14</v>
      </c>
      <c r="AK30" s="46">
        <f t="shared" si="22"/>
        <v>1690.6876373661851</v>
      </c>
      <c r="AL30" s="57">
        <f t="shared" si="23"/>
        <v>8.6993304535607627E-15</v>
      </c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</row>
    <row r="31" spans="1:70" hidden="1" x14ac:dyDescent="0.3">
      <c r="A31" s="3"/>
      <c r="B31" s="3"/>
      <c r="C31" s="3"/>
      <c r="D31" s="3" t="s">
        <v>53</v>
      </c>
      <c r="E31" s="56">
        <f xml:space="preserve"> 6.7E-19*(F27^6) - 7.89843E-15*(F27^5) + 3.687984988E-11*(F27^4) - 8.638622855912E-08*(F27^3) + 0.000110740178605573*(F27^2) - 0.031241611607915*F27 + 3.30066945333761</f>
        <v>91.945617704473364</v>
      </c>
      <c r="F31" s="3"/>
      <c r="G31" s="3"/>
      <c r="H31" s="3"/>
      <c r="I31" s="3"/>
      <c r="J31" s="3"/>
      <c r="K31" s="72">
        <v>10</v>
      </c>
      <c r="L31" s="11">
        <v>28</v>
      </c>
      <c r="M31" s="18">
        <f t="shared" si="24"/>
        <v>2785.9579794757756</v>
      </c>
      <c r="N31" s="11">
        <f t="shared" si="0"/>
        <v>0</v>
      </c>
      <c r="O31" s="46">
        <f t="shared" si="25"/>
        <v>2767.7347799301142</v>
      </c>
      <c r="P31" s="57">
        <f t="shared" si="1"/>
        <v>8.2282466155320235E-9</v>
      </c>
      <c r="Q31" s="46">
        <f t="shared" si="2"/>
        <v>2749.3951606737473</v>
      </c>
      <c r="R31" s="57">
        <f t="shared" si="3"/>
        <v>9.8838576032380832E-9</v>
      </c>
      <c r="S31" s="46">
        <f t="shared" si="4"/>
        <v>2730.9800057128728</v>
      </c>
      <c r="T31" s="57">
        <f t="shared" si="5"/>
        <v>1.0252371464883302E-8</v>
      </c>
      <c r="U31" s="46">
        <f t="shared" si="6"/>
        <v>2712.5305488068748</v>
      </c>
      <c r="V31" s="57">
        <f t="shared" si="7"/>
        <v>1.0000634076375858E-8</v>
      </c>
      <c r="W31" s="46">
        <f t="shared" si="8"/>
        <v>2694.001067920819</v>
      </c>
      <c r="X31" s="57">
        <f t="shared" si="9"/>
        <v>9.4164371430699116E-9</v>
      </c>
      <c r="Y31" s="46">
        <f t="shared" si="10"/>
        <v>2599.9372882995722</v>
      </c>
      <c r="Z31" s="57">
        <f t="shared" si="11"/>
        <v>5.3615334808583504E-9</v>
      </c>
      <c r="AA31" s="46">
        <f t="shared" si="12"/>
        <v>2503.5536675301432</v>
      </c>
      <c r="AB31" s="57">
        <f t="shared" si="13"/>
        <v>2.407825316742625E-9</v>
      </c>
      <c r="AC31" s="46">
        <f t="shared" si="14"/>
        <v>2404.4639236862113</v>
      </c>
      <c r="AD31" s="57">
        <f t="shared" si="15"/>
        <v>9.1133003245578987E-10</v>
      </c>
      <c r="AE31" s="46">
        <f t="shared" si="16"/>
        <v>1891.6262348939683</v>
      </c>
      <c r="AF31" s="57">
        <f t="shared" si="17"/>
        <v>4.8623001861547173E-13</v>
      </c>
      <c r="AG31" s="46">
        <f t="shared" si="18"/>
        <v>1832.0627019763849</v>
      </c>
      <c r="AH31" s="57">
        <f t="shared" si="19"/>
        <v>1.6619474319530208E-13</v>
      </c>
      <c r="AI31" s="46">
        <f t="shared" si="20"/>
        <v>1771.2094068589336</v>
      </c>
      <c r="AJ31" s="57">
        <f t="shared" si="21"/>
        <v>5.0366441738715341E-14</v>
      </c>
      <c r="AK31" s="46">
        <f t="shared" si="22"/>
        <v>1708.9910330289449</v>
      </c>
      <c r="AL31" s="57">
        <f t="shared" si="23"/>
        <v>1.3369493886850628E-14</v>
      </c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</row>
    <row r="32" spans="1:70" hidden="1" x14ac:dyDescent="0.3">
      <c r="A32" s="3"/>
      <c r="B32" s="3"/>
      <c r="C32" s="3"/>
      <c r="D32" s="3" t="s">
        <v>54</v>
      </c>
      <c r="E32" s="55">
        <f>6.5E-19*(F27^6) - 7.82245E-15*(F27^5) + 0.0000000000371204177*(F27^4) - 8.798317617007E-08*(F27^3) + 0.000109823272345614*(F27^2) - 0.0326064446414848*F27 + 3.57864890028521</f>
        <v>72.616008750440713</v>
      </c>
      <c r="F32" s="3"/>
      <c r="G32" s="3"/>
      <c r="H32" s="3"/>
      <c r="I32" s="3"/>
      <c r="J32" s="3"/>
      <c r="K32" s="72">
        <v>11</v>
      </c>
      <c r="L32" s="11">
        <v>30</v>
      </c>
      <c r="M32" s="18">
        <f t="shared" si="24"/>
        <v>2814.0265616589386</v>
      </c>
      <c r="N32" s="11">
        <f t="shared" si="0"/>
        <v>0</v>
      </c>
      <c r="O32" s="46">
        <f t="shared" si="25"/>
        <v>2795.619763014563</v>
      </c>
      <c r="P32" s="57">
        <f t="shared" si="1"/>
        <v>1.0507065535297551E-8</v>
      </c>
      <c r="Q32" s="46">
        <f t="shared" si="2"/>
        <v>2777.0953717285756</v>
      </c>
      <c r="R32" s="57">
        <f t="shared" si="3"/>
        <v>1.2641798018998454E-8</v>
      </c>
      <c r="S32" s="46">
        <f t="shared" si="4"/>
        <v>2758.4946837143516</v>
      </c>
      <c r="T32" s="57">
        <f t="shared" si="5"/>
        <v>1.3134919469557537E-8</v>
      </c>
      <c r="U32" s="46">
        <f t="shared" si="6"/>
        <v>2739.8593481622233</v>
      </c>
      <c r="V32" s="57">
        <f t="shared" si="7"/>
        <v>1.2834013373140637E-8</v>
      </c>
      <c r="W32" s="46">
        <f t="shared" si="8"/>
        <v>2721.1431823868429</v>
      </c>
      <c r="X32" s="57">
        <f t="shared" si="9"/>
        <v>1.2105053020210302E-8</v>
      </c>
      <c r="Y32" s="46">
        <f t="shared" si="10"/>
        <v>2626.1317083106874</v>
      </c>
      <c r="Z32" s="57">
        <f t="shared" si="11"/>
        <v>6.9552947984832789E-9</v>
      </c>
      <c r="AA32" s="46">
        <f t="shared" si="12"/>
        <v>2528.7770206405344</v>
      </c>
      <c r="AB32" s="57">
        <f t="shared" si="13"/>
        <v>3.1550254952616024E-9</v>
      </c>
      <c r="AC32" s="46">
        <f t="shared" si="14"/>
        <v>2428.6889456519543</v>
      </c>
      <c r="AD32" s="57">
        <f t="shared" si="15"/>
        <v>1.2075102038114892E-9</v>
      </c>
      <c r="AE32" s="46">
        <f t="shared" si="16"/>
        <v>1910.6844069213653</v>
      </c>
      <c r="AF32" s="57">
        <f t="shared" si="17"/>
        <v>6.9532935802378448E-13</v>
      </c>
      <c r="AG32" s="46">
        <f t="shared" si="18"/>
        <v>1850.5207702221983</v>
      </c>
      <c r="AH32" s="57">
        <f t="shared" si="19"/>
        <v>2.4044554800320625E-13</v>
      </c>
      <c r="AI32" s="46">
        <f t="shared" si="20"/>
        <v>1789.0543769432873</v>
      </c>
      <c r="AJ32" s="57">
        <f t="shared" si="21"/>
        <v>7.3799183777100567E-14</v>
      </c>
      <c r="AK32" s="46">
        <f t="shared" si="22"/>
        <v>1726.2091517565964</v>
      </c>
      <c r="AL32" s="57">
        <f t="shared" si="23"/>
        <v>1.9863943328232581E-14</v>
      </c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</row>
    <row r="33" spans="1:70" hidden="1" x14ac:dyDescent="0.3">
      <c r="A33" s="3"/>
      <c r="B33" s="3"/>
      <c r="C33" s="3"/>
      <c r="D33" s="3" t="s">
        <v>55</v>
      </c>
      <c r="E33" s="56">
        <f>5.9E-19*(F27^6) - 7.10207E-15*(F27^5) + 3.346089681E-11*(F27^4) - 7.890960163412E-08*(F27^3) + 0.000098599769211504*(F27^2) - 0.028172899155961*F27 + 3.05378907997741</f>
        <v>68.194170136830905</v>
      </c>
      <c r="F33" s="3"/>
      <c r="G33" s="3"/>
      <c r="H33" s="3"/>
      <c r="I33" s="3"/>
      <c r="J33" s="3"/>
      <c r="K33" s="72">
        <v>12</v>
      </c>
      <c r="L33" s="11">
        <v>32</v>
      </c>
      <c r="M33" s="18">
        <f t="shared" si="24"/>
        <v>2840.5389057540729</v>
      </c>
      <c r="N33" s="11">
        <f t="shared" si="0"/>
        <v>0</v>
      </c>
      <c r="O33" s="46">
        <f t="shared" si="25"/>
        <v>2821.9586875030741</v>
      </c>
      <c r="P33" s="57">
        <f t="shared" si="1"/>
        <v>1.3177767110257595E-8</v>
      </c>
      <c r="Q33" s="46">
        <f t="shared" si="2"/>
        <v>2803.25976871169</v>
      </c>
      <c r="R33" s="57">
        <f t="shared" si="3"/>
        <v>1.587908009125865E-8</v>
      </c>
      <c r="S33" s="46">
        <f t="shared" si="4"/>
        <v>2784.4838343626379</v>
      </c>
      <c r="T33" s="57">
        <f t="shared" si="5"/>
        <v>1.6523862801579917E-8</v>
      </c>
      <c r="U33" s="46">
        <f t="shared" si="6"/>
        <v>2765.6729260439915</v>
      </c>
      <c r="V33" s="57">
        <f t="shared" si="7"/>
        <v>1.6170545170356358E-8</v>
      </c>
      <c r="W33" s="46">
        <f t="shared" si="8"/>
        <v>2746.7804259603499</v>
      </c>
      <c r="X33" s="57">
        <f t="shared" si="9"/>
        <v>1.5276334756467911E-8</v>
      </c>
      <c r="Y33" s="46">
        <f t="shared" si="10"/>
        <v>2650.8738015227818</v>
      </c>
      <c r="Z33" s="57">
        <f t="shared" si="11"/>
        <v>8.851645558787248E-9</v>
      </c>
      <c r="AA33" s="46">
        <f t="shared" si="12"/>
        <v>2552.6018869102991</v>
      </c>
      <c r="AB33" s="57">
        <f t="shared" si="13"/>
        <v>4.0526816395019591E-9</v>
      </c>
      <c r="AC33" s="46">
        <f t="shared" si="14"/>
        <v>2451.5708323777189</v>
      </c>
      <c r="AD33" s="57">
        <f t="shared" si="15"/>
        <v>1.5671539637393717E-9</v>
      </c>
      <c r="AE33" s="46">
        <f t="shared" si="16"/>
        <v>1928.685915202667</v>
      </c>
      <c r="AF33" s="57">
        <f t="shared" si="17"/>
        <v>9.6851569519967536E-13</v>
      </c>
      <c r="AG33" s="46">
        <f t="shared" si="18"/>
        <v>1867.9554469533236</v>
      </c>
      <c r="AH33" s="57">
        <f t="shared" si="19"/>
        <v>3.3854140987132245E-13</v>
      </c>
      <c r="AI33" s="46">
        <f t="shared" si="20"/>
        <v>1805.9099482064328</v>
      </c>
      <c r="AJ33" s="57">
        <f t="shared" si="21"/>
        <v>1.0513610532324194E-13</v>
      </c>
      <c r="AK33" s="46">
        <f t="shared" si="22"/>
        <v>1742.472626890449</v>
      </c>
      <c r="AL33" s="57">
        <f t="shared" si="23"/>
        <v>2.8665629547630734E-14</v>
      </c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</row>
    <row r="34" spans="1:70" hidden="1" x14ac:dyDescent="0.3">
      <c r="A34" s="3"/>
      <c r="B34" s="3"/>
      <c r="C34" s="3"/>
      <c r="D34" s="133" t="s">
        <v>49</v>
      </c>
      <c r="E34" s="133"/>
      <c r="F34" s="133"/>
      <c r="G34" s="133"/>
      <c r="H34" s="133"/>
      <c r="I34" s="133"/>
      <c r="J34" s="156"/>
      <c r="K34" s="72">
        <v>13</v>
      </c>
      <c r="L34" s="11">
        <v>34</v>
      </c>
      <c r="M34" s="18">
        <f t="shared" si="24"/>
        <v>2865.6709047868553</v>
      </c>
      <c r="N34" s="11">
        <f t="shared" si="0"/>
        <v>0</v>
      </c>
      <c r="O34" s="46">
        <f t="shared" si="25"/>
        <v>2846.926295889361</v>
      </c>
      <c r="P34" s="57">
        <f t="shared" si="1"/>
        <v>1.6270497117051509E-8</v>
      </c>
      <c r="Q34" s="46">
        <f t="shared" si="2"/>
        <v>2828.0619362346156</v>
      </c>
      <c r="R34" s="57">
        <f t="shared" si="3"/>
        <v>1.9633379910405325E-8</v>
      </c>
      <c r="S34" s="46">
        <f t="shared" si="4"/>
        <v>2809.1198796180797</v>
      </c>
      <c r="T34" s="57">
        <f t="shared" si="5"/>
        <v>2.0459867520206032E-8</v>
      </c>
      <c r="U34" s="46">
        <f t="shared" si="6"/>
        <v>2790.1425395956771</v>
      </c>
      <c r="V34" s="57">
        <f t="shared" si="7"/>
        <v>2.0051507293316989E-8</v>
      </c>
      <c r="W34" s="46">
        <f t="shared" si="8"/>
        <v>2771.082885915629</v>
      </c>
      <c r="X34" s="57">
        <f t="shared" si="9"/>
        <v>1.8970732196639402E-8</v>
      </c>
      <c r="Y34" s="46">
        <f t="shared" si="10"/>
        <v>2674.3277164404558</v>
      </c>
      <c r="Z34" s="57">
        <f t="shared" si="11"/>
        <v>1.1078785156431339E-8</v>
      </c>
      <c r="AA34" s="46">
        <f t="shared" si="12"/>
        <v>2575.1863296098713</v>
      </c>
      <c r="AB34" s="57">
        <f t="shared" si="13"/>
        <v>5.1163825885143437E-9</v>
      </c>
      <c r="AC34" s="46">
        <f t="shared" si="14"/>
        <v>2473.2613910471691</v>
      </c>
      <c r="AD34" s="57">
        <f t="shared" si="15"/>
        <v>1.9975771515410573E-9</v>
      </c>
      <c r="AE34" s="46">
        <f t="shared" si="16"/>
        <v>1945.7501886253001</v>
      </c>
      <c r="AF34" s="57">
        <f t="shared" si="17"/>
        <v>1.3184731656707832E-12</v>
      </c>
      <c r="AG34" s="46">
        <f t="shared" si="18"/>
        <v>1884.4824004799993</v>
      </c>
      <c r="AH34" s="57">
        <f t="shared" si="19"/>
        <v>4.6551304215505658E-13</v>
      </c>
      <c r="AI34" s="46">
        <f t="shared" si="20"/>
        <v>1821.8879469515573</v>
      </c>
      <c r="AJ34" s="57">
        <f t="shared" si="21"/>
        <v>1.461585379619221E-13</v>
      </c>
      <c r="AK34" s="46">
        <f t="shared" si="22"/>
        <v>1757.8893565416258</v>
      </c>
      <c r="AL34" s="57">
        <f t="shared" si="23"/>
        <v>4.0331330606681775E-14</v>
      </c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</row>
    <row r="35" spans="1:70" hidden="1" x14ac:dyDescent="0.3">
      <c r="A35" s="3"/>
      <c r="B35" s="3"/>
      <c r="C35" s="3"/>
      <c r="K35" s="72">
        <v>14</v>
      </c>
      <c r="L35" s="11">
        <v>36</v>
      </c>
      <c r="M35" s="18">
        <f t="shared" si="24"/>
        <v>2889.569601250329</v>
      </c>
      <c r="N35" s="11">
        <f t="shared" si="0"/>
        <v>0</v>
      </c>
      <c r="O35" s="46">
        <f t="shared" si="25"/>
        <v>2870.6686688484087</v>
      </c>
      <c r="P35" s="57">
        <f t="shared" si="1"/>
        <v>1.9814786309791124E-8</v>
      </c>
      <c r="Q35" s="46">
        <f t="shared" si="2"/>
        <v>2851.6469870096635</v>
      </c>
      <c r="R35" s="57">
        <f t="shared" si="3"/>
        <v>2.3941676200111821E-8</v>
      </c>
      <c r="S35" s="46">
        <f t="shared" si="4"/>
        <v>2832.5469602435487</v>
      </c>
      <c r="T35" s="57">
        <f t="shared" si="5"/>
        <v>2.4982924651198336E-8</v>
      </c>
      <c r="U35" s="46">
        <f t="shared" si="6"/>
        <v>2813.4113558202612</v>
      </c>
      <c r="V35" s="57">
        <f t="shared" si="7"/>
        <v>2.451757183495934E-8</v>
      </c>
      <c r="W35" s="46">
        <f t="shared" si="8"/>
        <v>2794.1927512721154</v>
      </c>
      <c r="X35" s="57">
        <f t="shared" si="9"/>
        <v>2.3228180301867182E-8</v>
      </c>
      <c r="Y35" s="46">
        <f t="shared" si="10"/>
        <v>2696.6306774093182</v>
      </c>
      <c r="Z35" s="57">
        <f t="shared" si="11"/>
        <v>1.3664838920667171E-8</v>
      </c>
      <c r="AA35" s="46">
        <f t="shared" si="12"/>
        <v>2596.6624859701255</v>
      </c>
      <c r="AB35" s="57">
        <f t="shared" si="13"/>
        <v>6.3618452190502247E-9</v>
      </c>
      <c r="AC35" s="46">
        <f t="shared" si="14"/>
        <v>2493.8875289476277</v>
      </c>
      <c r="AD35" s="57">
        <f t="shared" si="15"/>
        <v>2.5062420495741174E-9</v>
      </c>
      <c r="AE35" s="46">
        <f t="shared" si="16"/>
        <v>1961.9770669713193</v>
      </c>
      <c r="AF35" s="57">
        <f t="shared" si="17"/>
        <v>1.7591395651963241E-12</v>
      </c>
      <c r="AG35" s="46">
        <f t="shared" si="18"/>
        <v>1900.1983268289043</v>
      </c>
      <c r="AH35" s="57">
        <f t="shared" si="19"/>
        <v>6.269490752693067E-13</v>
      </c>
      <c r="AI35" s="46">
        <f t="shared" si="20"/>
        <v>1837.0818573764864</v>
      </c>
      <c r="AJ35" s="57">
        <f t="shared" si="21"/>
        <v>1.9886894363172055E-13</v>
      </c>
      <c r="AK35" s="46">
        <f t="shared" si="22"/>
        <v>1772.5495410304252</v>
      </c>
      <c r="AL35" s="57">
        <f t="shared" si="23"/>
        <v>5.5495073757341243E-14</v>
      </c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</row>
    <row r="36" spans="1:70" hidden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72">
        <v>15</v>
      </c>
      <c r="L36" s="11">
        <v>38</v>
      </c>
      <c r="M36" s="18">
        <f t="shared" si="24"/>
        <v>2912.3592314368698</v>
      </c>
      <c r="N36" s="11">
        <f t="shared" si="0"/>
        <v>0</v>
      </c>
      <c r="O36" s="46">
        <f t="shared" si="25"/>
        <v>2893.3092300319277</v>
      </c>
      <c r="P36" s="57">
        <f t="shared" si="1"/>
        <v>2.383952797047388E-8</v>
      </c>
      <c r="Q36" s="46">
        <f t="shared" si="2"/>
        <v>2874.137526856287</v>
      </c>
      <c r="R36" s="57">
        <f t="shared" si="3"/>
        <v>2.8840215523992678E-8</v>
      </c>
      <c r="S36" s="46">
        <f t="shared" si="4"/>
        <v>2854.8868608578227</v>
      </c>
      <c r="T36" s="57">
        <f t="shared" si="5"/>
        <v>3.0132305518876868E-8</v>
      </c>
      <c r="U36" s="46">
        <f t="shared" si="6"/>
        <v>2835.6003366061937</v>
      </c>
      <c r="V36" s="57">
        <f t="shared" si="7"/>
        <v>2.960875277525796E-8</v>
      </c>
      <c r="W36" s="46">
        <f t="shared" si="8"/>
        <v>2816.2301576193618</v>
      </c>
      <c r="X36" s="57">
        <f t="shared" si="9"/>
        <v>2.8088041083950722E-8</v>
      </c>
      <c r="Y36" s="46">
        <f t="shared" si="10"/>
        <v>2717.8986253629673</v>
      </c>
      <c r="Z36" s="57">
        <f t="shared" si="11"/>
        <v>1.6637795983143264E-8</v>
      </c>
      <c r="AA36" s="46">
        <f t="shared" si="12"/>
        <v>2617.1419988183075</v>
      </c>
      <c r="AB36" s="57">
        <f t="shared" si="13"/>
        <v>7.8048701431258961E-9</v>
      </c>
      <c r="AC36" s="46">
        <f t="shared" si="14"/>
        <v>2513.5564701238327</v>
      </c>
      <c r="AD36" s="57">
        <f t="shared" si="15"/>
        <v>3.1007331436497192E-9</v>
      </c>
      <c r="AE36" s="46">
        <f t="shared" si="16"/>
        <v>1977.4509049336937</v>
      </c>
      <c r="AF36" s="57">
        <f t="shared" si="17"/>
        <v>2.3057032103767784E-12</v>
      </c>
      <c r="AG36" s="46">
        <f t="shared" si="18"/>
        <v>1915.1849245321664</v>
      </c>
      <c r="AH36" s="57">
        <f t="shared" si="19"/>
        <v>8.2900204812029403E-13</v>
      </c>
      <c r="AI36" s="46">
        <f t="shared" si="20"/>
        <v>1851.5706643371832</v>
      </c>
      <c r="AJ36" s="57">
        <f t="shared" si="21"/>
        <v>2.6549637763780532E-13</v>
      </c>
      <c r="AK36" s="46">
        <f t="shared" si="22"/>
        <v>1786.5293906626771</v>
      </c>
      <c r="AL36" s="57">
        <f t="shared" si="23"/>
        <v>7.487119704732983E-14</v>
      </c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</row>
    <row r="37" spans="1:70" hidden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43">
        <v>16</v>
      </c>
      <c r="L37" s="11">
        <v>40</v>
      </c>
      <c r="M37" s="18">
        <f t="shared" si="24"/>
        <v>2934.1457567692719</v>
      </c>
      <c r="N37" s="11">
        <f t="shared" si="0"/>
        <v>0</v>
      </c>
      <c r="O37" s="46">
        <f t="shared" si="25"/>
        <v>2914.9532477595976</v>
      </c>
      <c r="P37" s="57">
        <f t="shared" si="1"/>
        <v>2.8372964655308188E-8</v>
      </c>
      <c r="Q37" s="46">
        <f t="shared" si="2"/>
        <v>2895.638126563133</v>
      </c>
      <c r="R37" s="57">
        <f t="shared" si="3"/>
        <v>3.4364489563585623E-8</v>
      </c>
      <c r="S37" s="46">
        <f t="shared" si="4"/>
        <v>2876.2434518455816</v>
      </c>
      <c r="T37" s="57">
        <f t="shared" si="5"/>
        <v>3.5946530686979885E-8</v>
      </c>
      <c r="U37" s="46">
        <f t="shared" si="6"/>
        <v>2856.8126506295425</v>
      </c>
      <c r="V37" s="57">
        <f t="shared" si="7"/>
        <v>3.5364367955135758E-8</v>
      </c>
      <c r="W37" s="46">
        <f t="shared" si="8"/>
        <v>2837.2975688811853</v>
      </c>
      <c r="X37" s="57">
        <f t="shared" si="9"/>
        <v>3.3589060090778443E-8</v>
      </c>
      <c r="Y37" s="46">
        <f t="shared" si="10"/>
        <v>2738.2304465933985</v>
      </c>
      <c r="Z37" s="57">
        <f t="shared" si="11"/>
        <v>2.0025458482347117E-8</v>
      </c>
      <c r="AA37" s="46">
        <f t="shared" si="12"/>
        <v>2636.720088581505</v>
      </c>
      <c r="AB37" s="57">
        <f t="shared" si="13"/>
        <v>9.4613038342503732E-9</v>
      </c>
      <c r="AC37" s="46">
        <f t="shared" si="14"/>
        <v>2532.3596662129903</v>
      </c>
      <c r="AD37" s="57">
        <f t="shared" si="15"/>
        <v>3.7887357131571093E-9</v>
      </c>
      <c r="AE37" s="46">
        <f t="shared" si="16"/>
        <v>1992.243648826302</v>
      </c>
      <c r="AF37" s="57">
        <f t="shared" si="17"/>
        <v>2.9745957672130827E-12</v>
      </c>
      <c r="AG37" s="46">
        <f t="shared" si="18"/>
        <v>1929.5118744579036</v>
      </c>
      <c r="AH37" s="57">
        <f t="shared" si="19"/>
        <v>1.078392231668544E-12</v>
      </c>
      <c r="AI37" s="46">
        <f t="shared" si="20"/>
        <v>1865.4217342010518</v>
      </c>
      <c r="AJ37" s="57">
        <f t="shared" si="21"/>
        <v>3.4850100413153729E-13</v>
      </c>
      <c r="AK37" s="46">
        <f t="shared" si="22"/>
        <v>1799.8939053855227</v>
      </c>
      <c r="AL37" s="57">
        <f t="shared" si="23"/>
        <v>9.9257074710908139E-14</v>
      </c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</row>
    <row r="38" spans="1:70" s="59" customFormat="1" hidden="1" x14ac:dyDescent="0.3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60" t="s">
        <v>95</v>
      </c>
      <c r="L38" s="31"/>
      <c r="M38" s="61"/>
      <c r="N38" s="61">
        <v>0</v>
      </c>
      <c r="O38" s="61"/>
      <c r="P38" s="61">
        <f>SUM(P22:P37)</f>
        <v>1.4084146200682798E-7</v>
      </c>
      <c r="Q38" s="61"/>
      <c r="R38" s="61">
        <f t="shared" ref="R38" si="26">SUM(R22:R37)</f>
        <v>1.6982019019914035E-7</v>
      </c>
      <c r="S38" s="61"/>
      <c r="T38" s="61">
        <f t="shared" ref="T38" si="27">SUM(T22:T37)</f>
        <v>1.7683438708748975E-7</v>
      </c>
      <c r="U38" s="61"/>
      <c r="V38" s="61">
        <f t="shared" ref="V38" si="28">SUM(V22:V37)</f>
        <v>1.7317561191376922E-7</v>
      </c>
      <c r="W38" s="61"/>
      <c r="X38" s="61">
        <f t="shared" ref="X38" si="29">SUM(X22:X37)</f>
        <v>1.6372133399434315E-7</v>
      </c>
      <c r="Y38" s="61"/>
      <c r="Z38" s="61">
        <f t="shared" ref="Z38" si="30">SUM(Z22:Z37)</f>
        <v>9.5283141099622724E-8</v>
      </c>
      <c r="AA38" s="61"/>
      <c r="AB38" s="61">
        <f t="shared" ref="AB38" si="31">SUM(AB22:AB37)</f>
        <v>4.3872453452058089E-8</v>
      </c>
      <c r="AC38" s="61"/>
      <c r="AD38" s="61">
        <f t="shared" ref="AD38" si="32">SUM(AD22:AD37)</f>
        <v>1.7088624383255195E-8</v>
      </c>
      <c r="AE38" s="61"/>
      <c r="AF38" s="61">
        <f t="shared" ref="AF38" si="33">SUM(AF22:AF37)</f>
        <v>1.1354761069396261E-11</v>
      </c>
      <c r="AG38" s="61"/>
      <c r="AH38" s="61">
        <f t="shared" ref="AH38" si="34">SUM(AH22:AH37)</f>
        <v>4.0250534932869411E-12</v>
      </c>
      <c r="AI38" s="61"/>
      <c r="AJ38" s="61">
        <f t="shared" ref="AJ38" si="35">SUM(AJ22:AJ37)</f>
        <v>1.2702413121810393E-12</v>
      </c>
      <c r="AK38" s="61"/>
      <c r="AL38" s="62">
        <f t="shared" ref="AL38" si="36">SUM(AL22:AL37)</f>
        <v>3.5278945356153396E-13</v>
      </c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</row>
    <row r="39" spans="1:70" hidden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</row>
    <row r="40" spans="1:70" hidden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</row>
    <row r="41" spans="1:70" hidden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</row>
    <row r="42" spans="1:70" hidden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</row>
    <row r="43" spans="1:70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</row>
    <row r="44" spans="1:70" x14ac:dyDescent="0.3">
      <c r="A44" s="3"/>
      <c r="B44" s="3"/>
      <c r="C44" s="3"/>
      <c r="D44" s="130" t="s">
        <v>99</v>
      </c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</row>
    <row r="45" spans="1:70" x14ac:dyDescent="0.3">
      <c r="A45" s="3"/>
      <c r="B45" s="3"/>
      <c r="C45" s="3"/>
      <c r="D45" s="130" t="s">
        <v>101</v>
      </c>
      <c r="E45" s="130"/>
      <c r="F45" s="130"/>
      <c r="G45" s="130"/>
      <c r="H45" s="130"/>
      <c r="I45" s="130"/>
      <c r="J45" s="130"/>
      <c r="K45" s="3"/>
      <c r="L45" s="3"/>
      <c r="M45" s="3"/>
      <c r="N45" s="3"/>
      <c r="O45" s="3"/>
      <c r="P45" s="3" t="s">
        <v>89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</row>
    <row r="46" spans="1:70" x14ac:dyDescent="0.3">
      <c r="A46" s="3"/>
      <c r="B46" s="3"/>
      <c r="C46" s="3"/>
      <c r="D46" s="3" t="s">
        <v>47</v>
      </c>
      <c r="E46" s="4">
        <f>E52*8</f>
        <v>7.76</v>
      </c>
      <c r="F46" s="3" t="s">
        <v>97</v>
      </c>
      <c r="G46" s="4">
        <v>12.5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</row>
    <row r="47" spans="1:70" x14ac:dyDescent="0.3">
      <c r="A47" s="3"/>
      <c r="B47" s="3"/>
      <c r="C47" s="3"/>
      <c r="D47" s="3" t="s">
        <v>48</v>
      </c>
      <c r="E47" s="4">
        <f>E52*18</f>
        <v>17.46</v>
      </c>
      <c r="F47" s="3" t="s">
        <v>0</v>
      </c>
      <c r="G47" s="4">
        <f>8*E52*(1+E53)</f>
        <v>10.087999999999999</v>
      </c>
      <c r="H47" s="3" t="s">
        <v>68</v>
      </c>
      <c r="I47" s="3"/>
      <c r="J47" s="76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</row>
    <row r="48" spans="1:70" x14ac:dyDescent="0.3">
      <c r="A48" s="3"/>
      <c r="B48" s="3"/>
      <c r="C48" s="3"/>
      <c r="D48" s="3"/>
      <c r="E48" s="3"/>
      <c r="F48" s="3" t="s">
        <v>2</v>
      </c>
      <c r="G48" s="4">
        <f>9*E52*(1+E53)</f>
        <v>11.349</v>
      </c>
      <c r="H48" s="3" t="s">
        <v>69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</row>
    <row r="49" spans="1:70" x14ac:dyDescent="0.3">
      <c r="A49" s="3"/>
      <c r="B49" s="3"/>
      <c r="C49" s="3"/>
      <c r="D49" s="3"/>
      <c r="E49" s="3"/>
      <c r="F49" s="3" t="s">
        <v>9</v>
      </c>
      <c r="G49" s="4">
        <f>G46*(1-E52)*(1+E53)</f>
        <v>0.48750000000000043</v>
      </c>
      <c r="H49" s="3" t="s">
        <v>70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</row>
    <row r="50" spans="1:70" x14ac:dyDescent="0.3">
      <c r="A50" s="3"/>
      <c r="B50" s="3"/>
      <c r="C50" s="3"/>
      <c r="D50" s="3"/>
      <c r="E50" s="3"/>
      <c r="F50" s="3" t="s">
        <v>8</v>
      </c>
      <c r="G50" s="4">
        <f>G46*E51*(1+E53)</f>
        <v>61.1</v>
      </c>
      <c r="H50" s="3" t="s">
        <v>71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</row>
    <row r="51" spans="1:70" x14ac:dyDescent="0.3">
      <c r="A51" s="3"/>
      <c r="B51" s="3"/>
      <c r="C51" s="3"/>
      <c r="D51" s="78" t="s">
        <v>100</v>
      </c>
      <c r="E51" s="7">
        <v>3.76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</row>
    <row r="52" spans="1:70" x14ac:dyDescent="0.3">
      <c r="A52" s="3"/>
      <c r="B52" s="3"/>
      <c r="C52" s="3"/>
      <c r="D52" s="72" t="s">
        <v>32</v>
      </c>
      <c r="E52" s="7">
        <v>0.97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</row>
    <row r="53" spans="1:70" ht="20.399999999999999" thickBot="1" x14ac:dyDescent="0.45">
      <c r="A53" s="3"/>
      <c r="B53" s="3"/>
      <c r="C53" s="3"/>
      <c r="D53" s="72" t="s">
        <v>96</v>
      </c>
      <c r="E53" s="98">
        <v>0.3</v>
      </c>
      <c r="F53" s="28" t="s">
        <v>96</v>
      </c>
      <c r="G53" s="99" t="s">
        <v>32</v>
      </c>
      <c r="H53" s="100" t="s">
        <v>62</v>
      </c>
      <c r="I53" s="28" t="s">
        <v>72</v>
      </c>
      <c r="J53" s="28" t="s">
        <v>73</v>
      </c>
      <c r="K53" s="105" t="s">
        <v>85</v>
      </c>
      <c r="L53" s="28" t="s">
        <v>75</v>
      </c>
      <c r="M53" s="28" t="s">
        <v>80</v>
      </c>
      <c r="N53" s="28" t="s">
        <v>81</v>
      </c>
      <c r="O53" s="28" t="s">
        <v>79</v>
      </c>
      <c r="P53" s="28" t="s">
        <v>91</v>
      </c>
      <c r="Q53" s="28" t="s">
        <v>92</v>
      </c>
      <c r="R53" s="28" t="s">
        <v>93</v>
      </c>
      <c r="S53" s="28" t="s">
        <v>94</v>
      </c>
      <c r="T53" s="28" t="s">
        <v>90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</row>
    <row r="54" spans="1:70" ht="21" thickTop="1" thickBot="1" x14ac:dyDescent="0.45">
      <c r="A54" s="3"/>
      <c r="B54" s="3"/>
      <c r="C54" s="3"/>
      <c r="D54" s="71" t="s">
        <v>63</v>
      </c>
      <c r="E54" s="11">
        <v>0.4</v>
      </c>
      <c r="F54" s="101">
        <f>E53</f>
        <v>0.3</v>
      </c>
      <c r="G54" s="28">
        <v>0.97</v>
      </c>
      <c r="H54" s="28">
        <f>E63</f>
        <v>1.0861814299021231E-7</v>
      </c>
      <c r="I54" s="28">
        <f>($G$49*$H$54)/($E$58*10^-6)</f>
        <v>1.3237836176932139E-3</v>
      </c>
      <c r="J54" s="28">
        <f>($G$50*$H$54)/($E$58*10^-6)</f>
        <v>0.16591421341754931</v>
      </c>
      <c r="K54" s="105">
        <f>(G47*E68)+(G48*E69)+(G50*E71)+(E70*G49)</f>
        <v>4913.0500000137317</v>
      </c>
      <c r="L54" s="28">
        <f>E65</f>
        <v>1920.2481724597685</v>
      </c>
      <c r="M54" s="28"/>
      <c r="N54" s="28"/>
      <c r="O54" s="28">
        <v>4913.05</v>
      </c>
      <c r="P54" s="28">
        <f>G47</f>
        <v>10.087999999999999</v>
      </c>
      <c r="Q54" s="28">
        <f>G48</f>
        <v>11.349</v>
      </c>
      <c r="R54" s="28">
        <f>G49</f>
        <v>0.48750000000000043</v>
      </c>
      <c r="S54" s="28">
        <f>G50</f>
        <v>61.1</v>
      </c>
      <c r="T54" s="28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</row>
    <row r="55" spans="1:70" ht="15" thickTop="1" x14ac:dyDescent="0.3">
      <c r="A55" s="3"/>
      <c r="B55" s="3"/>
      <c r="C55" s="3"/>
      <c r="D55" s="73" t="s">
        <v>29</v>
      </c>
      <c r="E55" s="11">
        <v>1600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</row>
    <row r="56" spans="1:70" x14ac:dyDescent="0.3">
      <c r="A56" s="3"/>
      <c r="B56" s="3"/>
      <c r="C56" s="3"/>
      <c r="D56" s="73" t="s">
        <v>30</v>
      </c>
      <c r="E56" s="11">
        <v>4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</row>
    <row r="57" spans="1:70" x14ac:dyDescent="0.3">
      <c r="A57" s="3"/>
      <c r="B57" s="3"/>
      <c r="C57" s="3"/>
      <c r="D57" s="71" t="s">
        <v>64</v>
      </c>
      <c r="E57" s="45">
        <f>E55/E56</f>
        <v>400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</row>
    <row r="58" spans="1:70" x14ac:dyDescent="0.3">
      <c r="A58" s="3"/>
      <c r="B58" s="3"/>
      <c r="C58" s="3"/>
      <c r="D58" s="74" t="s">
        <v>74</v>
      </c>
      <c r="E58" s="45">
        <f>E57*0.1</f>
        <v>40</v>
      </c>
      <c r="F58" s="29" t="s">
        <v>96</v>
      </c>
      <c r="G58" s="29" t="s">
        <v>32</v>
      </c>
      <c r="H58" s="29" t="s">
        <v>62</v>
      </c>
      <c r="I58" s="29" t="s">
        <v>72</v>
      </c>
      <c r="J58" s="29" t="s">
        <v>73</v>
      </c>
      <c r="K58" s="29" t="s">
        <v>85</v>
      </c>
      <c r="L58" s="29" t="s">
        <v>75</v>
      </c>
      <c r="M58" s="29" t="s">
        <v>80</v>
      </c>
      <c r="N58" s="29" t="s">
        <v>81</v>
      </c>
      <c r="O58" s="29" t="s">
        <v>79</v>
      </c>
      <c r="P58" s="29" t="s">
        <v>91</v>
      </c>
      <c r="Q58" s="29" t="s">
        <v>92</v>
      </c>
      <c r="R58" s="29" t="s">
        <v>93</v>
      </c>
      <c r="S58" s="29" t="s">
        <v>94</v>
      </c>
      <c r="T58" s="29" t="s">
        <v>90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</row>
    <row r="59" spans="1:70" x14ac:dyDescent="0.3">
      <c r="A59" s="3"/>
      <c r="B59" s="3"/>
      <c r="C59" s="3"/>
      <c r="D59" s="73" t="s">
        <v>31</v>
      </c>
      <c r="E59" s="11">
        <v>1800</v>
      </c>
      <c r="F59">
        <v>0</v>
      </c>
      <c r="G59">
        <v>0.97</v>
      </c>
      <c r="H59">
        <v>1.0861814299021231E-7</v>
      </c>
      <c r="I59">
        <v>1.0182950905332415E-3</v>
      </c>
      <c r="J59">
        <v>0.12762631801349947</v>
      </c>
      <c r="K59">
        <v>4913.0496603745969</v>
      </c>
      <c r="L59" s="77">
        <v>2351.5286468443301</v>
      </c>
      <c r="O59">
        <v>4913.05</v>
      </c>
      <c r="P59">
        <v>7.76</v>
      </c>
      <c r="Q59">
        <v>8.73</v>
      </c>
      <c r="R59">
        <v>0.37500000000000033</v>
      </c>
      <c r="S59">
        <v>47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</row>
    <row r="60" spans="1:70" x14ac:dyDescent="0.3">
      <c r="A60" s="3"/>
      <c r="B60" s="3"/>
      <c r="C60" s="3"/>
      <c r="D60" s="73" t="s">
        <v>66</v>
      </c>
      <c r="E60" s="45">
        <f>20+273</f>
        <v>293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</row>
    <row r="61" spans="1:70" x14ac:dyDescent="0.3">
      <c r="A61" s="3"/>
      <c r="B61" s="3"/>
      <c r="C61" s="3"/>
      <c r="D61" s="73" t="s">
        <v>67</v>
      </c>
      <c r="E61" s="11">
        <v>8314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</row>
    <row r="62" spans="1:70" x14ac:dyDescent="0.3">
      <c r="A62" s="3"/>
      <c r="B62" s="3"/>
      <c r="C62" s="3"/>
      <c r="D62" s="73" t="s">
        <v>103</v>
      </c>
      <c r="E62" s="18">
        <f>(10^5*(E57*E54*10^-6))/(E61*E60)</f>
        <v>6.5681391066181384E-6</v>
      </c>
      <c r="F62" s="4" t="s">
        <v>96</v>
      </c>
      <c r="G62" s="4" t="s">
        <v>32</v>
      </c>
      <c r="H62" s="4" t="s">
        <v>62</v>
      </c>
      <c r="I62" s="4" t="s">
        <v>72</v>
      </c>
      <c r="J62" s="4" t="s">
        <v>73</v>
      </c>
      <c r="K62" s="4" t="s">
        <v>85</v>
      </c>
      <c r="L62" s="4" t="s">
        <v>75</v>
      </c>
      <c r="M62" s="4" t="s">
        <v>80</v>
      </c>
      <c r="N62" s="4" t="s">
        <v>81</v>
      </c>
      <c r="O62" s="4" t="s">
        <v>79</v>
      </c>
      <c r="P62" s="4" t="s">
        <v>91</v>
      </c>
      <c r="Q62" s="4" t="s">
        <v>92</v>
      </c>
      <c r="R62" s="4" t="s">
        <v>93</v>
      </c>
      <c r="S62" s="4" t="s">
        <v>94</v>
      </c>
      <c r="T62" s="4" t="s">
        <v>90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</row>
    <row r="63" spans="1:70" x14ac:dyDescent="0.3">
      <c r="A63" s="3"/>
      <c r="B63" s="3"/>
      <c r="C63" s="3"/>
      <c r="D63" s="71" t="s">
        <v>62</v>
      </c>
      <c r="E63" s="11">
        <f>E62/(E52+(G46*(1+E51)))</f>
        <v>1.0861814299021231E-7</v>
      </c>
      <c r="F63" s="97">
        <v>0.05</v>
      </c>
      <c r="G63">
        <v>0.97</v>
      </c>
      <c r="H63">
        <v>1.0861814299021231E-7</v>
      </c>
      <c r="I63">
        <v>1.0692098450599036E-3</v>
      </c>
      <c r="J63">
        <v>0.13400763391417447</v>
      </c>
      <c r="K63">
        <v>4913.0504810939656</v>
      </c>
      <c r="L63" s="77">
        <v>2263.8251706388251</v>
      </c>
      <c r="O63">
        <v>4913.05</v>
      </c>
      <c r="P63">
        <v>8.1479999999999997</v>
      </c>
      <c r="Q63">
        <v>9.166500000000001</v>
      </c>
      <c r="R63">
        <v>0.39375000000000038</v>
      </c>
      <c r="S63">
        <v>49.35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</row>
    <row r="64" spans="1:70" x14ac:dyDescent="0.3">
      <c r="A64" s="3"/>
      <c r="B64" s="3"/>
      <c r="C64" s="3"/>
      <c r="D64" s="65" t="s">
        <v>65</v>
      </c>
      <c r="E64" s="13">
        <v>1.17</v>
      </c>
      <c r="F64" s="3"/>
      <c r="G64" s="3"/>
      <c r="H64" s="3"/>
      <c r="I64" s="3"/>
      <c r="J64" s="3"/>
      <c r="K64" s="3"/>
      <c r="L64" s="102">
        <f>1-(L63/L59)</f>
        <v>3.7296367332458447E-2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</row>
    <row r="65" spans="1:70" ht="18" thickBot="1" x14ac:dyDescent="0.4">
      <c r="A65" s="3"/>
      <c r="B65" s="3"/>
      <c r="C65" s="3"/>
      <c r="D65" s="118" t="s">
        <v>104</v>
      </c>
      <c r="E65" s="106">
        <v>1920.2481724597685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</row>
    <row r="66" spans="1:70" ht="15" thickTop="1" x14ac:dyDescent="0.3">
      <c r="A66" s="3"/>
      <c r="B66" s="3"/>
      <c r="C66" s="3"/>
      <c r="D66" s="3"/>
      <c r="E66" s="3"/>
      <c r="F66" s="4" t="s">
        <v>96</v>
      </c>
      <c r="G66" s="4" t="s">
        <v>32</v>
      </c>
      <c r="H66" s="4" t="s">
        <v>62</v>
      </c>
      <c r="I66" s="4" t="s">
        <v>72</v>
      </c>
      <c r="J66" s="4" t="s">
        <v>73</v>
      </c>
      <c r="K66" s="4" t="s">
        <v>85</v>
      </c>
      <c r="L66" s="4" t="s">
        <v>75</v>
      </c>
      <c r="M66" s="4" t="s">
        <v>80</v>
      </c>
      <c r="N66" s="4" t="s">
        <v>81</v>
      </c>
      <c r="O66" s="4" t="s">
        <v>79</v>
      </c>
      <c r="P66" s="4" t="s">
        <v>91</v>
      </c>
      <c r="Q66" s="4" t="s">
        <v>92</v>
      </c>
      <c r="R66" s="4" t="s">
        <v>93</v>
      </c>
      <c r="S66" s="4" t="s">
        <v>94</v>
      </c>
      <c r="T66" s="4" t="s">
        <v>90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</row>
    <row r="67" spans="1:70" x14ac:dyDescent="0.3">
      <c r="A67" s="3"/>
      <c r="B67" s="3"/>
      <c r="C67" s="3"/>
      <c r="E67" s="3" t="s">
        <v>56</v>
      </c>
      <c r="F67" s="76">
        <v>0.1</v>
      </c>
      <c r="G67" s="3">
        <v>0.97</v>
      </c>
      <c r="H67" s="3">
        <v>1.0861814299021231E-7</v>
      </c>
      <c r="I67" s="3">
        <v>1.1201245995865658E-3</v>
      </c>
      <c r="J67" s="3">
        <v>0.14038894981484942</v>
      </c>
      <c r="K67" s="3">
        <v>4913.0500000082793</v>
      </c>
      <c r="L67" s="77">
        <v>2183.7078139789555</v>
      </c>
      <c r="M67" s="3"/>
      <c r="N67" s="3"/>
      <c r="O67" s="3">
        <v>4913.05</v>
      </c>
      <c r="P67" s="3">
        <v>8.5359999999999996</v>
      </c>
      <c r="Q67" s="3">
        <v>9.6030000000000015</v>
      </c>
      <c r="R67" s="3">
        <v>0.41250000000000042</v>
      </c>
      <c r="S67" s="3">
        <v>51.7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</row>
    <row r="68" spans="1:70" x14ac:dyDescent="0.3">
      <c r="A68" s="3"/>
      <c r="B68" s="3"/>
      <c r="C68" s="3"/>
      <c r="D68" s="3" t="s">
        <v>50</v>
      </c>
      <c r="E68" s="55">
        <f>8.6E-19*(E65^6) - 1.037488E-14*(E65^5) + 4.968947595E-11*(E65^4) - 0.0000001201911805397*(E65^3) + 0.000156509548934808*(E65^2) - 0.0482393620326645*E65 + 5.20845196264969</f>
        <v>86.500608338452039</v>
      </c>
      <c r="F68" s="3"/>
      <c r="G68" s="3"/>
      <c r="H68" s="3"/>
      <c r="I68" s="3"/>
      <c r="J68" s="3"/>
      <c r="K68" s="3"/>
      <c r="L68" s="25">
        <f>1-(L67/L59)</f>
        <v>7.1366697186778572E-2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</row>
    <row r="69" spans="1:70" x14ac:dyDescent="0.3">
      <c r="A69" s="3"/>
      <c r="B69" s="3"/>
      <c r="C69" s="3"/>
      <c r="D69" s="3" t="s">
        <v>53</v>
      </c>
      <c r="E69" s="56">
        <f xml:space="preserve"> 6.7E-19*(E65^6) - 7.89843E-15*(E65^5) + 3.687984988E-11*(E65^4) - 8.638622855912E-08*(E65^3) + 0.000110740178605573*(E65^2) - 0.031241611607915*E65 + 3.30066945333761</f>
        <v>68.789748058646154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</row>
    <row r="70" spans="1:70" x14ac:dyDescent="0.3">
      <c r="A70" s="3"/>
      <c r="B70" s="3"/>
      <c r="C70" s="3"/>
      <c r="D70" s="3" t="s">
        <v>54</v>
      </c>
      <c r="E70" s="55">
        <f>6.5E-19*(E65^6) - 7.82245E-15*(E65^5) + 0.0000000000371204177*(E65^4) - 8.798317617007E-08*(E65^3) + 0.000109823272345614*(E65^2) - 0.0326064446414848*E65 + 3.57864890028521</f>
        <v>56.01048908148411</v>
      </c>
      <c r="F70" s="4" t="s">
        <v>96</v>
      </c>
      <c r="G70" s="4" t="s">
        <v>32</v>
      </c>
      <c r="H70" s="4" t="s">
        <v>62</v>
      </c>
      <c r="I70" s="4" t="s">
        <v>72</v>
      </c>
      <c r="J70" s="4" t="s">
        <v>73</v>
      </c>
      <c r="K70" s="4" t="s">
        <v>85</v>
      </c>
      <c r="L70" s="4" t="s">
        <v>75</v>
      </c>
      <c r="M70" s="4" t="s">
        <v>80</v>
      </c>
      <c r="N70" s="4" t="s">
        <v>81</v>
      </c>
      <c r="O70" s="4" t="s">
        <v>79</v>
      </c>
      <c r="P70" s="4" t="s">
        <v>91</v>
      </c>
      <c r="Q70" s="4" t="s">
        <v>92</v>
      </c>
      <c r="R70" s="4" t="s">
        <v>93</v>
      </c>
      <c r="S70" s="4" t="s">
        <v>94</v>
      </c>
      <c r="T70" s="4" t="s">
        <v>90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</row>
    <row r="71" spans="1:70" x14ac:dyDescent="0.3">
      <c r="A71" s="3"/>
      <c r="B71" s="3"/>
      <c r="C71" s="3"/>
      <c r="D71" s="3" t="s">
        <v>55</v>
      </c>
      <c r="E71" s="56">
        <f>5.9E-19*(E65^6) - 7.10207E-15*(E65^5) + 3.346089681E-11*(E65^4) - 7.890960163412E-08*(E65^3) + 0.000098599769211504*(E65^2) - 0.028172899155961*E65 + 3.05378907997741</f>
        <v>52.903959066295059</v>
      </c>
      <c r="F71" s="76">
        <v>0.15</v>
      </c>
      <c r="G71" s="3">
        <v>0.97</v>
      </c>
      <c r="H71" s="3">
        <v>1.0861814299021231E-7</v>
      </c>
      <c r="I71" s="3">
        <v>1.1710393541132275E-3</v>
      </c>
      <c r="J71" s="3">
        <v>0.14677026571552437</v>
      </c>
      <c r="K71" s="3">
        <v>4913.0500000155598</v>
      </c>
      <c r="L71" s="77">
        <v>2110.0665485895856</v>
      </c>
      <c r="M71" s="3"/>
      <c r="N71" s="3"/>
      <c r="O71" s="3">
        <v>4913.05</v>
      </c>
      <c r="P71" s="3">
        <v>8.9239999999999995</v>
      </c>
      <c r="Q71" s="3">
        <v>10.0395</v>
      </c>
      <c r="R71" s="3">
        <v>0.43125000000000036</v>
      </c>
      <c r="S71" s="3">
        <v>54.05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1:70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102">
        <f>1-(L71/L59)</f>
        <v>0.10268303496058961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1:70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</row>
    <row r="74" spans="1:70" x14ac:dyDescent="0.3">
      <c r="A74" s="3"/>
      <c r="B74" s="3"/>
      <c r="C74" s="3"/>
      <c r="D74" s="3"/>
      <c r="E74" s="3"/>
      <c r="F74" s="29" t="s">
        <v>96</v>
      </c>
      <c r="G74" s="4" t="s">
        <v>32</v>
      </c>
      <c r="H74" s="4" t="s">
        <v>62</v>
      </c>
      <c r="I74" s="4" t="s">
        <v>72</v>
      </c>
      <c r="J74" s="4" t="s">
        <v>73</v>
      </c>
      <c r="K74" s="4" t="s">
        <v>85</v>
      </c>
      <c r="L74" s="4" t="s">
        <v>75</v>
      </c>
      <c r="M74" s="4" t="s">
        <v>80</v>
      </c>
      <c r="N74" s="4" t="s">
        <v>81</v>
      </c>
      <c r="O74" s="4" t="s">
        <v>79</v>
      </c>
      <c r="P74" s="4" t="s">
        <v>91</v>
      </c>
      <c r="Q74" s="4" t="s">
        <v>92</v>
      </c>
      <c r="R74" s="4" t="s">
        <v>93</v>
      </c>
      <c r="S74" s="4" t="s">
        <v>94</v>
      </c>
      <c r="T74" s="4" t="s">
        <v>90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1:70" x14ac:dyDescent="0.3">
      <c r="A75" s="3"/>
      <c r="B75" s="3"/>
      <c r="C75" s="3"/>
      <c r="D75" s="3"/>
      <c r="E75" s="3"/>
      <c r="F75" s="97">
        <v>0.2</v>
      </c>
      <c r="G75" s="3">
        <v>0.97</v>
      </c>
      <c r="H75" s="3">
        <v>1.0861814299021231E-7</v>
      </c>
      <c r="I75" s="3">
        <v>1.2219541086398898E-3</v>
      </c>
      <c r="J75" s="3">
        <v>0.15315158161619938</v>
      </c>
      <c r="K75" s="3">
        <v>4913.0500000187121</v>
      </c>
      <c r="L75" s="77">
        <v>2042.0415410648197</v>
      </c>
      <c r="M75" s="3"/>
      <c r="N75" s="3"/>
      <c r="O75" s="3">
        <v>4913.05</v>
      </c>
      <c r="P75" s="3">
        <v>9.3119999999999994</v>
      </c>
      <c r="Q75" s="3">
        <v>10.476000000000001</v>
      </c>
      <c r="R75" s="3">
        <v>0.4500000000000004</v>
      </c>
      <c r="S75" s="3">
        <v>56.4</v>
      </c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1:70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102">
        <f>1-(L75/L59)</f>
        <v>0.13161102935948976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1:70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1:70" x14ac:dyDescent="0.3">
      <c r="A78" s="3"/>
      <c r="B78" s="3"/>
      <c r="C78" s="3"/>
      <c r="D78" s="3"/>
      <c r="E78" s="3"/>
      <c r="F78" s="4" t="s">
        <v>96</v>
      </c>
      <c r="G78" s="4" t="s">
        <v>32</v>
      </c>
      <c r="H78" s="4" t="s">
        <v>62</v>
      </c>
      <c r="I78" s="4" t="s">
        <v>72</v>
      </c>
      <c r="J78" s="4" t="s">
        <v>73</v>
      </c>
      <c r="K78" s="4" t="s">
        <v>85</v>
      </c>
      <c r="L78" s="4" t="s">
        <v>75</v>
      </c>
      <c r="M78" s="4" t="s">
        <v>80</v>
      </c>
      <c r="N78" s="4" t="s">
        <v>81</v>
      </c>
      <c r="O78" s="4" t="s">
        <v>79</v>
      </c>
      <c r="P78" s="4" t="s">
        <v>91</v>
      </c>
      <c r="Q78" s="4" t="s">
        <v>92</v>
      </c>
      <c r="R78" s="4" t="s">
        <v>93</v>
      </c>
      <c r="S78" s="4" t="s">
        <v>94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</row>
    <row r="79" spans="1:70" x14ac:dyDescent="0.3">
      <c r="A79" s="3"/>
      <c r="B79" s="3"/>
      <c r="C79" s="3"/>
      <c r="D79" s="3"/>
      <c r="E79" s="3"/>
      <c r="F79" s="102">
        <v>0.25</v>
      </c>
      <c r="G79" s="3">
        <v>0.97</v>
      </c>
      <c r="H79" s="3">
        <v>1.0861814299021231E-7</v>
      </c>
      <c r="I79" s="3">
        <v>1.2728688631665518E-3</v>
      </c>
      <c r="J79" s="3">
        <v>0.15953289751687436</v>
      </c>
      <c r="K79" s="3">
        <v>4913.0500000174434</v>
      </c>
      <c r="L79" s="77">
        <v>1978.9522214400013</v>
      </c>
      <c r="M79" s="3"/>
      <c r="N79" s="3"/>
      <c r="O79" s="3">
        <v>4913.05</v>
      </c>
      <c r="P79" s="3">
        <v>9.6999999999999993</v>
      </c>
      <c r="Q79" s="3">
        <v>10.912500000000001</v>
      </c>
      <c r="R79" s="3">
        <v>0.46875000000000044</v>
      </c>
      <c r="S79" s="3">
        <v>58.75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</row>
    <row r="80" spans="1:70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102">
        <f>1-(L79/L59)</f>
        <v>0.15844009636213174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</row>
    <row r="81" spans="1:70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2" spans="1:70" x14ac:dyDescent="0.3">
      <c r="A82" s="3"/>
      <c r="B82" s="3"/>
      <c r="C82" s="3"/>
      <c r="D82" s="3"/>
      <c r="E82" s="3"/>
      <c r="F82" s="4" t="s">
        <v>96</v>
      </c>
      <c r="G82" s="4" t="s">
        <v>32</v>
      </c>
      <c r="H82" s="4" t="s">
        <v>62</v>
      </c>
      <c r="I82" s="4" t="s">
        <v>72</v>
      </c>
      <c r="J82" s="4" t="s">
        <v>73</v>
      </c>
      <c r="K82" s="4" t="s">
        <v>85</v>
      </c>
      <c r="L82" s="4" t="s">
        <v>75</v>
      </c>
      <c r="M82" s="4" t="s">
        <v>80</v>
      </c>
      <c r="N82" s="4" t="s">
        <v>81</v>
      </c>
      <c r="O82" s="4" t="s">
        <v>79</v>
      </c>
      <c r="P82" s="4" t="s">
        <v>91</v>
      </c>
      <c r="Q82" s="4" t="s">
        <v>92</v>
      </c>
      <c r="R82" s="4" t="s">
        <v>93</v>
      </c>
      <c r="S82" s="4" t="s">
        <v>94</v>
      </c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</row>
    <row r="83" spans="1:70" x14ac:dyDescent="0.3">
      <c r="A83" s="3"/>
      <c r="B83" s="3"/>
      <c r="C83" s="3"/>
      <c r="D83" s="3"/>
      <c r="E83" s="3"/>
      <c r="F83" s="102">
        <v>0.3</v>
      </c>
      <c r="G83" s="3">
        <v>0.97</v>
      </c>
      <c r="H83" s="3">
        <v>1.0861814299021231E-7</v>
      </c>
      <c r="I83" s="3">
        <v>1.3237836176932139E-3</v>
      </c>
      <c r="J83" s="3">
        <v>0.16591421341754931</v>
      </c>
      <c r="K83" s="3">
        <v>4913.0500000137317</v>
      </c>
      <c r="L83" s="77">
        <v>1920.2481724597685</v>
      </c>
      <c r="M83" s="3"/>
      <c r="N83" s="3"/>
      <c r="O83" s="3">
        <v>4913.05</v>
      </c>
      <c r="P83" s="3">
        <v>10.087999999999999</v>
      </c>
      <c r="Q83" s="3">
        <v>11.349</v>
      </c>
      <c r="R83" s="3">
        <v>0.48750000000000043</v>
      </c>
      <c r="S83" s="3">
        <v>61.1</v>
      </c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</row>
    <row r="84" spans="1:70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102">
        <f>1-(L83/L59)</f>
        <v>0.18340430381884776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</row>
    <row r="85" spans="1:70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</row>
    <row r="86" spans="1:70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</row>
    <row r="87" spans="1:70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</row>
    <row r="88" spans="1:70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</row>
    <row r="89" spans="1:70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</row>
    <row r="90" spans="1:70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</row>
    <row r="91" spans="1:70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</row>
    <row r="92" spans="1:70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</row>
    <row r="93" spans="1:70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</row>
    <row r="94" spans="1:70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</row>
    <row r="95" spans="1:70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</row>
    <row r="96" spans="1:70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</row>
    <row r="97" spans="1:70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</row>
    <row r="98" spans="1:70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</row>
    <row r="99" spans="1:70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</row>
    <row r="100" spans="1:70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</row>
    <row r="101" spans="1:70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</row>
    <row r="102" spans="1:70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</row>
    <row r="103" spans="1:70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</row>
    <row r="104" spans="1:70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</row>
    <row r="105" spans="1:70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</row>
    <row r="106" spans="1:70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</row>
    <row r="107" spans="1:70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</row>
    <row r="108" spans="1:70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</row>
    <row r="109" spans="1:70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</row>
    <row r="110" spans="1:70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</row>
    <row r="111" spans="1:70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</row>
    <row r="112" spans="1:70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</row>
    <row r="113" spans="1:70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</row>
    <row r="114" spans="1:70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</row>
    <row r="115" spans="1:70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</row>
    <row r="116" spans="1:70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</row>
    <row r="117" spans="1:70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</row>
    <row r="118" spans="1:70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</row>
    <row r="119" spans="1:70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</row>
    <row r="120" spans="1:70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</row>
    <row r="121" spans="1:70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</row>
    <row r="122" spans="1:70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</row>
    <row r="123" spans="1:70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</row>
    <row r="124" spans="1:70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</row>
    <row r="125" spans="1:70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</row>
    <row r="126" spans="1:70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</row>
    <row r="127" spans="1:70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</row>
    <row r="128" spans="1:70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</row>
    <row r="129" spans="1:70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</row>
    <row r="130" spans="1:70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</row>
    <row r="131" spans="1:70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</row>
    <row r="132" spans="1:70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</row>
    <row r="133" spans="1:70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</row>
    <row r="134" spans="1:70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</row>
    <row r="135" spans="1:70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</row>
    <row r="136" spans="1:70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</row>
    <row r="137" spans="1:70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</row>
    <row r="138" spans="1:70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</row>
    <row r="139" spans="1:70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</row>
    <row r="140" spans="1:70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</row>
    <row r="141" spans="1:70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</row>
    <row r="142" spans="1:70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</row>
    <row r="143" spans="1:70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</row>
    <row r="144" spans="1:70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</row>
    <row r="145" spans="1:70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</row>
    <row r="146" spans="1:70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</row>
    <row r="147" spans="1:70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</row>
    <row r="148" spans="1:70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</row>
    <row r="149" spans="1:70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</row>
    <row r="150" spans="1:70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</row>
    <row r="151" spans="1:70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</row>
    <row r="152" spans="1:70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</row>
    <row r="153" spans="1:70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</row>
    <row r="154" spans="1:70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</row>
    <row r="155" spans="1:70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</row>
    <row r="156" spans="1:70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</row>
    <row r="157" spans="1:70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</row>
    <row r="158" spans="1:70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</row>
    <row r="159" spans="1:70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</row>
    <row r="160" spans="1:70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</row>
    <row r="161" spans="1:70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</row>
    <row r="162" spans="1:70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</row>
    <row r="163" spans="1:70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</row>
    <row r="164" spans="1:70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</row>
    <row r="165" spans="1:70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</row>
    <row r="166" spans="1:70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</row>
    <row r="167" spans="1:70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</row>
    <row r="168" spans="1:70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</row>
    <row r="169" spans="1:70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</row>
    <row r="170" spans="1:70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</row>
    <row r="171" spans="1:70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</row>
    <row r="172" spans="1:70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</row>
    <row r="173" spans="1:70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</row>
    <row r="174" spans="1:70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</row>
    <row r="175" spans="1:70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</row>
    <row r="176" spans="1:70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</row>
    <row r="177" spans="1:70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</row>
    <row r="178" spans="1:70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</row>
    <row r="179" spans="1:70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</row>
    <row r="180" spans="1:70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</row>
    <row r="181" spans="1:70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</row>
    <row r="182" spans="1:70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</row>
    <row r="183" spans="1:70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</row>
    <row r="184" spans="1:70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</row>
    <row r="185" spans="1:70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</row>
    <row r="186" spans="1:70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</row>
    <row r="187" spans="1:70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</row>
    <row r="188" spans="1:70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</row>
    <row r="189" spans="1:70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</row>
    <row r="190" spans="1:70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</row>
    <row r="191" spans="1:70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</row>
    <row r="192" spans="1:70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</row>
    <row r="193" spans="1:70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</row>
    <row r="194" spans="1:70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</row>
    <row r="195" spans="1:70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</row>
    <row r="196" spans="1:70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</row>
    <row r="197" spans="1:70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</row>
    <row r="198" spans="1:70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</row>
    <row r="199" spans="1:70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</row>
    <row r="200" spans="1:70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</row>
    <row r="201" spans="1:70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</row>
    <row r="202" spans="1:70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</row>
    <row r="203" spans="1:70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</row>
    <row r="204" spans="1:70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</row>
    <row r="205" spans="1:70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</row>
    <row r="206" spans="1:70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</row>
    <row r="207" spans="1:70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</row>
    <row r="208" spans="1:70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</row>
    <row r="209" spans="1:70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</row>
    <row r="210" spans="1:70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</row>
    <row r="211" spans="1:70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</row>
    <row r="212" spans="1:70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</row>
    <row r="213" spans="1:70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</row>
    <row r="214" spans="1:70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</row>
    <row r="215" spans="1:70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</row>
    <row r="216" spans="1:70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</row>
    <row r="217" spans="1:70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</row>
    <row r="218" spans="1:70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</row>
    <row r="219" spans="1:70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</row>
    <row r="220" spans="1:70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</row>
    <row r="221" spans="1:70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</row>
    <row r="222" spans="1:70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</row>
    <row r="223" spans="1:70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</row>
    <row r="224" spans="1:70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</row>
    <row r="225" spans="1:70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</row>
    <row r="226" spans="1:70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</row>
    <row r="227" spans="1:70" x14ac:dyDescent="0.3">
      <c r="A227" s="3"/>
      <c r="B227" s="3"/>
      <c r="C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</row>
    <row r="228" spans="1:70" x14ac:dyDescent="0.3">
      <c r="A228" s="3"/>
      <c r="B228" s="3"/>
      <c r="C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</row>
    <row r="229" spans="1:70" x14ac:dyDescent="0.3">
      <c r="A229" s="3"/>
      <c r="B229" s="3"/>
      <c r="C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</row>
    <row r="230" spans="1:70" x14ac:dyDescent="0.3">
      <c r="A230" s="3"/>
      <c r="B230" s="3"/>
      <c r="C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</row>
  </sheetData>
  <mergeCells count="25">
    <mergeCell ref="D45:J45"/>
    <mergeCell ref="AG20:AH20"/>
    <mergeCell ref="AI20:AJ20"/>
    <mergeCell ref="AK20:AL20"/>
    <mergeCell ref="A22:A23"/>
    <mergeCell ref="D34:J34"/>
    <mergeCell ref="D44:N44"/>
    <mergeCell ref="U20:V20"/>
    <mergeCell ref="W20:X20"/>
    <mergeCell ref="Y20:Z20"/>
    <mergeCell ref="AA20:AB20"/>
    <mergeCell ref="AC20:AD20"/>
    <mergeCell ref="AE20:AF20"/>
    <mergeCell ref="S20:T20"/>
    <mergeCell ref="F12:H12"/>
    <mergeCell ref="D20:E20"/>
    <mergeCell ref="M20:N20"/>
    <mergeCell ref="O20:P20"/>
    <mergeCell ref="Q20:R20"/>
    <mergeCell ref="S1:U1"/>
    <mergeCell ref="S4:U4"/>
    <mergeCell ref="D7:H7"/>
    <mergeCell ref="F8:G9"/>
    <mergeCell ref="D10:E10"/>
    <mergeCell ref="F10:L10"/>
  </mergeCells>
  <dataValidations disablePrompts="1" count="1">
    <dataValidation type="list" allowBlank="1" showInputMessage="1" showErrorMessage="1" sqref="B9" xr:uid="{48C486AF-17A2-4AA2-93FD-D6F03462C12F}">
      <formula1>$AS$5:$AS$17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0C349BA-4D52-4672-9BCE-8CF808ECDD53}">
          <x14:formula1>
            <xm:f>tables!$I$20:$I$87</xm:f>
          </x14:formula1>
          <xm:sqref>J13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87"/>
  <sheetViews>
    <sheetView topLeftCell="J1" zoomScale="80" zoomScaleNormal="80" workbookViewId="0">
      <selection activeCell="A9" sqref="A9"/>
    </sheetView>
  </sheetViews>
  <sheetFormatPr defaultColWidth="9.109375" defaultRowHeight="14.4" x14ac:dyDescent="0.3"/>
  <cols>
    <col min="1" max="1" width="9.109375" style="3"/>
    <col min="2" max="2" width="6" style="3" bestFit="1" customWidth="1"/>
    <col min="3" max="3" width="15.88671875" style="3" bestFit="1" customWidth="1"/>
    <col min="4" max="4" width="17.33203125" style="3" bestFit="1" customWidth="1"/>
    <col min="5" max="5" width="14.88671875" style="3" bestFit="1" customWidth="1"/>
    <col min="6" max="6" width="8" style="3" bestFit="1" customWidth="1"/>
    <col min="7" max="8" width="9.109375" style="3"/>
    <col min="9" max="9" width="6" style="3" bestFit="1" customWidth="1"/>
    <col min="10" max="10" width="15.88671875" style="3" bestFit="1" customWidth="1"/>
    <col min="11" max="11" width="17.33203125" style="3" bestFit="1" customWidth="1"/>
    <col min="12" max="12" width="14.88671875" style="3" bestFit="1" customWidth="1"/>
    <col min="13" max="13" width="8" style="3" bestFit="1" customWidth="1"/>
    <col min="14" max="15" width="9.109375" style="3"/>
    <col min="16" max="16" width="6" style="3" bestFit="1" customWidth="1"/>
    <col min="17" max="17" width="15.88671875" style="3" bestFit="1" customWidth="1"/>
    <col min="18" max="18" width="17.33203125" style="3" bestFit="1" customWidth="1"/>
    <col min="19" max="19" width="14.88671875" style="3" bestFit="1" customWidth="1"/>
    <col min="20" max="20" width="8" style="3" bestFit="1" customWidth="1"/>
    <col min="21" max="22" width="9.109375" style="3"/>
    <col min="23" max="23" width="6" style="3" bestFit="1" customWidth="1"/>
    <col min="24" max="24" width="15.88671875" style="3" bestFit="1" customWidth="1"/>
    <col min="25" max="25" width="17.33203125" style="3" bestFit="1" customWidth="1"/>
    <col min="26" max="26" width="14.88671875" style="3" bestFit="1" customWidth="1"/>
    <col min="27" max="27" width="8" style="3" bestFit="1" customWidth="1"/>
    <col min="28" max="16384" width="9.109375" style="3"/>
  </cols>
  <sheetData>
    <row r="1" spans="2:27" ht="15" thickBot="1" x14ac:dyDescent="0.35"/>
    <row r="2" spans="2:27" ht="15" thickBot="1" x14ac:dyDescent="0.35">
      <c r="B2" s="160" t="s">
        <v>0</v>
      </c>
      <c r="C2" s="161"/>
      <c r="D2" s="161"/>
      <c r="E2" s="161"/>
      <c r="F2" s="162"/>
      <c r="G2" s="15"/>
      <c r="I2" s="157" t="s">
        <v>2</v>
      </c>
      <c r="J2" s="158"/>
      <c r="K2" s="158"/>
      <c r="L2" s="158"/>
      <c r="M2" s="159"/>
      <c r="P2" s="157" t="s">
        <v>9</v>
      </c>
      <c r="Q2" s="158"/>
      <c r="R2" s="158"/>
      <c r="S2" s="158"/>
      <c r="T2" s="159"/>
      <c r="W2" s="157" t="s">
        <v>8</v>
      </c>
      <c r="X2" s="158"/>
      <c r="Y2" s="158"/>
      <c r="Z2" s="158"/>
      <c r="AA2" s="159"/>
    </row>
    <row r="3" spans="2:27" x14ac:dyDescent="0.3">
      <c r="I3" s="16"/>
      <c r="J3" s="16"/>
      <c r="K3" s="16"/>
      <c r="L3" s="16"/>
      <c r="M3" s="16"/>
    </row>
    <row r="7" spans="2:27" s="120" customFormat="1" ht="13.8" x14ac:dyDescent="0.3"/>
    <row r="18" spans="2:27" ht="15" thickBot="1" x14ac:dyDescent="0.35"/>
    <row r="19" spans="2:27" ht="15" thickBot="1" x14ac:dyDescent="0.35">
      <c r="B19" s="24" t="s">
        <v>3</v>
      </c>
      <c r="C19" s="24" t="s">
        <v>57</v>
      </c>
      <c r="D19" s="24" t="s">
        <v>58</v>
      </c>
      <c r="E19" s="24" t="s">
        <v>59</v>
      </c>
      <c r="F19" s="24" t="s">
        <v>7</v>
      </c>
      <c r="I19" s="24" t="s">
        <v>3</v>
      </c>
      <c r="J19" s="24" t="s">
        <v>57</v>
      </c>
      <c r="K19" s="24" t="s">
        <v>58</v>
      </c>
      <c r="L19" s="24" t="s">
        <v>59</v>
      </c>
      <c r="M19" s="24" t="s">
        <v>7</v>
      </c>
      <c r="P19" s="24" t="s">
        <v>3</v>
      </c>
      <c r="Q19" s="24" t="s">
        <v>57</v>
      </c>
      <c r="R19" s="24" t="s">
        <v>58</v>
      </c>
      <c r="S19" s="24" t="s">
        <v>59</v>
      </c>
      <c r="T19" s="24" t="s">
        <v>7</v>
      </c>
      <c r="W19" s="24" t="s">
        <v>3</v>
      </c>
      <c r="X19" s="24" t="s">
        <v>57</v>
      </c>
      <c r="Y19" s="24" t="s">
        <v>58</v>
      </c>
      <c r="Z19" s="24" t="s">
        <v>59</v>
      </c>
      <c r="AA19" s="24" t="s">
        <v>7</v>
      </c>
    </row>
    <row r="20" spans="2:27" x14ac:dyDescent="0.3">
      <c r="B20" s="17">
        <v>200</v>
      </c>
      <c r="C20" s="18">
        <v>32.39</v>
      </c>
      <c r="D20" s="18">
        <v>3.42</v>
      </c>
      <c r="E20" s="18">
        <v>199.87</v>
      </c>
      <c r="F20" s="19">
        <v>262.76</v>
      </c>
      <c r="I20" s="17">
        <v>200</v>
      </c>
      <c r="J20" s="18">
        <v>32.25</v>
      </c>
      <c r="K20" s="18">
        <v>3.23</v>
      </c>
      <c r="L20" s="18">
        <v>175.59</v>
      </c>
      <c r="M20" s="19">
        <v>168.5</v>
      </c>
      <c r="P20" s="17">
        <v>200</v>
      </c>
      <c r="Q20" s="18">
        <v>28.47</v>
      </c>
      <c r="R20" s="18">
        <v>2.84</v>
      </c>
      <c r="S20" s="18">
        <v>193.51</v>
      </c>
      <c r="T20" s="19">
        <v>24.98</v>
      </c>
      <c r="W20" s="17">
        <v>200</v>
      </c>
      <c r="X20" s="18">
        <v>28.79</v>
      </c>
      <c r="Y20" s="18">
        <v>2.84</v>
      </c>
      <c r="Z20" s="18">
        <v>179.95</v>
      </c>
      <c r="AA20" s="19">
        <v>23.35</v>
      </c>
    </row>
    <row r="21" spans="2:27" x14ac:dyDescent="0.3">
      <c r="B21" s="17">
        <v>250</v>
      </c>
      <c r="C21" s="18">
        <v>34.96</v>
      </c>
      <c r="D21" s="18">
        <v>1.74</v>
      </c>
      <c r="E21" s="18">
        <v>207.37</v>
      </c>
      <c r="F21" s="19">
        <v>215.11</v>
      </c>
      <c r="I21" s="17">
        <v>250</v>
      </c>
      <c r="J21" s="18">
        <v>32.9</v>
      </c>
      <c r="K21" s="18">
        <v>1.6</v>
      </c>
      <c r="L21" s="18">
        <v>182.86</v>
      </c>
      <c r="M21" s="19">
        <v>139.11000000000001</v>
      </c>
      <c r="P21" s="17">
        <v>250</v>
      </c>
      <c r="Q21" s="18">
        <v>28.9</v>
      </c>
      <c r="R21" s="18">
        <v>1.4</v>
      </c>
      <c r="S21" s="18">
        <v>199.91</v>
      </c>
      <c r="T21" s="19">
        <v>24.72</v>
      </c>
      <c r="W21" s="17">
        <v>250</v>
      </c>
      <c r="X21" s="18">
        <v>28.95</v>
      </c>
      <c r="Y21" s="18">
        <v>1.4</v>
      </c>
      <c r="Z21" s="18">
        <v>186.39</v>
      </c>
      <c r="AA21" s="19">
        <v>23.09</v>
      </c>
    </row>
    <row r="22" spans="2:27" x14ac:dyDescent="0.3">
      <c r="B22" s="17">
        <v>298</v>
      </c>
      <c r="C22" s="18">
        <v>37.200000000000003</v>
      </c>
      <c r="D22" s="18">
        <v>0</v>
      </c>
      <c r="E22" s="18">
        <v>213.73</v>
      </c>
      <c r="F22" s="19">
        <v>184.46</v>
      </c>
      <c r="I22" s="17">
        <v>298</v>
      </c>
      <c r="J22" s="18">
        <v>33.450000000000003</v>
      </c>
      <c r="K22" s="18">
        <v>0</v>
      </c>
      <c r="L22" s="18">
        <v>188.71</v>
      </c>
      <c r="M22" s="19">
        <v>120.26</v>
      </c>
      <c r="P22" s="17">
        <v>298</v>
      </c>
      <c r="Q22" s="18">
        <v>29.31</v>
      </c>
      <c r="R22" s="18">
        <v>0</v>
      </c>
      <c r="S22" s="18">
        <v>205.03</v>
      </c>
      <c r="T22" s="19">
        <v>24.66</v>
      </c>
      <c r="W22" s="17">
        <v>298</v>
      </c>
      <c r="X22" s="18">
        <v>29.07</v>
      </c>
      <c r="Y22" s="18">
        <v>0</v>
      </c>
      <c r="Z22" s="18">
        <v>191.5</v>
      </c>
      <c r="AA22" s="19">
        <v>23.03</v>
      </c>
    </row>
    <row r="23" spans="2:27" x14ac:dyDescent="0.3">
      <c r="B23" s="17">
        <v>300</v>
      </c>
      <c r="C23" s="18">
        <v>37.28</v>
      </c>
      <c r="D23" s="18">
        <v>7.0000000000000007E-2</v>
      </c>
      <c r="E23" s="18">
        <v>213.96</v>
      </c>
      <c r="F23" s="19">
        <v>183.48</v>
      </c>
      <c r="I23" s="17">
        <v>300</v>
      </c>
      <c r="J23" s="18">
        <v>33.47</v>
      </c>
      <c r="K23" s="18">
        <v>0.06</v>
      </c>
      <c r="L23" s="18">
        <v>188.91</v>
      </c>
      <c r="M23" s="19">
        <v>119.66</v>
      </c>
      <c r="P23" s="17">
        <v>300</v>
      </c>
      <c r="Q23" s="18">
        <v>29.33</v>
      </c>
      <c r="R23" s="18">
        <v>0.05</v>
      </c>
      <c r="S23" s="18">
        <v>205.21</v>
      </c>
      <c r="T23" s="19">
        <v>24.66</v>
      </c>
      <c r="W23" s="17">
        <v>300</v>
      </c>
      <c r="X23" s="18">
        <v>29.07</v>
      </c>
      <c r="Y23" s="18">
        <v>0.05</v>
      </c>
      <c r="Z23" s="18">
        <v>191.68</v>
      </c>
      <c r="AA23" s="19">
        <v>23.03</v>
      </c>
    </row>
    <row r="24" spans="2:27" x14ac:dyDescent="0.3">
      <c r="B24" s="17">
        <v>350</v>
      </c>
      <c r="C24" s="18">
        <v>39.369999999999997</v>
      </c>
      <c r="D24" s="18">
        <v>1.99</v>
      </c>
      <c r="E24" s="18">
        <v>219.86</v>
      </c>
      <c r="F24" s="19">
        <v>161</v>
      </c>
      <c r="I24" s="17">
        <v>350</v>
      </c>
      <c r="J24" s="18">
        <v>33.97</v>
      </c>
      <c r="K24" s="18">
        <v>1.75</v>
      </c>
      <c r="L24" s="18">
        <v>194.11</v>
      </c>
      <c r="M24" s="19">
        <v>105.85</v>
      </c>
      <c r="P24" s="17">
        <v>350</v>
      </c>
      <c r="Q24" s="18">
        <v>29.77</v>
      </c>
      <c r="R24" s="18">
        <v>1.53</v>
      </c>
      <c r="S24" s="18">
        <v>209.77</v>
      </c>
      <c r="T24" s="19">
        <v>24.7</v>
      </c>
      <c r="W24" s="17">
        <v>350</v>
      </c>
      <c r="X24" s="18">
        <v>29.19</v>
      </c>
      <c r="Y24" s="18">
        <v>1.51</v>
      </c>
      <c r="Z24" s="18">
        <v>196.17</v>
      </c>
      <c r="AA24" s="19">
        <v>23.08</v>
      </c>
    </row>
    <row r="25" spans="2:27" x14ac:dyDescent="0.3">
      <c r="B25" s="17">
        <v>400</v>
      </c>
      <c r="C25" s="18">
        <v>41.27</v>
      </c>
      <c r="D25" s="18">
        <v>4</v>
      </c>
      <c r="E25" s="18">
        <v>225.25</v>
      </c>
      <c r="F25" s="19">
        <v>144.22</v>
      </c>
      <c r="I25" s="17">
        <v>400</v>
      </c>
      <c r="J25" s="18">
        <v>34.44</v>
      </c>
      <c r="K25" s="18">
        <v>3.46</v>
      </c>
      <c r="L25" s="18">
        <v>198.68</v>
      </c>
      <c r="M25" s="19">
        <v>95.58</v>
      </c>
      <c r="P25" s="17">
        <v>400</v>
      </c>
      <c r="Q25" s="18">
        <v>30.21</v>
      </c>
      <c r="R25" s="18">
        <v>3.03</v>
      </c>
      <c r="S25" s="18">
        <v>213.77</v>
      </c>
      <c r="T25" s="19">
        <v>24.8</v>
      </c>
      <c r="W25" s="17">
        <v>400</v>
      </c>
      <c r="X25" s="18">
        <v>29.32</v>
      </c>
      <c r="Y25" s="18">
        <v>2.97</v>
      </c>
      <c r="Z25" s="18">
        <v>200.08</v>
      </c>
      <c r="AA25" s="19">
        <v>23.17</v>
      </c>
    </row>
    <row r="26" spans="2:27" x14ac:dyDescent="0.3">
      <c r="B26" s="17">
        <v>450</v>
      </c>
      <c r="C26" s="18">
        <v>43</v>
      </c>
      <c r="D26" s="18">
        <v>6.11</v>
      </c>
      <c r="E26" s="18">
        <v>230.21</v>
      </c>
      <c r="F26" s="19">
        <v>131.24</v>
      </c>
      <c r="I26" s="17">
        <v>450</v>
      </c>
      <c r="J26" s="18">
        <v>34.89</v>
      </c>
      <c r="K26" s="18">
        <v>5.19</v>
      </c>
      <c r="L26" s="18">
        <v>202.76</v>
      </c>
      <c r="M26" s="19">
        <v>87.64</v>
      </c>
      <c r="P26" s="17">
        <v>450</v>
      </c>
      <c r="Q26" s="18">
        <v>30.66</v>
      </c>
      <c r="R26" s="18">
        <v>4.55</v>
      </c>
      <c r="S26" s="18">
        <v>217.36</v>
      </c>
      <c r="T26" s="19">
        <v>24.93</v>
      </c>
      <c r="W26" s="17">
        <v>450</v>
      </c>
      <c r="X26" s="18">
        <v>29.46</v>
      </c>
      <c r="Y26" s="18">
        <v>4.4400000000000004</v>
      </c>
      <c r="Z26" s="18">
        <v>203.54</v>
      </c>
      <c r="AA26" s="19">
        <v>23.29</v>
      </c>
    </row>
    <row r="27" spans="2:27" x14ac:dyDescent="0.3">
      <c r="B27" s="17">
        <v>500</v>
      </c>
      <c r="C27" s="18">
        <v>44.57</v>
      </c>
      <c r="D27" s="18">
        <v>8.3000000000000007</v>
      </c>
      <c r="E27" s="18">
        <v>234.82</v>
      </c>
      <c r="F27" s="19">
        <v>120.91</v>
      </c>
      <c r="I27" s="17">
        <v>500</v>
      </c>
      <c r="J27" s="18">
        <v>35.340000000000003</v>
      </c>
      <c r="K27" s="18">
        <v>6.95</v>
      </c>
      <c r="L27" s="18">
        <v>206.46</v>
      </c>
      <c r="M27" s="19">
        <v>81.34</v>
      </c>
      <c r="P27" s="17">
        <v>500</v>
      </c>
      <c r="Q27" s="18">
        <v>31.11</v>
      </c>
      <c r="R27" s="18">
        <v>6.1</v>
      </c>
      <c r="S27" s="18">
        <v>220.61</v>
      </c>
      <c r="T27" s="19">
        <v>25.07</v>
      </c>
      <c r="W27" s="17">
        <v>500</v>
      </c>
      <c r="X27" s="18">
        <v>29.63</v>
      </c>
      <c r="Y27" s="18">
        <v>5.92</v>
      </c>
      <c r="Z27" s="18">
        <v>206.65</v>
      </c>
      <c r="AA27" s="19">
        <v>23.43</v>
      </c>
    </row>
    <row r="28" spans="2:27" x14ac:dyDescent="0.3">
      <c r="B28" s="17">
        <v>550</v>
      </c>
      <c r="C28" s="18">
        <v>46</v>
      </c>
      <c r="D28" s="18">
        <v>10.56</v>
      </c>
      <c r="E28" s="18">
        <v>239.14</v>
      </c>
      <c r="F28" s="19">
        <v>112.51</v>
      </c>
      <c r="I28" s="17">
        <v>550</v>
      </c>
      <c r="J28" s="18">
        <v>35.799999999999997</v>
      </c>
      <c r="K28" s="18">
        <v>8.73</v>
      </c>
      <c r="L28" s="18">
        <v>209.85</v>
      </c>
      <c r="M28" s="19">
        <v>76.22</v>
      </c>
      <c r="P28" s="17">
        <v>550</v>
      </c>
      <c r="Q28" s="18">
        <v>31.57</v>
      </c>
      <c r="R28" s="18">
        <v>7.66</v>
      </c>
      <c r="S28" s="18">
        <v>223.6</v>
      </c>
      <c r="T28" s="19">
        <v>25.22</v>
      </c>
      <c r="W28" s="17">
        <v>550</v>
      </c>
      <c r="X28" s="18">
        <v>29.84</v>
      </c>
      <c r="Y28" s="18">
        <v>7.41</v>
      </c>
      <c r="Z28" s="18">
        <v>209.49</v>
      </c>
      <c r="AA28" s="19">
        <v>23.58</v>
      </c>
    </row>
    <row r="29" spans="2:27" x14ac:dyDescent="0.3">
      <c r="B29" s="17">
        <v>600</v>
      </c>
      <c r="C29" s="18">
        <v>47.31</v>
      </c>
      <c r="D29" s="18">
        <v>12.9</v>
      </c>
      <c r="E29" s="18">
        <v>243.2</v>
      </c>
      <c r="F29" s="19">
        <v>105.55</v>
      </c>
      <c r="I29" s="17">
        <v>600</v>
      </c>
      <c r="J29" s="18">
        <v>36.29</v>
      </c>
      <c r="K29" s="18">
        <v>10.53</v>
      </c>
      <c r="L29" s="18">
        <v>212.98</v>
      </c>
      <c r="M29" s="19">
        <v>71.989999999999995</v>
      </c>
      <c r="P29" s="17">
        <v>600</v>
      </c>
      <c r="Q29" s="18">
        <v>32.03</v>
      </c>
      <c r="R29" s="18">
        <v>9.25</v>
      </c>
      <c r="S29" s="18">
        <v>226.36</v>
      </c>
      <c r="T29" s="19">
        <v>25.37</v>
      </c>
      <c r="W29" s="17">
        <v>600</v>
      </c>
      <c r="X29" s="18">
        <v>30.08</v>
      </c>
      <c r="Y29" s="18">
        <v>8.9</v>
      </c>
      <c r="Z29" s="18">
        <v>212.09</v>
      </c>
      <c r="AA29" s="19">
        <v>23.72</v>
      </c>
    </row>
    <row r="30" spans="2:27" x14ac:dyDescent="0.3">
      <c r="B30" s="17">
        <v>650</v>
      </c>
      <c r="C30" s="18">
        <v>48.51</v>
      </c>
      <c r="D30" s="18">
        <v>15.29</v>
      </c>
      <c r="E30" s="18">
        <v>247.03</v>
      </c>
      <c r="F30" s="19">
        <v>99.7</v>
      </c>
      <c r="I30" s="17">
        <v>650</v>
      </c>
      <c r="J30" s="18">
        <v>36.81</v>
      </c>
      <c r="K30" s="18">
        <v>12.35</v>
      </c>
      <c r="L30" s="18">
        <v>215.91</v>
      </c>
      <c r="M30" s="19">
        <v>68.430000000000007</v>
      </c>
      <c r="P30" s="17">
        <v>650</v>
      </c>
      <c r="Q30" s="18">
        <v>32.479999999999997</v>
      </c>
      <c r="R30" s="18">
        <v>10.87</v>
      </c>
      <c r="S30" s="18">
        <v>228.94</v>
      </c>
      <c r="T30" s="19">
        <v>25.53</v>
      </c>
      <c r="W30" s="17">
        <v>650</v>
      </c>
      <c r="X30" s="18">
        <v>30.37</v>
      </c>
      <c r="Y30" s="18">
        <v>10.42</v>
      </c>
      <c r="Z30" s="18">
        <v>214.51</v>
      </c>
      <c r="AA30" s="19">
        <v>23.87</v>
      </c>
    </row>
    <row r="31" spans="2:27" x14ac:dyDescent="0.3">
      <c r="B31" s="17">
        <v>700</v>
      </c>
      <c r="C31" s="18">
        <v>49.61</v>
      </c>
      <c r="D31" s="18">
        <v>17.75</v>
      </c>
      <c r="E31" s="18">
        <v>250.67</v>
      </c>
      <c r="F31" s="19">
        <v>94.72</v>
      </c>
      <c r="I31" s="17">
        <v>700</v>
      </c>
      <c r="J31" s="18">
        <v>37.36</v>
      </c>
      <c r="K31" s="18">
        <v>14.21</v>
      </c>
      <c r="L31" s="18">
        <v>218.65</v>
      </c>
      <c r="M31" s="19">
        <v>65.41</v>
      </c>
      <c r="P31" s="17">
        <v>700</v>
      </c>
      <c r="Q31" s="18">
        <v>32.93</v>
      </c>
      <c r="R31" s="18">
        <v>12.5</v>
      </c>
      <c r="S31" s="18">
        <v>231.37</v>
      </c>
      <c r="T31" s="19">
        <v>25.68</v>
      </c>
      <c r="W31" s="17">
        <v>700</v>
      </c>
      <c r="X31" s="18">
        <v>30.68</v>
      </c>
      <c r="Y31" s="18">
        <v>11.94</v>
      </c>
      <c r="Z31" s="18">
        <v>216.77</v>
      </c>
      <c r="AA31" s="19">
        <v>24.02</v>
      </c>
    </row>
    <row r="32" spans="2:27" x14ac:dyDescent="0.3">
      <c r="B32" s="17">
        <v>750</v>
      </c>
      <c r="C32" s="18">
        <v>50.62</v>
      </c>
      <c r="D32" s="18">
        <v>20.25</v>
      </c>
      <c r="E32" s="18">
        <v>254.13</v>
      </c>
      <c r="F32" s="19">
        <v>90.43</v>
      </c>
      <c r="I32" s="17">
        <v>750</v>
      </c>
      <c r="J32" s="18">
        <v>37.96</v>
      </c>
      <c r="K32" s="18">
        <v>16.09</v>
      </c>
      <c r="L32" s="18">
        <v>221.25</v>
      </c>
      <c r="M32" s="19">
        <v>62.81</v>
      </c>
      <c r="P32" s="17">
        <v>750</v>
      </c>
      <c r="Q32" s="18">
        <v>33.35</v>
      </c>
      <c r="R32" s="18">
        <v>14.16</v>
      </c>
      <c r="S32" s="18">
        <v>233.65</v>
      </c>
      <c r="T32" s="19">
        <v>25.83</v>
      </c>
      <c r="W32" s="17">
        <v>750</v>
      </c>
      <c r="X32" s="18">
        <v>31.03</v>
      </c>
      <c r="Y32" s="18">
        <v>13.48</v>
      </c>
      <c r="Z32" s="18">
        <v>218.9</v>
      </c>
      <c r="AA32" s="19">
        <v>24.17</v>
      </c>
    </row>
    <row r="33" spans="2:27" x14ac:dyDescent="0.3">
      <c r="B33" s="17">
        <v>800</v>
      </c>
      <c r="C33" s="18">
        <v>51.55</v>
      </c>
      <c r="D33" s="18">
        <v>22.81</v>
      </c>
      <c r="E33" s="18">
        <v>257.42</v>
      </c>
      <c r="F33" s="19">
        <v>86.7</v>
      </c>
      <c r="I33" s="17">
        <v>800</v>
      </c>
      <c r="J33" s="18">
        <v>38.590000000000003</v>
      </c>
      <c r="K33" s="18">
        <v>18</v>
      </c>
      <c r="L33" s="18">
        <v>223.72</v>
      </c>
      <c r="M33" s="19">
        <v>60.56</v>
      </c>
      <c r="P33" s="17">
        <v>800</v>
      </c>
      <c r="Q33" s="18">
        <v>33.76</v>
      </c>
      <c r="R33" s="18">
        <v>15.84</v>
      </c>
      <c r="S33" s="18">
        <v>235.82</v>
      </c>
      <c r="T33" s="19">
        <v>25.98</v>
      </c>
      <c r="W33" s="17">
        <v>800</v>
      </c>
      <c r="X33" s="18">
        <v>31.39</v>
      </c>
      <c r="Y33" s="18">
        <v>15.04</v>
      </c>
      <c r="Z33" s="18">
        <v>220.92</v>
      </c>
      <c r="AA33" s="19">
        <v>24.31</v>
      </c>
    </row>
    <row r="34" spans="2:27" x14ac:dyDescent="0.3">
      <c r="B34" s="17">
        <v>850</v>
      </c>
      <c r="C34" s="18">
        <v>52.38</v>
      </c>
      <c r="D34" s="18">
        <v>25.41</v>
      </c>
      <c r="E34" s="18">
        <v>260.57</v>
      </c>
      <c r="F34" s="19">
        <v>83.43</v>
      </c>
      <c r="I34" s="17">
        <v>850</v>
      </c>
      <c r="J34" s="18">
        <v>39.25</v>
      </c>
      <c r="K34" s="18">
        <v>19.95</v>
      </c>
      <c r="L34" s="18">
        <v>226.08</v>
      </c>
      <c r="M34" s="19">
        <v>58.59</v>
      </c>
      <c r="P34" s="17">
        <v>850</v>
      </c>
      <c r="Q34" s="18">
        <v>34.130000000000003</v>
      </c>
      <c r="R34" s="18">
        <v>17.53</v>
      </c>
      <c r="S34" s="18">
        <v>237.88</v>
      </c>
      <c r="T34" s="19">
        <v>26.13</v>
      </c>
      <c r="W34" s="17">
        <v>850</v>
      </c>
      <c r="X34" s="18">
        <v>31.76</v>
      </c>
      <c r="Y34" s="18">
        <v>16.62</v>
      </c>
      <c r="Z34" s="18">
        <v>222.83</v>
      </c>
      <c r="AA34" s="19">
        <v>24.45</v>
      </c>
    </row>
    <row r="35" spans="2:27" x14ac:dyDescent="0.3">
      <c r="B35" s="17">
        <v>900</v>
      </c>
      <c r="C35" s="18">
        <v>53.13</v>
      </c>
      <c r="D35" s="18">
        <v>28.05</v>
      </c>
      <c r="E35" s="18">
        <v>263.58999999999997</v>
      </c>
      <c r="F35" s="19">
        <v>80.55</v>
      </c>
      <c r="I35" s="17">
        <v>900</v>
      </c>
      <c r="J35" s="18">
        <v>39.93</v>
      </c>
      <c r="K35" s="18">
        <v>21.93</v>
      </c>
      <c r="L35" s="18">
        <v>228.34</v>
      </c>
      <c r="M35" s="19">
        <v>56.85</v>
      </c>
      <c r="P35" s="17">
        <v>900</v>
      </c>
      <c r="Q35" s="18">
        <v>34.450000000000003</v>
      </c>
      <c r="R35" s="18">
        <v>19.25</v>
      </c>
      <c r="S35" s="18">
        <v>239.84</v>
      </c>
      <c r="T35" s="19">
        <v>26.28</v>
      </c>
      <c r="W35" s="17">
        <v>900</v>
      </c>
      <c r="X35" s="18">
        <v>32.130000000000003</v>
      </c>
      <c r="Y35" s="18">
        <v>18.22</v>
      </c>
      <c r="Z35" s="18">
        <v>224.66</v>
      </c>
      <c r="AA35" s="19">
        <v>24.59</v>
      </c>
    </row>
    <row r="36" spans="2:27" x14ac:dyDescent="0.3">
      <c r="B36" s="17">
        <v>950</v>
      </c>
      <c r="C36" s="18">
        <v>53.79</v>
      </c>
      <c r="D36" s="18">
        <v>30.72</v>
      </c>
      <c r="E36" s="18">
        <v>266.48</v>
      </c>
      <c r="F36" s="19">
        <v>77.989999999999995</v>
      </c>
      <c r="I36" s="17">
        <v>950</v>
      </c>
      <c r="J36" s="18">
        <v>40.619999999999997</v>
      </c>
      <c r="K36" s="18">
        <v>23.94</v>
      </c>
      <c r="L36" s="18">
        <v>230.52</v>
      </c>
      <c r="M36" s="19">
        <v>55.31</v>
      </c>
      <c r="P36" s="17">
        <v>950</v>
      </c>
      <c r="Q36" s="18">
        <v>34.729999999999997</v>
      </c>
      <c r="R36" s="18">
        <v>20.98</v>
      </c>
      <c r="S36" s="18">
        <v>241.71</v>
      </c>
      <c r="T36" s="19">
        <v>26.42</v>
      </c>
      <c r="W36" s="17">
        <v>950</v>
      </c>
      <c r="X36" s="18">
        <v>32.47</v>
      </c>
      <c r="Y36" s="18">
        <v>19.84</v>
      </c>
      <c r="Z36" s="18">
        <v>226.4</v>
      </c>
      <c r="AA36" s="19">
        <v>24.72</v>
      </c>
    </row>
    <row r="37" spans="2:27" x14ac:dyDescent="0.3">
      <c r="B37" s="20">
        <v>1000</v>
      </c>
      <c r="C37" s="18">
        <v>54.36</v>
      </c>
      <c r="D37" s="18">
        <v>33.42</v>
      </c>
      <c r="E37" s="18">
        <v>269.25</v>
      </c>
      <c r="F37" s="19">
        <v>75.7</v>
      </c>
      <c r="I37" s="20">
        <v>1000</v>
      </c>
      <c r="J37" s="18">
        <v>41.31</v>
      </c>
      <c r="K37" s="18">
        <v>25.99</v>
      </c>
      <c r="L37" s="18">
        <v>232.62</v>
      </c>
      <c r="M37" s="19">
        <v>53.94</v>
      </c>
      <c r="P37" s="20">
        <v>1000</v>
      </c>
      <c r="Q37" s="18">
        <v>34.93</v>
      </c>
      <c r="R37" s="18">
        <v>22.72</v>
      </c>
      <c r="S37" s="18">
        <v>243.49</v>
      </c>
      <c r="T37" s="19">
        <v>26.55</v>
      </c>
      <c r="W37" s="20">
        <v>1000</v>
      </c>
      <c r="X37" s="18">
        <v>32.76</v>
      </c>
      <c r="Y37" s="18">
        <v>21.47</v>
      </c>
      <c r="Z37" s="18">
        <v>228.08</v>
      </c>
      <c r="AA37" s="19">
        <v>24.85</v>
      </c>
    </row>
    <row r="38" spans="2:27" x14ac:dyDescent="0.3">
      <c r="B38" s="20">
        <v>1050</v>
      </c>
      <c r="C38" s="18">
        <v>54.86</v>
      </c>
      <c r="D38" s="18">
        <v>36.15</v>
      </c>
      <c r="E38" s="18">
        <v>271.92</v>
      </c>
      <c r="F38" s="19">
        <v>73.64</v>
      </c>
      <c r="I38" s="20">
        <v>1050</v>
      </c>
      <c r="J38" s="18">
        <v>41.99</v>
      </c>
      <c r="K38" s="18">
        <v>28.07</v>
      </c>
      <c r="L38" s="18">
        <v>234.65</v>
      </c>
      <c r="M38" s="19">
        <v>52.71</v>
      </c>
      <c r="P38" s="20">
        <v>1050</v>
      </c>
      <c r="Q38" s="18">
        <v>35.1</v>
      </c>
      <c r="R38" s="18">
        <v>24.47</v>
      </c>
      <c r="S38" s="18">
        <v>245.2</v>
      </c>
      <c r="T38" s="19">
        <v>26.69</v>
      </c>
      <c r="W38" s="20">
        <v>1050</v>
      </c>
      <c r="X38" s="18">
        <v>33.01</v>
      </c>
      <c r="Y38" s="18">
        <v>23.11</v>
      </c>
      <c r="Z38" s="18">
        <v>229.68</v>
      </c>
      <c r="AA38" s="19">
        <v>24.98</v>
      </c>
    </row>
    <row r="39" spans="2:27" x14ac:dyDescent="0.3">
      <c r="B39" s="20">
        <v>1100</v>
      </c>
      <c r="C39" s="18">
        <v>55.33</v>
      </c>
      <c r="D39" s="18">
        <v>38.909999999999997</v>
      </c>
      <c r="E39" s="18">
        <v>274.48</v>
      </c>
      <c r="F39" s="19">
        <v>71.790000000000006</v>
      </c>
      <c r="I39" s="20">
        <v>1100</v>
      </c>
      <c r="J39" s="18">
        <v>42.64</v>
      </c>
      <c r="K39" s="18">
        <v>30.19</v>
      </c>
      <c r="L39" s="18">
        <v>236.62</v>
      </c>
      <c r="M39" s="19">
        <v>51.6</v>
      </c>
      <c r="P39" s="20">
        <v>1100</v>
      </c>
      <c r="Q39" s="18">
        <v>35.270000000000003</v>
      </c>
      <c r="R39" s="18">
        <v>26.23</v>
      </c>
      <c r="S39" s="18">
        <v>246.84</v>
      </c>
      <c r="T39" s="19">
        <v>26.82</v>
      </c>
      <c r="W39" s="20">
        <v>1100</v>
      </c>
      <c r="X39" s="18">
        <v>33.26</v>
      </c>
      <c r="Y39" s="18">
        <v>24.77</v>
      </c>
      <c r="Z39" s="18">
        <v>231.22</v>
      </c>
      <c r="AA39" s="19">
        <v>25.1</v>
      </c>
    </row>
    <row r="40" spans="2:27" x14ac:dyDescent="0.3">
      <c r="B40" s="20">
        <v>1150</v>
      </c>
      <c r="C40" s="18">
        <v>55.78</v>
      </c>
      <c r="D40" s="18">
        <v>41.69</v>
      </c>
      <c r="E40" s="18">
        <v>276.95</v>
      </c>
      <c r="F40" s="19">
        <v>70.11</v>
      </c>
      <c r="I40" s="20">
        <v>1150</v>
      </c>
      <c r="J40" s="18">
        <v>43.26</v>
      </c>
      <c r="K40" s="18">
        <v>32.340000000000003</v>
      </c>
      <c r="L40" s="18">
        <v>238.53</v>
      </c>
      <c r="M40" s="19">
        <v>50.6</v>
      </c>
      <c r="P40" s="20">
        <v>1150</v>
      </c>
      <c r="Q40" s="18">
        <v>35.43</v>
      </c>
      <c r="R40" s="18">
        <v>28</v>
      </c>
      <c r="S40" s="18">
        <v>248.41</v>
      </c>
      <c r="T40" s="19">
        <v>26.95</v>
      </c>
      <c r="W40" s="20">
        <v>1150</v>
      </c>
      <c r="X40" s="18">
        <v>33.49</v>
      </c>
      <c r="Y40" s="18">
        <v>26.44</v>
      </c>
      <c r="Z40" s="18">
        <v>232.71</v>
      </c>
      <c r="AA40" s="19">
        <v>25.22</v>
      </c>
    </row>
    <row r="41" spans="2:27" x14ac:dyDescent="0.3">
      <c r="B41" s="20">
        <v>1200</v>
      </c>
      <c r="C41" s="18">
        <v>56.2</v>
      </c>
      <c r="D41" s="18">
        <v>44.49</v>
      </c>
      <c r="E41" s="18">
        <v>279.33</v>
      </c>
      <c r="F41" s="19">
        <v>68.58</v>
      </c>
      <c r="I41" s="20">
        <v>1200</v>
      </c>
      <c r="J41" s="18">
        <v>43.87</v>
      </c>
      <c r="K41" s="18">
        <v>34.520000000000003</v>
      </c>
      <c r="L41" s="18">
        <v>240.39</v>
      </c>
      <c r="M41" s="19">
        <v>49.69</v>
      </c>
      <c r="P41" s="20">
        <v>1200</v>
      </c>
      <c r="Q41" s="18">
        <v>35.590000000000003</v>
      </c>
      <c r="R41" s="18">
        <v>29.77</v>
      </c>
      <c r="S41" s="18">
        <v>249.92</v>
      </c>
      <c r="T41" s="19">
        <v>27.08</v>
      </c>
      <c r="W41" s="20">
        <v>1200</v>
      </c>
      <c r="X41" s="18">
        <v>33.71</v>
      </c>
      <c r="Y41" s="18">
        <v>28.12</v>
      </c>
      <c r="Z41" s="18">
        <v>234.14</v>
      </c>
      <c r="AA41" s="19">
        <v>25.34</v>
      </c>
    </row>
    <row r="42" spans="2:27" x14ac:dyDescent="0.3">
      <c r="B42" s="20">
        <v>1250</v>
      </c>
      <c r="C42" s="18">
        <v>56.6</v>
      </c>
      <c r="D42" s="18">
        <v>47.31</v>
      </c>
      <c r="E42" s="18">
        <v>281.64</v>
      </c>
      <c r="F42" s="19">
        <v>67.19</v>
      </c>
      <c r="I42" s="20">
        <v>1250</v>
      </c>
      <c r="J42" s="18">
        <v>44.46</v>
      </c>
      <c r="K42" s="18">
        <v>36.72</v>
      </c>
      <c r="L42" s="18">
        <v>242.19</v>
      </c>
      <c r="M42" s="19">
        <v>48.87</v>
      </c>
      <c r="P42" s="20">
        <v>1250</v>
      </c>
      <c r="Q42" s="18">
        <v>35.75</v>
      </c>
      <c r="R42" s="18">
        <v>31.56</v>
      </c>
      <c r="S42" s="18">
        <v>251.38</v>
      </c>
      <c r="T42" s="19">
        <v>27.2</v>
      </c>
      <c r="W42" s="20">
        <v>1250</v>
      </c>
      <c r="X42" s="18">
        <v>33.909999999999997</v>
      </c>
      <c r="Y42" s="18">
        <v>29.81</v>
      </c>
      <c r="Z42" s="18">
        <v>235.52</v>
      </c>
      <c r="AA42" s="19">
        <v>25.46</v>
      </c>
    </row>
    <row r="43" spans="2:27" x14ac:dyDescent="0.3">
      <c r="B43" s="20">
        <v>1300</v>
      </c>
      <c r="C43" s="18">
        <v>56.98</v>
      </c>
      <c r="D43" s="18">
        <v>50.15</v>
      </c>
      <c r="E43" s="18">
        <v>283.86</v>
      </c>
      <c r="F43" s="19">
        <v>65.91</v>
      </c>
      <c r="I43" s="20">
        <v>1300</v>
      </c>
      <c r="J43" s="18">
        <v>45.02</v>
      </c>
      <c r="K43" s="18">
        <v>38.96</v>
      </c>
      <c r="L43" s="18">
        <v>243.94</v>
      </c>
      <c r="M43" s="19">
        <v>48.11</v>
      </c>
      <c r="P43" s="20">
        <v>1300</v>
      </c>
      <c r="Q43" s="18">
        <v>35.9</v>
      </c>
      <c r="R43" s="18">
        <v>33.35</v>
      </c>
      <c r="S43" s="18">
        <v>252.78</v>
      </c>
      <c r="T43" s="19">
        <v>27.32</v>
      </c>
      <c r="W43" s="20">
        <v>1300</v>
      </c>
      <c r="X43" s="18">
        <v>34.11</v>
      </c>
      <c r="Y43" s="18">
        <v>31.51</v>
      </c>
      <c r="Z43" s="18">
        <v>236.85</v>
      </c>
      <c r="AA43" s="19">
        <v>25.57</v>
      </c>
    </row>
    <row r="44" spans="2:27" x14ac:dyDescent="0.3">
      <c r="B44" s="20">
        <v>1350</v>
      </c>
      <c r="C44" s="18">
        <v>57.34</v>
      </c>
      <c r="D44" s="18">
        <v>53</v>
      </c>
      <c r="E44" s="18">
        <v>286.02</v>
      </c>
      <c r="F44" s="19">
        <v>64.739999999999995</v>
      </c>
      <c r="I44" s="20">
        <v>1350</v>
      </c>
      <c r="J44" s="18">
        <v>45.57</v>
      </c>
      <c r="K44" s="18">
        <v>41.23</v>
      </c>
      <c r="L44" s="18">
        <v>245.65</v>
      </c>
      <c r="M44" s="19">
        <v>47.42</v>
      </c>
      <c r="P44" s="20">
        <v>1350</v>
      </c>
      <c r="Q44" s="18">
        <v>36.049999999999997</v>
      </c>
      <c r="R44" s="18">
        <v>35.15</v>
      </c>
      <c r="S44" s="18">
        <v>254.14</v>
      </c>
      <c r="T44" s="19">
        <v>27.44</v>
      </c>
      <c r="W44" s="20">
        <v>1350</v>
      </c>
      <c r="X44" s="18">
        <v>34.299999999999997</v>
      </c>
      <c r="Y44" s="18">
        <v>33.22</v>
      </c>
      <c r="Z44" s="18">
        <v>238.14</v>
      </c>
      <c r="AA44" s="19">
        <v>25.68</v>
      </c>
    </row>
    <row r="45" spans="2:27" x14ac:dyDescent="0.3">
      <c r="B45" s="20">
        <v>1400</v>
      </c>
      <c r="C45" s="18">
        <v>57.67</v>
      </c>
      <c r="D45" s="18">
        <v>55.88</v>
      </c>
      <c r="E45" s="18">
        <v>288.11</v>
      </c>
      <c r="F45" s="19">
        <v>63.66</v>
      </c>
      <c r="I45" s="20">
        <v>1400</v>
      </c>
      <c r="J45" s="18">
        <v>46.1</v>
      </c>
      <c r="K45" s="18">
        <v>43.52</v>
      </c>
      <c r="L45" s="18">
        <v>247.32</v>
      </c>
      <c r="M45" s="19">
        <v>46.79</v>
      </c>
      <c r="P45" s="20">
        <v>1400</v>
      </c>
      <c r="Q45" s="18">
        <v>36.200000000000003</v>
      </c>
      <c r="R45" s="18">
        <v>36.950000000000003</v>
      </c>
      <c r="S45" s="18">
        <v>255.46</v>
      </c>
      <c r="T45" s="19">
        <v>27.55</v>
      </c>
      <c r="W45" s="20">
        <v>1400</v>
      </c>
      <c r="X45" s="18">
        <v>34.479999999999997</v>
      </c>
      <c r="Y45" s="18">
        <v>34.94</v>
      </c>
      <c r="Z45" s="18">
        <v>239.39</v>
      </c>
      <c r="AA45" s="19">
        <v>25.79</v>
      </c>
    </row>
    <row r="46" spans="2:27" x14ac:dyDescent="0.3">
      <c r="B46" s="20">
        <v>1450</v>
      </c>
      <c r="C46" s="18">
        <v>57.99</v>
      </c>
      <c r="D46" s="18">
        <v>58.77</v>
      </c>
      <c r="E46" s="18">
        <v>290.14</v>
      </c>
      <c r="F46" s="19">
        <v>62.67</v>
      </c>
      <c r="I46" s="20">
        <v>1450</v>
      </c>
      <c r="J46" s="18">
        <v>46.61</v>
      </c>
      <c r="K46" s="18">
        <v>45.84</v>
      </c>
      <c r="L46" s="18">
        <v>248.95</v>
      </c>
      <c r="M46" s="19">
        <v>46.2</v>
      </c>
      <c r="P46" s="20">
        <v>1450</v>
      </c>
      <c r="Q46" s="18">
        <v>36.35</v>
      </c>
      <c r="R46" s="18">
        <v>38.770000000000003</v>
      </c>
      <c r="S46" s="18">
        <v>256.73</v>
      </c>
      <c r="T46" s="19">
        <v>27.66</v>
      </c>
      <c r="W46" s="20">
        <v>1450</v>
      </c>
      <c r="X46" s="18">
        <v>34.64</v>
      </c>
      <c r="Y46" s="18">
        <v>36.67</v>
      </c>
      <c r="Z46" s="18">
        <v>240.6</v>
      </c>
      <c r="AA46" s="19">
        <v>25.9</v>
      </c>
    </row>
    <row r="47" spans="2:27" x14ac:dyDescent="0.3">
      <c r="B47" s="20">
        <v>1500</v>
      </c>
      <c r="C47" s="18">
        <v>58.29</v>
      </c>
      <c r="D47" s="18">
        <v>61.68</v>
      </c>
      <c r="E47" s="18">
        <v>292.11</v>
      </c>
      <c r="F47" s="19">
        <v>61.74</v>
      </c>
      <c r="I47" s="20">
        <v>1500</v>
      </c>
      <c r="J47" s="18">
        <v>47.1</v>
      </c>
      <c r="K47" s="18">
        <v>48.18</v>
      </c>
      <c r="L47" s="18">
        <v>250.53</v>
      </c>
      <c r="M47" s="19">
        <v>45.66</v>
      </c>
      <c r="P47" s="20">
        <v>1500</v>
      </c>
      <c r="Q47" s="18">
        <v>36.49</v>
      </c>
      <c r="R47" s="18">
        <v>40.590000000000003</v>
      </c>
      <c r="S47" s="18">
        <v>257.95999999999998</v>
      </c>
      <c r="T47" s="19">
        <v>27.77</v>
      </c>
      <c r="W47" s="20">
        <v>1500</v>
      </c>
      <c r="X47" s="18">
        <v>34.799999999999997</v>
      </c>
      <c r="Y47" s="18">
        <v>38.4</v>
      </c>
      <c r="Z47" s="18">
        <v>241.78</v>
      </c>
      <c r="AA47" s="19">
        <v>26</v>
      </c>
    </row>
    <row r="48" spans="2:27" x14ac:dyDescent="0.3">
      <c r="B48" s="20">
        <v>1550</v>
      </c>
      <c r="C48" s="18">
        <v>58.57</v>
      </c>
      <c r="D48" s="18">
        <v>64.599999999999994</v>
      </c>
      <c r="E48" s="18">
        <v>294.02999999999997</v>
      </c>
      <c r="F48" s="19">
        <v>60.89</v>
      </c>
      <c r="I48" s="20">
        <v>1550</v>
      </c>
      <c r="J48" s="18">
        <v>47.58</v>
      </c>
      <c r="K48" s="18">
        <v>50.55</v>
      </c>
      <c r="L48" s="18">
        <v>252.09</v>
      </c>
      <c r="M48" s="19">
        <v>45.16</v>
      </c>
      <c r="P48" s="20">
        <v>1550</v>
      </c>
      <c r="Q48" s="18">
        <v>36.630000000000003</v>
      </c>
      <c r="R48" s="18">
        <v>42.42</v>
      </c>
      <c r="S48" s="18">
        <v>259.16000000000003</v>
      </c>
      <c r="T48" s="19">
        <v>27.88</v>
      </c>
      <c r="W48" s="20">
        <v>1550</v>
      </c>
      <c r="X48" s="18">
        <v>34.950000000000003</v>
      </c>
      <c r="Y48" s="18">
        <v>40.15</v>
      </c>
      <c r="Z48" s="18">
        <v>242.92</v>
      </c>
      <c r="AA48" s="19">
        <v>26.1</v>
      </c>
    </row>
    <row r="49" spans="2:27" x14ac:dyDescent="0.3">
      <c r="B49" s="20">
        <v>1600</v>
      </c>
      <c r="C49" s="18">
        <v>58.83</v>
      </c>
      <c r="D49" s="18">
        <v>67.540000000000006</v>
      </c>
      <c r="E49" s="18">
        <v>295.89</v>
      </c>
      <c r="F49" s="19">
        <v>60.1</v>
      </c>
      <c r="I49" s="20">
        <v>1600</v>
      </c>
      <c r="J49" s="18">
        <v>48.03</v>
      </c>
      <c r="K49" s="18">
        <v>52.94</v>
      </c>
      <c r="L49" s="18">
        <v>253.6</v>
      </c>
      <c r="M49" s="19">
        <v>44.7</v>
      </c>
      <c r="P49" s="20">
        <v>1600</v>
      </c>
      <c r="Q49" s="18">
        <v>36.770000000000003</v>
      </c>
      <c r="R49" s="18">
        <v>44.25</v>
      </c>
      <c r="S49" s="18">
        <v>260.33</v>
      </c>
      <c r="T49" s="19">
        <v>27.99</v>
      </c>
      <c r="W49" s="20">
        <v>1600</v>
      </c>
      <c r="X49" s="18">
        <v>35.1</v>
      </c>
      <c r="Y49" s="18">
        <v>41.9</v>
      </c>
      <c r="Z49" s="18">
        <v>244.04</v>
      </c>
      <c r="AA49" s="19">
        <v>26.2</v>
      </c>
    </row>
    <row r="50" spans="2:27" x14ac:dyDescent="0.3">
      <c r="B50" s="20">
        <v>1650</v>
      </c>
      <c r="C50" s="18">
        <v>59.08</v>
      </c>
      <c r="D50" s="18">
        <v>70.48</v>
      </c>
      <c r="E50" s="18">
        <v>297.70999999999998</v>
      </c>
      <c r="F50" s="19">
        <v>59.36</v>
      </c>
      <c r="I50" s="20">
        <v>1650</v>
      </c>
      <c r="J50" s="18">
        <v>48.47</v>
      </c>
      <c r="K50" s="18">
        <v>55.35</v>
      </c>
      <c r="L50" s="18">
        <v>255.09</v>
      </c>
      <c r="M50" s="19">
        <v>44.28</v>
      </c>
      <c r="P50" s="20">
        <v>1650</v>
      </c>
      <c r="Q50" s="18">
        <v>36.9</v>
      </c>
      <c r="R50" s="18">
        <v>46.09</v>
      </c>
      <c r="S50" s="18">
        <v>261.45999999999998</v>
      </c>
      <c r="T50" s="19">
        <v>28.09</v>
      </c>
      <c r="W50" s="20">
        <v>1650</v>
      </c>
      <c r="X50" s="18">
        <v>35.229999999999997</v>
      </c>
      <c r="Y50" s="18">
        <v>43.66</v>
      </c>
      <c r="Z50" s="18">
        <v>245.12</v>
      </c>
      <c r="AA50" s="19">
        <v>26.3</v>
      </c>
    </row>
    <row r="51" spans="2:27" x14ac:dyDescent="0.3">
      <c r="B51" s="20">
        <v>1700</v>
      </c>
      <c r="C51" s="18">
        <v>59.31</v>
      </c>
      <c r="D51" s="18">
        <v>73.44</v>
      </c>
      <c r="E51" s="18">
        <v>299.47000000000003</v>
      </c>
      <c r="F51" s="19">
        <v>58.67</v>
      </c>
      <c r="I51" s="20">
        <v>1700</v>
      </c>
      <c r="J51" s="18">
        <v>48.9</v>
      </c>
      <c r="K51" s="18">
        <v>57.78</v>
      </c>
      <c r="L51" s="18">
        <v>256.54000000000002</v>
      </c>
      <c r="M51" s="19">
        <v>43.88</v>
      </c>
      <c r="P51" s="20">
        <v>1700</v>
      </c>
      <c r="Q51" s="18">
        <v>37.03</v>
      </c>
      <c r="R51" s="18">
        <v>47.94</v>
      </c>
      <c r="S51" s="18">
        <v>262.56</v>
      </c>
      <c r="T51" s="19">
        <v>28.19</v>
      </c>
      <c r="W51" s="20">
        <v>1700</v>
      </c>
      <c r="X51" s="18">
        <v>35.36</v>
      </c>
      <c r="Y51" s="18">
        <v>45.42</v>
      </c>
      <c r="Z51" s="18">
        <v>246.17</v>
      </c>
      <c r="AA51" s="19">
        <v>26.4</v>
      </c>
    </row>
    <row r="52" spans="2:27" x14ac:dyDescent="0.3">
      <c r="B52" s="20">
        <v>1750</v>
      </c>
      <c r="C52" s="18">
        <v>59.53</v>
      </c>
      <c r="D52" s="18">
        <v>76.41</v>
      </c>
      <c r="E52" s="18">
        <v>301.2</v>
      </c>
      <c r="F52" s="19">
        <v>58.02</v>
      </c>
      <c r="I52" s="20">
        <v>1750</v>
      </c>
      <c r="J52" s="18">
        <v>49.31</v>
      </c>
      <c r="K52" s="18">
        <v>60.24</v>
      </c>
      <c r="L52" s="18">
        <v>257.97000000000003</v>
      </c>
      <c r="M52" s="19">
        <v>43.51</v>
      </c>
      <c r="P52" s="20">
        <v>1750</v>
      </c>
      <c r="Q52" s="18">
        <v>37.17</v>
      </c>
      <c r="R52" s="18">
        <v>49.8</v>
      </c>
      <c r="S52" s="18">
        <v>263.64</v>
      </c>
      <c r="T52" s="19">
        <v>28.29</v>
      </c>
      <c r="W52" s="20">
        <v>1750</v>
      </c>
      <c r="X52" s="18">
        <v>35.479999999999997</v>
      </c>
      <c r="Y52" s="18">
        <v>47.19</v>
      </c>
      <c r="Z52" s="18">
        <v>247.2</v>
      </c>
      <c r="AA52" s="19">
        <v>26.49</v>
      </c>
    </row>
    <row r="53" spans="2:27" x14ac:dyDescent="0.3">
      <c r="B53" s="20">
        <v>1800</v>
      </c>
      <c r="C53" s="18">
        <v>59.73</v>
      </c>
      <c r="D53" s="18">
        <v>79.400000000000006</v>
      </c>
      <c r="E53" s="18">
        <v>302.88</v>
      </c>
      <c r="F53" s="19">
        <v>57.42</v>
      </c>
      <c r="I53" s="20">
        <v>1800</v>
      </c>
      <c r="J53" s="18">
        <v>49.7</v>
      </c>
      <c r="K53" s="18">
        <v>62.71</v>
      </c>
      <c r="L53" s="18">
        <v>259.36</v>
      </c>
      <c r="M53" s="19">
        <v>43.16</v>
      </c>
      <c r="P53" s="20">
        <v>1800</v>
      </c>
      <c r="Q53" s="18">
        <v>37.29</v>
      </c>
      <c r="R53" s="18">
        <v>51.66</v>
      </c>
      <c r="S53" s="18">
        <v>264.69</v>
      </c>
      <c r="T53" s="19">
        <v>28.38</v>
      </c>
      <c r="W53" s="20">
        <v>1800</v>
      </c>
      <c r="X53" s="18">
        <v>35.590000000000003</v>
      </c>
      <c r="Y53" s="18">
        <v>48.97</v>
      </c>
      <c r="Z53" s="18">
        <v>248.2</v>
      </c>
      <c r="AA53" s="19">
        <v>26.58</v>
      </c>
    </row>
    <row r="54" spans="2:27" x14ac:dyDescent="0.3">
      <c r="B54" s="20">
        <v>1850</v>
      </c>
      <c r="C54" s="18">
        <v>59.93</v>
      </c>
      <c r="D54" s="18">
        <v>82.39</v>
      </c>
      <c r="E54" s="18">
        <v>304.52</v>
      </c>
      <c r="F54" s="19">
        <v>56.86</v>
      </c>
      <c r="I54" s="20">
        <v>1850</v>
      </c>
      <c r="J54" s="18">
        <v>50.08</v>
      </c>
      <c r="K54" s="18">
        <v>65.209999999999994</v>
      </c>
      <c r="L54" s="18">
        <v>260.73</v>
      </c>
      <c r="M54" s="19">
        <v>42.84</v>
      </c>
      <c r="P54" s="20">
        <v>1850</v>
      </c>
      <c r="Q54" s="18">
        <v>37.42</v>
      </c>
      <c r="R54" s="18">
        <v>53.53</v>
      </c>
      <c r="S54" s="18">
        <v>265.70999999999998</v>
      </c>
      <c r="T54" s="19">
        <v>28.48</v>
      </c>
      <c r="W54" s="20">
        <v>1850</v>
      </c>
      <c r="X54" s="18">
        <v>35.700000000000003</v>
      </c>
      <c r="Y54" s="18">
        <v>50.75</v>
      </c>
      <c r="Z54" s="18">
        <v>249.18</v>
      </c>
      <c r="AA54" s="19">
        <v>26.67</v>
      </c>
    </row>
    <row r="55" spans="2:27" x14ac:dyDescent="0.3">
      <c r="B55" s="20">
        <v>1900</v>
      </c>
      <c r="C55" s="18">
        <v>60.11</v>
      </c>
      <c r="D55" s="18">
        <v>85.39</v>
      </c>
      <c r="E55" s="18">
        <v>306.12</v>
      </c>
      <c r="F55" s="19">
        <v>56.33</v>
      </c>
      <c r="I55" s="20">
        <v>1900</v>
      </c>
      <c r="J55" s="18">
        <v>50.45</v>
      </c>
      <c r="K55" s="18">
        <v>67.72</v>
      </c>
      <c r="L55" s="18">
        <v>262.07</v>
      </c>
      <c r="M55" s="19">
        <v>42.54</v>
      </c>
      <c r="P55" s="20">
        <v>1900</v>
      </c>
      <c r="Q55" s="18">
        <v>37.54</v>
      </c>
      <c r="R55" s="18">
        <v>55.4</v>
      </c>
      <c r="S55" s="18">
        <v>266.70999999999998</v>
      </c>
      <c r="T55" s="19">
        <v>28.57</v>
      </c>
      <c r="W55" s="20">
        <v>1900</v>
      </c>
      <c r="X55" s="18">
        <v>35.799999999999997</v>
      </c>
      <c r="Y55" s="18">
        <v>52.54</v>
      </c>
      <c r="Z55" s="18">
        <v>250.13</v>
      </c>
      <c r="AA55" s="19">
        <v>26.76</v>
      </c>
    </row>
    <row r="56" spans="2:27" x14ac:dyDescent="0.3">
      <c r="B56" s="20">
        <v>1950</v>
      </c>
      <c r="C56" s="18">
        <v>60.27</v>
      </c>
      <c r="D56" s="18">
        <v>88.4</v>
      </c>
      <c r="E56" s="18">
        <v>307.68</v>
      </c>
      <c r="F56" s="19">
        <v>55.83</v>
      </c>
      <c r="I56" s="20">
        <v>1950</v>
      </c>
      <c r="J56" s="18">
        <v>50.8</v>
      </c>
      <c r="K56" s="18">
        <v>70.25</v>
      </c>
      <c r="L56" s="18">
        <v>263.38</v>
      </c>
      <c r="M56" s="19">
        <v>42.26</v>
      </c>
      <c r="P56" s="20">
        <v>1950</v>
      </c>
      <c r="Q56" s="18">
        <v>37.67</v>
      </c>
      <c r="R56" s="18">
        <v>57.28</v>
      </c>
      <c r="S56" s="18">
        <v>267.69</v>
      </c>
      <c r="T56" s="19">
        <v>28.66</v>
      </c>
      <c r="W56" s="20">
        <v>1950</v>
      </c>
      <c r="X56" s="18">
        <v>35.9</v>
      </c>
      <c r="Y56" s="18">
        <v>54.33</v>
      </c>
      <c r="Z56" s="18">
        <v>251.06</v>
      </c>
      <c r="AA56" s="19">
        <v>26.85</v>
      </c>
    </row>
    <row r="57" spans="2:27" x14ac:dyDescent="0.3">
      <c r="B57" s="20">
        <v>2000</v>
      </c>
      <c r="C57" s="18">
        <v>60.43</v>
      </c>
      <c r="D57" s="18">
        <v>91.42</v>
      </c>
      <c r="E57" s="18">
        <v>309.20999999999998</v>
      </c>
      <c r="F57" s="19">
        <v>55.36</v>
      </c>
      <c r="I57" s="20">
        <v>2000</v>
      </c>
      <c r="J57" s="18">
        <v>51.14</v>
      </c>
      <c r="K57" s="18">
        <v>72.8</v>
      </c>
      <c r="L57" s="18">
        <v>264.67</v>
      </c>
      <c r="M57" s="19">
        <v>42</v>
      </c>
      <c r="P57" s="20">
        <v>2000</v>
      </c>
      <c r="Q57" s="18">
        <v>37.79</v>
      </c>
      <c r="R57" s="18">
        <v>59.17</v>
      </c>
      <c r="S57" s="18">
        <v>268.64</v>
      </c>
      <c r="T57" s="19">
        <v>28.75</v>
      </c>
      <c r="W57" s="20">
        <v>2000</v>
      </c>
      <c r="X57" s="18">
        <v>35.99</v>
      </c>
      <c r="Y57" s="18">
        <v>56.13</v>
      </c>
      <c r="Z57" s="18">
        <v>251.97</v>
      </c>
      <c r="AA57" s="19">
        <v>26.93</v>
      </c>
    </row>
    <row r="58" spans="2:27" x14ac:dyDescent="0.3">
      <c r="B58" s="20">
        <v>2050</v>
      </c>
      <c r="C58" s="18">
        <v>60.58</v>
      </c>
      <c r="D58" s="18">
        <v>94.44</v>
      </c>
      <c r="E58" s="18">
        <v>310.7</v>
      </c>
      <c r="F58" s="19">
        <v>54.92</v>
      </c>
      <c r="I58" s="20">
        <v>2050</v>
      </c>
      <c r="J58" s="18">
        <v>51.47</v>
      </c>
      <c r="K58" s="18">
        <v>75.37</v>
      </c>
      <c r="L58" s="18">
        <v>265.94</v>
      </c>
      <c r="M58" s="19">
        <v>41.75</v>
      </c>
      <c r="P58" s="20">
        <v>2050</v>
      </c>
      <c r="Q58" s="18">
        <v>37.9</v>
      </c>
      <c r="R58" s="18">
        <v>61.06</v>
      </c>
      <c r="S58" s="18">
        <v>269.58</v>
      </c>
      <c r="T58" s="19">
        <v>28.84</v>
      </c>
      <c r="W58" s="20">
        <v>2050</v>
      </c>
      <c r="X58" s="18">
        <v>36.07</v>
      </c>
      <c r="Y58" s="18">
        <v>57.93</v>
      </c>
      <c r="Z58" s="18">
        <v>252.86</v>
      </c>
      <c r="AA58" s="19">
        <v>27.01</v>
      </c>
    </row>
    <row r="59" spans="2:27" x14ac:dyDescent="0.3">
      <c r="B59" s="20">
        <v>2100</v>
      </c>
      <c r="C59" s="18">
        <v>60.71</v>
      </c>
      <c r="D59" s="18">
        <v>97.47</v>
      </c>
      <c r="E59" s="18">
        <v>312.16000000000003</v>
      </c>
      <c r="F59" s="19">
        <v>54.5</v>
      </c>
      <c r="I59" s="20">
        <v>2100</v>
      </c>
      <c r="J59" s="18">
        <v>51.78</v>
      </c>
      <c r="K59" s="18">
        <v>77.95</v>
      </c>
      <c r="L59" s="18">
        <v>267.19</v>
      </c>
      <c r="M59" s="19">
        <v>41.52</v>
      </c>
      <c r="P59" s="20">
        <v>2100</v>
      </c>
      <c r="Q59" s="18">
        <v>38.020000000000003</v>
      </c>
      <c r="R59" s="18">
        <v>62.96</v>
      </c>
      <c r="S59" s="18">
        <v>270.49</v>
      </c>
      <c r="T59" s="19">
        <v>28.93</v>
      </c>
      <c r="W59" s="20">
        <v>2100</v>
      </c>
      <c r="X59" s="18">
        <v>36.15</v>
      </c>
      <c r="Y59" s="18">
        <v>59.73</v>
      </c>
      <c r="Z59" s="18">
        <v>253.73</v>
      </c>
      <c r="AA59" s="19">
        <v>27.1</v>
      </c>
    </row>
    <row r="60" spans="2:27" x14ac:dyDescent="0.3">
      <c r="B60" s="20">
        <v>2150</v>
      </c>
      <c r="C60" s="18">
        <v>60.84</v>
      </c>
      <c r="D60" s="18">
        <v>100.51</v>
      </c>
      <c r="E60" s="18">
        <v>313.58999999999997</v>
      </c>
      <c r="F60" s="19">
        <v>54.11</v>
      </c>
      <c r="I60" s="20">
        <v>2150</v>
      </c>
      <c r="J60" s="18">
        <v>52.08</v>
      </c>
      <c r="K60" s="18">
        <v>80.540000000000006</v>
      </c>
      <c r="L60" s="18">
        <v>268.41000000000003</v>
      </c>
      <c r="M60" s="19">
        <v>41.31</v>
      </c>
      <c r="P60" s="20">
        <v>2150</v>
      </c>
      <c r="Q60" s="18">
        <v>38.14</v>
      </c>
      <c r="R60" s="18">
        <v>64.86</v>
      </c>
      <c r="S60" s="18">
        <v>271.39</v>
      </c>
      <c r="T60" s="19">
        <v>29.01</v>
      </c>
      <c r="W60" s="20">
        <v>2150</v>
      </c>
      <c r="X60" s="18">
        <v>36.229999999999997</v>
      </c>
      <c r="Y60" s="18">
        <v>61.54</v>
      </c>
      <c r="Z60" s="18">
        <v>254.58</v>
      </c>
      <c r="AA60" s="19">
        <v>27.18</v>
      </c>
    </row>
    <row r="61" spans="2:27" x14ac:dyDescent="0.3">
      <c r="B61" s="20">
        <v>2200</v>
      </c>
      <c r="C61" s="18">
        <v>60.96</v>
      </c>
      <c r="D61" s="18">
        <v>103.56</v>
      </c>
      <c r="E61" s="18">
        <v>314.99</v>
      </c>
      <c r="F61" s="19">
        <v>53.74</v>
      </c>
      <c r="I61" s="20">
        <v>2200</v>
      </c>
      <c r="J61" s="18">
        <v>52.38</v>
      </c>
      <c r="K61" s="18">
        <v>83.16</v>
      </c>
      <c r="L61" s="18">
        <v>269.61</v>
      </c>
      <c r="M61" s="19">
        <v>41.1</v>
      </c>
      <c r="P61" s="20">
        <v>2200</v>
      </c>
      <c r="Q61" s="18">
        <v>38.25</v>
      </c>
      <c r="R61" s="18">
        <v>66.77</v>
      </c>
      <c r="S61" s="18">
        <v>272.27</v>
      </c>
      <c r="T61" s="19">
        <v>29.1</v>
      </c>
      <c r="W61" s="20">
        <v>2200</v>
      </c>
      <c r="X61" s="18">
        <v>36.299999999999997</v>
      </c>
      <c r="Y61" s="18">
        <v>63.36</v>
      </c>
      <c r="Z61" s="18">
        <v>255.42</v>
      </c>
      <c r="AA61" s="19">
        <v>27.26</v>
      </c>
    </row>
    <row r="62" spans="2:27" x14ac:dyDescent="0.3">
      <c r="B62" s="20">
        <v>2250</v>
      </c>
      <c r="C62" s="18">
        <v>61.08</v>
      </c>
      <c r="D62" s="18">
        <v>106.61</v>
      </c>
      <c r="E62" s="18">
        <v>316.37</v>
      </c>
      <c r="F62" s="19">
        <v>53.39</v>
      </c>
      <c r="I62" s="20">
        <v>2250</v>
      </c>
      <c r="J62" s="18">
        <v>52.66</v>
      </c>
      <c r="K62" s="18">
        <v>85.78</v>
      </c>
      <c r="L62" s="18">
        <v>270.79000000000002</v>
      </c>
      <c r="M62" s="19">
        <v>40.909999999999997</v>
      </c>
      <c r="P62" s="20">
        <v>2250</v>
      </c>
      <c r="Q62" s="18">
        <v>38.36</v>
      </c>
      <c r="R62" s="18">
        <v>68.69</v>
      </c>
      <c r="S62" s="18">
        <v>273.13</v>
      </c>
      <c r="T62" s="19">
        <v>29.18</v>
      </c>
      <c r="W62" s="20">
        <v>2250</v>
      </c>
      <c r="X62" s="18">
        <v>36.36</v>
      </c>
      <c r="Y62" s="18">
        <v>65.17</v>
      </c>
      <c r="Z62" s="18">
        <v>256.23</v>
      </c>
      <c r="AA62" s="19">
        <v>27.34</v>
      </c>
    </row>
    <row r="63" spans="2:27" x14ac:dyDescent="0.3">
      <c r="B63" s="20">
        <v>2300</v>
      </c>
      <c r="C63" s="18">
        <v>61.18</v>
      </c>
      <c r="D63" s="18">
        <v>109.66</v>
      </c>
      <c r="E63" s="18">
        <v>317.70999999999998</v>
      </c>
      <c r="F63" s="19">
        <v>53.06</v>
      </c>
      <c r="I63" s="20">
        <v>2300</v>
      </c>
      <c r="J63" s="18">
        <v>52.92</v>
      </c>
      <c r="K63" s="18">
        <v>88.42</v>
      </c>
      <c r="L63" s="18">
        <v>271.95</v>
      </c>
      <c r="M63" s="19">
        <v>40.729999999999997</v>
      </c>
      <c r="P63" s="20">
        <v>2300</v>
      </c>
      <c r="Q63" s="18">
        <v>38.47</v>
      </c>
      <c r="R63" s="18">
        <v>70.61</v>
      </c>
      <c r="S63" s="18">
        <v>273.97000000000003</v>
      </c>
      <c r="T63" s="19">
        <v>29.26</v>
      </c>
      <c r="W63" s="20">
        <v>2300</v>
      </c>
      <c r="X63" s="18">
        <v>36.43</v>
      </c>
      <c r="Y63" s="18">
        <v>66.989999999999995</v>
      </c>
      <c r="Z63" s="18">
        <v>257.02999999999997</v>
      </c>
      <c r="AA63" s="19">
        <v>27.41</v>
      </c>
    </row>
    <row r="64" spans="2:27" x14ac:dyDescent="0.3">
      <c r="B64" s="20">
        <v>2350</v>
      </c>
      <c r="C64" s="18">
        <v>61.28</v>
      </c>
      <c r="D64" s="18">
        <v>112.73</v>
      </c>
      <c r="E64" s="18">
        <v>319.02999999999997</v>
      </c>
      <c r="F64" s="19">
        <v>52.74</v>
      </c>
      <c r="I64" s="20">
        <v>2350</v>
      </c>
      <c r="J64" s="18">
        <v>53.18</v>
      </c>
      <c r="K64" s="18">
        <v>91.07</v>
      </c>
      <c r="L64" s="18">
        <v>273.08999999999997</v>
      </c>
      <c r="M64" s="19">
        <v>40.56</v>
      </c>
      <c r="P64" s="20">
        <v>2350</v>
      </c>
      <c r="Q64" s="18">
        <v>38.58</v>
      </c>
      <c r="R64" s="18">
        <v>72.53</v>
      </c>
      <c r="S64" s="18">
        <v>274.8</v>
      </c>
      <c r="T64" s="19">
        <v>29.34</v>
      </c>
      <c r="W64" s="20">
        <v>2350</v>
      </c>
      <c r="X64" s="18">
        <v>36.49</v>
      </c>
      <c r="Y64" s="18">
        <v>68.819999999999993</v>
      </c>
      <c r="Z64" s="18">
        <v>257.82</v>
      </c>
      <c r="AA64" s="19">
        <v>27.49</v>
      </c>
    </row>
    <row r="65" spans="2:27" x14ac:dyDescent="0.3">
      <c r="B65" s="20">
        <v>2400</v>
      </c>
      <c r="C65" s="18">
        <v>61.37</v>
      </c>
      <c r="D65" s="18">
        <v>115.79</v>
      </c>
      <c r="E65" s="18">
        <v>320.32</v>
      </c>
      <c r="F65" s="19">
        <v>52.45</v>
      </c>
      <c r="I65" s="20">
        <v>2400</v>
      </c>
      <c r="J65" s="18">
        <v>53.43</v>
      </c>
      <c r="K65" s="18">
        <v>93.74</v>
      </c>
      <c r="L65" s="18">
        <v>274.20999999999998</v>
      </c>
      <c r="M65" s="19">
        <v>40.4</v>
      </c>
      <c r="P65" s="20">
        <v>2400</v>
      </c>
      <c r="Q65" s="18">
        <v>38.68</v>
      </c>
      <c r="R65" s="18">
        <v>74.459999999999994</v>
      </c>
      <c r="S65" s="18">
        <v>275.61</v>
      </c>
      <c r="T65" s="19">
        <v>29.42</v>
      </c>
      <c r="W65" s="20">
        <v>2400</v>
      </c>
      <c r="X65" s="18">
        <v>36.54</v>
      </c>
      <c r="Y65" s="18">
        <v>70.64</v>
      </c>
      <c r="Z65" s="18">
        <v>258.58999999999997</v>
      </c>
      <c r="AA65" s="19">
        <v>27.56</v>
      </c>
    </row>
    <row r="66" spans="2:27" x14ac:dyDescent="0.3">
      <c r="B66" s="20">
        <v>2450</v>
      </c>
      <c r="C66" s="18">
        <v>61.46</v>
      </c>
      <c r="D66" s="18">
        <v>118.86</v>
      </c>
      <c r="E66" s="18">
        <v>321.58</v>
      </c>
      <c r="F66" s="19">
        <v>52.16</v>
      </c>
      <c r="I66" s="20">
        <v>2450</v>
      </c>
      <c r="J66" s="18">
        <v>53.67</v>
      </c>
      <c r="K66" s="18">
        <v>96.42</v>
      </c>
      <c r="L66" s="18">
        <v>275.32</v>
      </c>
      <c r="M66" s="19">
        <v>40.25</v>
      </c>
      <c r="P66" s="20">
        <v>2450</v>
      </c>
      <c r="Q66" s="18">
        <v>38.79</v>
      </c>
      <c r="R66" s="18">
        <v>76.400000000000006</v>
      </c>
      <c r="S66" s="18">
        <v>276.41000000000003</v>
      </c>
      <c r="T66" s="19">
        <v>29.5</v>
      </c>
      <c r="W66" s="20">
        <v>2450</v>
      </c>
      <c r="X66" s="18">
        <v>36.590000000000003</v>
      </c>
      <c r="Y66" s="18">
        <v>72.47</v>
      </c>
      <c r="Z66" s="18">
        <v>259.33999999999997</v>
      </c>
      <c r="AA66" s="19">
        <v>27.64</v>
      </c>
    </row>
    <row r="67" spans="2:27" x14ac:dyDescent="0.3">
      <c r="B67" s="20">
        <v>2500</v>
      </c>
      <c r="C67" s="18">
        <v>61.55</v>
      </c>
      <c r="D67" s="18">
        <v>121.94</v>
      </c>
      <c r="E67" s="18">
        <v>322.83</v>
      </c>
      <c r="F67" s="19">
        <v>51.9</v>
      </c>
      <c r="I67" s="20">
        <v>2500</v>
      </c>
      <c r="J67" s="18">
        <v>53.9</v>
      </c>
      <c r="K67" s="18">
        <v>99.11</v>
      </c>
      <c r="L67" s="18">
        <v>276.39999999999998</v>
      </c>
      <c r="M67" s="19">
        <v>40.11</v>
      </c>
      <c r="P67" s="20">
        <v>2500</v>
      </c>
      <c r="Q67" s="18">
        <v>38.89</v>
      </c>
      <c r="R67" s="18">
        <v>78.34</v>
      </c>
      <c r="S67" s="18">
        <v>277.2</v>
      </c>
      <c r="T67" s="19">
        <v>29.57</v>
      </c>
      <c r="W67" s="20">
        <v>2500</v>
      </c>
      <c r="X67" s="18">
        <v>36.64</v>
      </c>
      <c r="Y67" s="18">
        <v>74.3</v>
      </c>
      <c r="Z67" s="18">
        <v>260.08</v>
      </c>
      <c r="AA67" s="19">
        <v>27.71</v>
      </c>
    </row>
    <row r="68" spans="2:27" x14ac:dyDescent="0.3">
      <c r="B68" s="20">
        <v>2550</v>
      </c>
      <c r="C68" s="18">
        <v>61.62</v>
      </c>
      <c r="D68" s="18">
        <v>125.02</v>
      </c>
      <c r="E68" s="18">
        <v>324.05</v>
      </c>
      <c r="F68" s="19">
        <v>51.64</v>
      </c>
      <c r="I68" s="20">
        <v>2550</v>
      </c>
      <c r="J68" s="18">
        <v>54.12</v>
      </c>
      <c r="K68" s="18">
        <v>101.81</v>
      </c>
      <c r="L68" s="18">
        <v>277.47000000000003</v>
      </c>
      <c r="M68" s="19">
        <v>39.979999999999997</v>
      </c>
      <c r="P68" s="20">
        <v>2550</v>
      </c>
      <c r="Q68" s="18">
        <v>38.99</v>
      </c>
      <c r="R68" s="18">
        <v>80.290000000000006</v>
      </c>
      <c r="S68" s="18">
        <v>277.97000000000003</v>
      </c>
      <c r="T68" s="19">
        <v>29.65</v>
      </c>
      <c r="W68" s="20">
        <v>2550</v>
      </c>
      <c r="X68" s="18">
        <v>36.69</v>
      </c>
      <c r="Y68" s="18">
        <v>76.13</v>
      </c>
      <c r="Z68" s="18">
        <v>260.81</v>
      </c>
      <c r="AA68" s="19">
        <v>27.78</v>
      </c>
    </row>
    <row r="69" spans="2:27" x14ac:dyDescent="0.3">
      <c r="B69" s="20">
        <v>2600</v>
      </c>
      <c r="C69" s="18">
        <v>61.7</v>
      </c>
      <c r="D69" s="18">
        <v>128.1</v>
      </c>
      <c r="E69" s="18">
        <v>325.24</v>
      </c>
      <c r="F69" s="19">
        <v>51.4</v>
      </c>
      <c r="I69" s="20">
        <v>2600</v>
      </c>
      <c r="J69" s="18">
        <v>54.34</v>
      </c>
      <c r="K69" s="18">
        <v>104.52</v>
      </c>
      <c r="L69" s="18">
        <v>278.52999999999997</v>
      </c>
      <c r="M69" s="19">
        <v>39.85</v>
      </c>
      <c r="P69" s="20">
        <v>2600</v>
      </c>
      <c r="Q69" s="18">
        <v>39.090000000000003</v>
      </c>
      <c r="R69" s="18">
        <v>82.24</v>
      </c>
      <c r="S69" s="18">
        <v>278.73</v>
      </c>
      <c r="T69" s="19">
        <v>29.72</v>
      </c>
      <c r="W69" s="20">
        <v>2600</v>
      </c>
      <c r="X69" s="18">
        <v>36.74</v>
      </c>
      <c r="Y69" s="18">
        <v>77.97</v>
      </c>
      <c r="Z69" s="18">
        <v>261.52</v>
      </c>
      <c r="AA69" s="19">
        <v>27.85</v>
      </c>
    </row>
    <row r="70" spans="2:27" x14ac:dyDescent="0.3">
      <c r="B70" s="20">
        <v>2650</v>
      </c>
      <c r="C70" s="18">
        <v>61.77</v>
      </c>
      <c r="D70" s="18">
        <v>131.19</v>
      </c>
      <c r="E70" s="18">
        <v>326.42</v>
      </c>
      <c r="F70" s="19">
        <v>51.17</v>
      </c>
      <c r="I70" s="20">
        <v>2650</v>
      </c>
      <c r="J70" s="18">
        <v>54.54</v>
      </c>
      <c r="K70" s="18">
        <v>107.24</v>
      </c>
      <c r="L70" s="18">
        <v>279.56</v>
      </c>
      <c r="M70" s="19">
        <v>39.729999999999997</v>
      </c>
      <c r="P70" s="20">
        <v>2650</v>
      </c>
      <c r="Q70" s="18">
        <v>39.19</v>
      </c>
      <c r="R70" s="18">
        <v>84.2</v>
      </c>
      <c r="S70" s="18">
        <v>279.47000000000003</v>
      </c>
      <c r="T70" s="19">
        <v>29.79</v>
      </c>
      <c r="W70" s="20">
        <v>2650</v>
      </c>
      <c r="X70" s="18">
        <v>36.78</v>
      </c>
      <c r="Y70" s="18">
        <v>79.81</v>
      </c>
      <c r="Z70" s="18">
        <v>262.22000000000003</v>
      </c>
      <c r="AA70" s="19">
        <v>27.92</v>
      </c>
    </row>
    <row r="71" spans="2:27" x14ac:dyDescent="0.3">
      <c r="B71" s="20">
        <v>2700</v>
      </c>
      <c r="C71" s="18">
        <v>61.84</v>
      </c>
      <c r="D71" s="18">
        <v>134.28</v>
      </c>
      <c r="E71" s="18">
        <v>327.57</v>
      </c>
      <c r="F71" s="19">
        <v>50.95</v>
      </c>
      <c r="I71" s="20">
        <v>2700</v>
      </c>
      <c r="J71" s="18">
        <v>54.74</v>
      </c>
      <c r="K71" s="18">
        <v>109.97</v>
      </c>
      <c r="L71" s="18">
        <v>280.58</v>
      </c>
      <c r="M71" s="19">
        <v>39.619999999999997</v>
      </c>
      <c r="P71" s="20">
        <v>2700</v>
      </c>
      <c r="Q71" s="18">
        <v>39.29</v>
      </c>
      <c r="R71" s="18">
        <v>86.16</v>
      </c>
      <c r="S71" s="18">
        <v>280.2</v>
      </c>
      <c r="T71" s="19">
        <v>29.86</v>
      </c>
      <c r="W71" s="20">
        <v>2700</v>
      </c>
      <c r="X71" s="18">
        <v>36.82</v>
      </c>
      <c r="Y71" s="18">
        <v>81.650000000000006</v>
      </c>
      <c r="Z71" s="18">
        <v>262.91000000000003</v>
      </c>
      <c r="AA71" s="19">
        <v>27.98</v>
      </c>
    </row>
    <row r="72" spans="2:27" x14ac:dyDescent="0.3">
      <c r="B72" s="20">
        <v>2750</v>
      </c>
      <c r="C72" s="18">
        <v>61.9</v>
      </c>
      <c r="D72" s="18">
        <v>137.37</v>
      </c>
      <c r="E72" s="18">
        <v>328.71</v>
      </c>
      <c r="F72" s="19">
        <v>50.74</v>
      </c>
      <c r="I72" s="20">
        <v>2750</v>
      </c>
      <c r="J72" s="18">
        <v>54.93</v>
      </c>
      <c r="K72" s="18">
        <v>112.72</v>
      </c>
      <c r="L72" s="18">
        <v>281.58999999999997</v>
      </c>
      <c r="M72" s="19">
        <v>39.520000000000003</v>
      </c>
      <c r="P72" s="20">
        <v>2750</v>
      </c>
      <c r="Q72" s="18">
        <v>39.380000000000003</v>
      </c>
      <c r="R72" s="18">
        <v>88.13</v>
      </c>
      <c r="S72" s="18">
        <v>280.93</v>
      </c>
      <c r="T72" s="19">
        <v>29.94</v>
      </c>
      <c r="W72" s="20">
        <v>2750</v>
      </c>
      <c r="X72" s="18">
        <v>36.86</v>
      </c>
      <c r="Y72" s="18">
        <v>83.49</v>
      </c>
      <c r="Z72" s="18">
        <v>263.58</v>
      </c>
      <c r="AA72" s="19">
        <v>28.05</v>
      </c>
    </row>
    <row r="73" spans="2:27" x14ac:dyDescent="0.3">
      <c r="B73" s="20">
        <v>2800</v>
      </c>
      <c r="C73" s="18">
        <v>61.96</v>
      </c>
      <c r="D73" s="18">
        <v>140.47</v>
      </c>
      <c r="E73" s="18">
        <v>329.83</v>
      </c>
      <c r="F73" s="19">
        <v>50.54</v>
      </c>
      <c r="I73" s="20">
        <v>2800</v>
      </c>
      <c r="J73" s="18">
        <v>55.11</v>
      </c>
      <c r="K73" s="18">
        <v>115.47</v>
      </c>
      <c r="L73" s="18">
        <v>282.58</v>
      </c>
      <c r="M73" s="19">
        <v>39.42</v>
      </c>
      <c r="P73" s="20">
        <v>2800</v>
      </c>
      <c r="Q73" s="18">
        <v>39.479999999999997</v>
      </c>
      <c r="R73" s="18">
        <v>90.1</v>
      </c>
      <c r="S73" s="18">
        <v>281.64</v>
      </c>
      <c r="T73" s="19">
        <v>30</v>
      </c>
      <c r="W73" s="20">
        <v>2800</v>
      </c>
      <c r="X73" s="18">
        <v>36.89</v>
      </c>
      <c r="Y73" s="18">
        <v>85.33</v>
      </c>
      <c r="Z73" s="18">
        <v>264.25</v>
      </c>
      <c r="AA73" s="19">
        <v>28.12</v>
      </c>
    </row>
    <row r="74" spans="2:27" x14ac:dyDescent="0.3">
      <c r="B74" s="20">
        <v>2850</v>
      </c>
      <c r="C74" s="18">
        <v>62.02</v>
      </c>
      <c r="D74" s="18">
        <v>143.57</v>
      </c>
      <c r="E74" s="18">
        <v>330.92</v>
      </c>
      <c r="F74" s="19">
        <v>50.35</v>
      </c>
      <c r="I74" s="20">
        <v>2850</v>
      </c>
      <c r="J74" s="18">
        <v>55.29</v>
      </c>
      <c r="K74" s="18">
        <v>118.23</v>
      </c>
      <c r="L74" s="18">
        <v>283.56</v>
      </c>
      <c r="M74" s="19">
        <v>39.32</v>
      </c>
      <c r="P74" s="20">
        <v>2850</v>
      </c>
      <c r="Q74" s="18">
        <v>39.57</v>
      </c>
      <c r="R74" s="18">
        <v>92.07</v>
      </c>
      <c r="S74" s="18">
        <v>282.33999999999997</v>
      </c>
      <c r="T74" s="19">
        <v>30.07</v>
      </c>
      <c r="W74" s="20">
        <v>2850</v>
      </c>
      <c r="X74" s="18">
        <v>36.93</v>
      </c>
      <c r="Y74" s="18">
        <v>87.18</v>
      </c>
      <c r="Z74" s="18">
        <v>264.89999999999998</v>
      </c>
      <c r="AA74" s="19">
        <v>28.18</v>
      </c>
    </row>
    <row r="75" spans="2:27" x14ac:dyDescent="0.3">
      <c r="B75" s="20">
        <v>2900</v>
      </c>
      <c r="C75" s="18">
        <v>62.08</v>
      </c>
      <c r="D75" s="18">
        <v>146.66999999999999</v>
      </c>
      <c r="E75" s="18">
        <v>332</v>
      </c>
      <c r="F75" s="19">
        <v>50.17</v>
      </c>
      <c r="I75" s="20">
        <v>2900</v>
      </c>
      <c r="J75" s="18">
        <v>55.46</v>
      </c>
      <c r="K75" s="18">
        <v>120.99</v>
      </c>
      <c r="L75" s="18">
        <v>284.52</v>
      </c>
      <c r="M75" s="19">
        <v>39.229999999999997</v>
      </c>
      <c r="P75" s="20">
        <v>2900</v>
      </c>
      <c r="Q75" s="18">
        <v>39.659999999999997</v>
      </c>
      <c r="R75" s="18">
        <v>94.06</v>
      </c>
      <c r="S75" s="18">
        <v>283.02999999999997</v>
      </c>
      <c r="T75" s="19">
        <v>30.14</v>
      </c>
      <c r="W75" s="20">
        <v>2900</v>
      </c>
      <c r="X75" s="18">
        <v>36.96</v>
      </c>
      <c r="Y75" s="18">
        <v>89.03</v>
      </c>
      <c r="Z75" s="18">
        <v>265.54000000000002</v>
      </c>
      <c r="AA75" s="19">
        <v>28.25</v>
      </c>
    </row>
    <row r="76" spans="2:27" x14ac:dyDescent="0.3">
      <c r="B76" s="20">
        <v>2950</v>
      </c>
      <c r="C76" s="18">
        <v>62.14</v>
      </c>
      <c r="D76" s="18">
        <v>149.78</v>
      </c>
      <c r="E76" s="18">
        <v>333.06</v>
      </c>
      <c r="F76" s="19">
        <v>50</v>
      </c>
      <c r="I76" s="20">
        <v>2950</v>
      </c>
      <c r="J76" s="18">
        <v>55.62</v>
      </c>
      <c r="K76" s="18">
        <v>123.77</v>
      </c>
      <c r="L76" s="18">
        <v>285.47000000000003</v>
      </c>
      <c r="M76" s="19">
        <v>39.15</v>
      </c>
      <c r="P76" s="20">
        <v>2950</v>
      </c>
      <c r="Q76" s="18">
        <v>39.75</v>
      </c>
      <c r="R76" s="18">
        <v>96.04</v>
      </c>
      <c r="S76" s="18">
        <v>283.7</v>
      </c>
      <c r="T76" s="19">
        <v>30.21</v>
      </c>
      <c r="W76" s="20">
        <v>2950</v>
      </c>
      <c r="X76" s="18">
        <v>36.99</v>
      </c>
      <c r="Y76" s="18">
        <v>90.88</v>
      </c>
      <c r="Z76" s="18">
        <v>266.17</v>
      </c>
      <c r="AA76" s="19">
        <v>28.31</v>
      </c>
    </row>
    <row r="77" spans="2:27" x14ac:dyDescent="0.3">
      <c r="B77" s="20">
        <v>3000</v>
      </c>
      <c r="C77" s="18">
        <v>62.19</v>
      </c>
      <c r="D77" s="18">
        <v>152.88</v>
      </c>
      <c r="E77" s="18">
        <v>334.11</v>
      </c>
      <c r="F77" s="19">
        <v>49.83</v>
      </c>
      <c r="I77" s="20">
        <v>3000</v>
      </c>
      <c r="J77" s="18">
        <v>55.78</v>
      </c>
      <c r="K77" s="18">
        <v>126.56</v>
      </c>
      <c r="L77" s="18">
        <v>286.41000000000003</v>
      </c>
      <c r="M77" s="19">
        <v>39.07</v>
      </c>
      <c r="P77" s="20">
        <v>3000</v>
      </c>
      <c r="Q77" s="18">
        <v>39.840000000000003</v>
      </c>
      <c r="R77" s="18">
        <v>98.03</v>
      </c>
      <c r="S77" s="18">
        <v>284.37</v>
      </c>
      <c r="T77" s="19">
        <v>30.27</v>
      </c>
      <c r="W77" s="20">
        <v>3000</v>
      </c>
      <c r="X77" s="18">
        <v>37.03</v>
      </c>
      <c r="Y77" s="18">
        <v>92.73</v>
      </c>
      <c r="Z77" s="18">
        <v>266.8</v>
      </c>
      <c r="AA77" s="19">
        <v>28.37</v>
      </c>
    </row>
    <row r="78" spans="2:27" x14ac:dyDescent="0.3">
      <c r="B78" s="20">
        <v>3050</v>
      </c>
      <c r="C78" s="18">
        <v>62.25</v>
      </c>
      <c r="D78" s="18">
        <v>155.99</v>
      </c>
      <c r="E78" s="18">
        <v>335.14</v>
      </c>
      <c r="F78" s="19">
        <v>49.68</v>
      </c>
      <c r="I78" s="20">
        <v>3050</v>
      </c>
      <c r="J78" s="18">
        <v>55.93</v>
      </c>
      <c r="K78" s="18">
        <v>129.35</v>
      </c>
      <c r="L78" s="18">
        <v>287.33</v>
      </c>
      <c r="M78" s="19">
        <v>39</v>
      </c>
      <c r="P78" s="20">
        <v>3050</v>
      </c>
      <c r="Q78" s="18">
        <v>39.93</v>
      </c>
      <c r="R78" s="18">
        <v>100.03</v>
      </c>
      <c r="S78" s="18">
        <v>285.02999999999997</v>
      </c>
      <c r="T78" s="19">
        <v>30.34</v>
      </c>
      <c r="W78" s="20">
        <v>3050</v>
      </c>
      <c r="X78" s="18">
        <v>37.06</v>
      </c>
      <c r="Y78" s="18">
        <v>94.58</v>
      </c>
      <c r="Z78" s="18">
        <v>267.41000000000003</v>
      </c>
      <c r="AA78" s="19">
        <v>28.43</v>
      </c>
    </row>
    <row r="79" spans="2:27" x14ac:dyDescent="0.3">
      <c r="B79" s="20">
        <v>3100</v>
      </c>
      <c r="C79" s="18">
        <v>62.3</v>
      </c>
      <c r="D79" s="18">
        <v>159.11000000000001</v>
      </c>
      <c r="E79" s="18">
        <v>336.15</v>
      </c>
      <c r="F79" s="19">
        <v>49.53</v>
      </c>
      <c r="I79" s="20">
        <v>3100</v>
      </c>
      <c r="J79" s="18">
        <v>56.07</v>
      </c>
      <c r="K79" s="18">
        <v>132.15</v>
      </c>
      <c r="L79" s="18">
        <v>288.24</v>
      </c>
      <c r="M79" s="19">
        <v>38.92</v>
      </c>
      <c r="P79" s="20">
        <v>3100</v>
      </c>
      <c r="Q79" s="18">
        <v>40.020000000000003</v>
      </c>
      <c r="R79" s="18">
        <v>102.02</v>
      </c>
      <c r="S79" s="18">
        <v>285.68</v>
      </c>
      <c r="T79" s="19">
        <v>30.4</v>
      </c>
      <c r="W79" s="20">
        <v>3100</v>
      </c>
      <c r="X79" s="18">
        <v>37.090000000000003</v>
      </c>
      <c r="Y79" s="18">
        <v>96.43</v>
      </c>
      <c r="Z79" s="18">
        <v>268.01</v>
      </c>
      <c r="AA79" s="19">
        <v>28.49</v>
      </c>
    </row>
    <row r="80" spans="2:27" x14ac:dyDescent="0.3">
      <c r="B80" s="20">
        <v>3150</v>
      </c>
      <c r="C80" s="18">
        <v>62.35</v>
      </c>
      <c r="D80" s="18">
        <v>162.22</v>
      </c>
      <c r="E80" s="18">
        <v>337.15</v>
      </c>
      <c r="F80" s="19">
        <v>49.38</v>
      </c>
      <c r="I80" s="20">
        <v>3150</v>
      </c>
      <c r="J80" s="18">
        <v>56.21</v>
      </c>
      <c r="K80" s="18">
        <v>134.96</v>
      </c>
      <c r="L80" s="18">
        <v>289.14</v>
      </c>
      <c r="M80" s="19">
        <v>38.86</v>
      </c>
      <c r="P80" s="20">
        <v>3150</v>
      </c>
      <c r="Q80" s="18">
        <v>40.11</v>
      </c>
      <c r="R80" s="18">
        <v>104.03</v>
      </c>
      <c r="S80" s="18">
        <v>286.32</v>
      </c>
      <c r="T80" s="19">
        <v>30.47</v>
      </c>
      <c r="W80" s="20">
        <v>3150</v>
      </c>
      <c r="X80" s="18">
        <v>37.11</v>
      </c>
      <c r="Y80" s="18">
        <v>98.29</v>
      </c>
      <c r="Z80" s="18">
        <v>268.61</v>
      </c>
      <c r="AA80" s="19">
        <v>28.55</v>
      </c>
    </row>
    <row r="81" spans="2:27" x14ac:dyDescent="0.3">
      <c r="B81" s="20">
        <v>3200</v>
      </c>
      <c r="C81" s="18">
        <v>62.4</v>
      </c>
      <c r="D81" s="18">
        <v>165.34</v>
      </c>
      <c r="E81" s="18">
        <v>338.13</v>
      </c>
      <c r="F81" s="19">
        <v>49.25</v>
      </c>
      <c r="I81" s="20">
        <v>3200</v>
      </c>
      <c r="J81" s="18">
        <v>56.35</v>
      </c>
      <c r="K81" s="18">
        <v>137.77000000000001</v>
      </c>
      <c r="L81" s="18">
        <v>290.02999999999997</v>
      </c>
      <c r="M81" s="19">
        <v>38.799999999999997</v>
      </c>
      <c r="P81" s="20">
        <v>3200</v>
      </c>
      <c r="Q81" s="18">
        <v>40.19</v>
      </c>
      <c r="R81" s="18">
        <v>106.03</v>
      </c>
      <c r="S81" s="18">
        <v>286.95999999999998</v>
      </c>
      <c r="T81" s="19">
        <v>30.53</v>
      </c>
      <c r="W81" s="20">
        <v>3200</v>
      </c>
      <c r="X81" s="18">
        <v>37.14</v>
      </c>
      <c r="Y81" s="18">
        <v>100.14</v>
      </c>
      <c r="Z81" s="18">
        <v>269.19</v>
      </c>
      <c r="AA81" s="19">
        <v>28.61</v>
      </c>
    </row>
    <row r="82" spans="2:27" x14ac:dyDescent="0.3">
      <c r="B82" s="20">
        <v>3250</v>
      </c>
      <c r="C82" s="18">
        <v>62.45</v>
      </c>
      <c r="D82" s="18">
        <v>168.46</v>
      </c>
      <c r="E82" s="18">
        <v>339.1</v>
      </c>
      <c r="F82" s="19">
        <v>49.12</v>
      </c>
      <c r="I82" s="20">
        <v>3250</v>
      </c>
      <c r="J82" s="18">
        <v>56.48</v>
      </c>
      <c r="K82" s="18">
        <v>140.59</v>
      </c>
      <c r="L82" s="18">
        <v>290.89999999999998</v>
      </c>
      <c r="M82" s="19">
        <v>38.74</v>
      </c>
      <c r="P82" s="20">
        <v>3250</v>
      </c>
      <c r="Q82" s="18">
        <v>40.28</v>
      </c>
      <c r="R82" s="18">
        <v>108.05</v>
      </c>
      <c r="S82" s="18">
        <v>287.58</v>
      </c>
      <c r="T82" s="19">
        <v>30.59</v>
      </c>
      <c r="W82" s="20">
        <v>3250</v>
      </c>
      <c r="X82" s="18">
        <v>37.17</v>
      </c>
      <c r="Y82" s="18">
        <v>102</v>
      </c>
      <c r="Z82" s="18">
        <v>269.77</v>
      </c>
      <c r="AA82" s="19">
        <v>28.67</v>
      </c>
    </row>
    <row r="83" spans="2:27" x14ac:dyDescent="0.3">
      <c r="B83" s="20">
        <v>3300</v>
      </c>
      <c r="C83" s="18">
        <v>62.51</v>
      </c>
      <c r="D83" s="18">
        <v>171.59</v>
      </c>
      <c r="E83" s="18">
        <v>340.05</v>
      </c>
      <c r="F83" s="19">
        <v>48.99</v>
      </c>
      <c r="I83" s="20">
        <v>3300</v>
      </c>
      <c r="J83" s="18">
        <v>56.61</v>
      </c>
      <c r="K83" s="18">
        <v>143.41999999999999</v>
      </c>
      <c r="L83" s="18">
        <v>291.76</v>
      </c>
      <c r="M83" s="19">
        <v>38.68</v>
      </c>
      <c r="P83" s="20">
        <v>3300</v>
      </c>
      <c r="Q83" s="18">
        <v>40.36</v>
      </c>
      <c r="R83" s="18">
        <v>110.06</v>
      </c>
      <c r="S83" s="18">
        <v>288.2</v>
      </c>
      <c r="T83" s="19">
        <v>30.65</v>
      </c>
      <c r="W83" s="20">
        <v>3300</v>
      </c>
      <c r="X83" s="18">
        <v>37.200000000000003</v>
      </c>
      <c r="Y83" s="18">
        <v>103.86</v>
      </c>
      <c r="Z83" s="18">
        <v>270.33</v>
      </c>
      <c r="AA83" s="19">
        <v>28.73</v>
      </c>
    </row>
    <row r="84" spans="2:27" x14ac:dyDescent="0.3">
      <c r="B84" s="20">
        <v>3350</v>
      </c>
      <c r="C84" s="18">
        <v>62.56</v>
      </c>
      <c r="D84" s="18">
        <v>174.72</v>
      </c>
      <c r="E84" s="18">
        <v>340.99</v>
      </c>
      <c r="F84" s="19">
        <v>48.87</v>
      </c>
      <c r="I84" s="20">
        <v>3350</v>
      </c>
      <c r="J84" s="18">
        <v>56.73</v>
      </c>
      <c r="K84" s="18">
        <v>146.25</v>
      </c>
      <c r="L84" s="18">
        <v>292.62</v>
      </c>
      <c r="M84" s="19">
        <v>38.630000000000003</v>
      </c>
      <c r="P84" s="20">
        <v>3350</v>
      </c>
      <c r="Q84" s="18">
        <v>40.44</v>
      </c>
      <c r="R84" s="18">
        <v>112.08</v>
      </c>
      <c r="S84" s="18">
        <v>288.8</v>
      </c>
      <c r="T84" s="19">
        <v>30.71</v>
      </c>
      <c r="W84" s="20">
        <v>3350</v>
      </c>
      <c r="X84" s="18">
        <v>37.22</v>
      </c>
      <c r="Y84" s="18">
        <v>105.72</v>
      </c>
      <c r="Z84" s="18">
        <v>270.89</v>
      </c>
      <c r="AA84" s="19">
        <v>28.79</v>
      </c>
    </row>
    <row r="85" spans="2:27" x14ac:dyDescent="0.3">
      <c r="B85" s="20">
        <v>3400</v>
      </c>
      <c r="C85" s="18">
        <v>62.61</v>
      </c>
      <c r="D85" s="18">
        <v>177.84</v>
      </c>
      <c r="E85" s="18">
        <v>341.92</v>
      </c>
      <c r="F85" s="19">
        <v>48.76</v>
      </c>
      <c r="I85" s="20">
        <v>3400</v>
      </c>
      <c r="J85" s="18">
        <v>56.85</v>
      </c>
      <c r="K85" s="18">
        <v>149.09</v>
      </c>
      <c r="L85" s="18">
        <v>293.45999999999998</v>
      </c>
      <c r="M85" s="19">
        <v>38.58</v>
      </c>
      <c r="P85" s="20">
        <v>3400</v>
      </c>
      <c r="Q85" s="18">
        <v>40.520000000000003</v>
      </c>
      <c r="R85" s="18">
        <v>114.11</v>
      </c>
      <c r="S85" s="18">
        <v>289.39999999999998</v>
      </c>
      <c r="T85" s="19">
        <v>30.77</v>
      </c>
      <c r="W85" s="20">
        <v>3400</v>
      </c>
      <c r="X85" s="18">
        <v>37.25</v>
      </c>
      <c r="Y85" s="18">
        <v>107.58</v>
      </c>
      <c r="Z85" s="18">
        <v>271.45</v>
      </c>
      <c r="AA85" s="19">
        <v>28.84</v>
      </c>
    </row>
    <row r="86" spans="2:27" x14ac:dyDescent="0.3">
      <c r="B86" s="20">
        <v>3450</v>
      </c>
      <c r="C86" s="18">
        <v>62.66</v>
      </c>
      <c r="D86" s="18">
        <v>180.98</v>
      </c>
      <c r="E86" s="18">
        <v>342.83</v>
      </c>
      <c r="F86" s="19">
        <v>48.65</v>
      </c>
      <c r="I86" s="20">
        <v>3450</v>
      </c>
      <c r="J86" s="18">
        <v>56.96</v>
      </c>
      <c r="K86" s="18">
        <v>151.94</v>
      </c>
      <c r="L86" s="18">
        <v>294.29000000000002</v>
      </c>
      <c r="M86" s="19">
        <v>38.53</v>
      </c>
      <c r="P86" s="20">
        <v>3450</v>
      </c>
      <c r="Q86" s="18">
        <v>40.6</v>
      </c>
      <c r="R86" s="18">
        <v>116.13</v>
      </c>
      <c r="S86" s="18">
        <v>290</v>
      </c>
      <c r="T86" s="19">
        <v>30.83</v>
      </c>
      <c r="W86" s="20">
        <v>3450</v>
      </c>
      <c r="X86" s="18">
        <v>37.270000000000003</v>
      </c>
      <c r="Y86" s="18">
        <v>109.45</v>
      </c>
      <c r="Z86" s="18">
        <v>271.99</v>
      </c>
      <c r="AA86" s="19">
        <v>28.9</v>
      </c>
    </row>
    <row r="87" spans="2:27" ht="15" thickBot="1" x14ac:dyDescent="0.35">
      <c r="B87" s="21">
        <v>3500</v>
      </c>
      <c r="C87" s="22">
        <v>62.72</v>
      </c>
      <c r="D87" s="22">
        <v>184.11</v>
      </c>
      <c r="E87" s="22">
        <v>343.73</v>
      </c>
      <c r="F87" s="23">
        <v>48.54</v>
      </c>
      <c r="I87" s="21">
        <v>3500</v>
      </c>
      <c r="J87" s="22">
        <v>57.07</v>
      </c>
      <c r="K87" s="22">
        <v>154.79</v>
      </c>
      <c r="L87" s="22">
        <v>295.11</v>
      </c>
      <c r="M87" s="23">
        <v>38.49</v>
      </c>
      <c r="P87" s="21">
        <v>3500</v>
      </c>
      <c r="Q87" s="22">
        <v>40.68</v>
      </c>
      <c r="R87" s="22">
        <v>118.17</v>
      </c>
      <c r="S87" s="22">
        <v>290.58</v>
      </c>
      <c r="T87" s="23">
        <v>30.89</v>
      </c>
      <c r="W87" s="21">
        <v>3500</v>
      </c>
      <c r="X87" s="22">
        <v>37.299999999999997</v>
      </c>
      <c r="Y87" s="22">
        <v>111.31</v>
      </c>
      <c r="Z87" s="22">
        <v>272.52999999999997</v>
      </c>
      <c r="AA87" s="23">
        <v>28.95</v>
      </c>
    </row>
  </sheetData>
  <mergeCells count="4">
    <mergeCell ref="P2:T2"/>
    <mergeCell ref="W2:AA2"/>
    <mergeCell ref="B2:F2"/>
    <mergeCell ref="I2:M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10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28.69</v>
      </c>
      <c r="C3">
        <v>2.84</v>
      </c>
      <c r="D3">
        <v>186.01</v>
      </c>
      <c r="E3">
        <v>90.55</v>
      </c>
    </row>
    <row r="4" spans="1:5" x14ac:dyDescent="0.3">
      <c r="A4">
        <v>250</v>
      </c>
      <c r="B4">
        <v>28.89</v>
      </c>
      <c r="C4">
        <v>1.4</v>
      </c>
      <c r="D4">
        <v>192.43</v>
      </c>
      <c r="E4">
        <v>77</v>
      </c>
    </row>
    <row r="5" spans="1:5" x14ac:dyDescent="0.3">
      <c r="A5">
        <v>298</v>
      </c>
      <c r="B5">
        <v>29.07</v>
      </c>
      <c r="C5">
        <v>0</v>
      </c>
      <c r="D5">
        <v>197.54</v>
      </c>
      <c r="E5">
        <v>68.349999999999994</v>
      </c>
    </row>
    <row r="6" spans="1:5" x14ac:dyDescent="0.3">
      <c r="A6">
        <v>300</v>
      </c>
      <c r="B6">
        <v>29.08</v>
      </c>
      <c r="C6">
        <v>0.05</v>
      </c>
      <c r="D6">
        <v>197.72</v>
      </c>
      <c r="E6">
        <v>68.08</v>
      </c>
    </row>
    <row r="7" spans="1:5" x14ac:dyDescent="0.3">
      <c r="A7">
        <v>350</v>
      </c>
      <c r="B7">
        <v>29.25</v>
      </c>
      <c r="C7">
        <v>1.51</v>
      </c>
      <c r="D7">
        <v>202.21</v>
      </c>
      <c r="E7">
        <v>61.79</v>
      </c>
    </row>
    <row r="8" spans="1:5" x14ac:dyDescent="0.3">
      <c r="A8">
        <v>400</v>
      </c>
      <c r="B8">
        <v>29.43</v>
      </c>
      <c r="C8">
        <v>2.98</v>
      </c>
      <c r="D8">
        <v>206.13</v>
      </c>
      <c r="E8">
        <v>57.14</v>
      </c>
    </row>
    <row r="9" spans="1:5" x14ac:dyDescent="0.3">
      <c r="A9">
        <v>450</v>
      </c>
      <c r="B9">
        <v>29.63</v>
      </c>
      <c r="C9">
        <v>4.46</v>
      </c>
      <c r="D9">
        <v>209.61</v>
      </c>
      <c r="E9">
        <v>53.57</v>
      </c>
    </row>
    <row r="10" spans="1:5" x14ac:dyDescent="0.3">
      <c r="A10">
        <v>500</v>
      </c>
      <c r="B10">
        <v>29.86</v>
      </c>
      <c r="C10">
        <v>5.94</v>
      </c>
      <c r="D10">
        <v>212.74</v>
      </c>
      <c r="E10">
        <v>50.75</v>
      </c>
    </row>
    <row r="11" spans="1:5" x14ac:dyDescent="0.3">
      <c r="A11">
        <v>550</v>
      </c>
      <c r="B11">
        <v>30.11</v>
      </c>
      <c r="C11">
        <v>7.44</v>
      </c>
      <c r="D11">
        <v>215.6</v>
      </c>
      <c r="E11">
        <v>48.48</v>
      </c>
    </row>
    <row r="12" spans="1:5" x14ac:dyDescent="0.3">
      <c r="A12">
        <v>600</v>
      </c>
      <c r="B12">
        <v>30.41</v>
      </c>
      <c r="C12">
        <v>8.9499999999999993</v>
      </c>
      <c r="D12">
        <v>218.23</v>
      </c>
      <c r="E12">
        <v>46.61</v>
      </c>
    </row>
    <row r="13" spans="1:5" x14ac:dyDescent="0.3">
      <c r="A13">
        <v>650</v>
      </c>
      <c r="B13">
        <v>30.73</v>
      </c>
      <c r="C13">
        <v>10.48</v>
      </c>
      <c r="D13">
        <v>220.68</v>
      </c>
      <c r="E13">
        <v>45.06</v>
      </c>
    </row>
    <row r="14" spans="1:5" x14ac:dyDescent="0.3">
      <c r="A14">
        <v>700</v>
      </c>
      <c r="B14">
        <v>31.09</v>
      </c>
      <c r="C14">
        <v>12.03</v>
      </c>
      <c r="D14">
        <v>222.97</v>
      </c>
      <c r="E14">
        <v>43.74</v>
      </c>
    </row>
    <row r="15" spans="1:5" x14ac:dyDescent="0.3">
      <c r="A15">
        <v>750</v>
      </c>
      <c r="B15">
        <v>31.47</v>
      </c>
      <c r="C15">
        <v>13.59</v>
      </c>
      <c r="D15">
        <v>225.13</v>
      </c>
      <c r="E15">
        <v>42.62</v>
      </c>
    </row>
    <row r="16" spans="1:5" x14ac:dyDescent="0.3">
      <c r="A16">
        <v>800</v>
      </c>
      <c r="B16">
        <v>31.86</v>
      </c>
      <c r="C16">
        <v>15.17</v>
      </c>
      <c r="D16">
        <v>227.17</v>
      </c>
      <c r="E16">
        <v>41.66</v>
      </c>
    </row>
    <row r="17" spans="1:5" x14ac:dyDescent="0.3">
      <c r="A17">
        <v>850</v>
      </c>
      <c r="B17">
        <v>32.25</v>
      </c>
      <c r="C17">
        <v>16.78</v>
      </c>
      <c r="D17">
        <v>229.11</v>
      </c>
      <c r="E17">
        <v>40.82</v>
      </c>
    </row>
    <row r="18" spans="1:5" x14ac:dyDescent="0.3">
      <c r="A18">
        <v>900</v>
      </c>
      <c r="B18">
        <v>32.630000000000003</v>
      </c>
      <c r="C18">
        <v>18.399999999999999</v>
      </c>
      <c r="D18">
        <v>230.97</v>
      </c>
      <c r="E18">
        <v>40.090000000000003</v>
      </c>
    </row>
    <row r="19" spans="1:5" x14ac:dyDescent="0.3">
      <c r="A19">
        <v>950</v>
      </c>
      <c r="B19">
        <v>32.97</v>
      </c>
      <c r="C19">
        <v>20.04</v>
      </c>
      <c r="D19">
        <v>232.74</v>
      </c>
      <c r="E19">
        <v>39.450000000000003</v>
      </c>
    </row>
    <row r="20" spans="1:5" x14ac:dyDescent="0.3">
      <c r="A20" s="1">
        <v>1000</v>
      </c>
      <c r="B20">
        <v>33.25</v>
      </c>
      <c r="C20">
        <v>21.7</v>
      </c>
      <c r="D20">
        <v>234.44</v>
      </c>
      <c r="E20">
        <v>38.880000000000003</v>
      </c>
    </row>
    <row r="21" spans="1:5" x14ac:dyDescent="0.3">
      <c r="A21" s="1">
        <v>1050</v>
      </c>
      <c r="B21">
        <v>33.49</v>
      </c>
      <c r="C21">
        <v>23.36</v>
      </c>
      <c r="D21">
        <v>236.07</v>
      </c>
      <c r="E21">
        <v>38.380000000000003</v>
      </c>
    </row>
    <row r="22" spans="1:5" x14ac:dyDescent="0.3">
      <c r="A22" s="1">
        <v>1100</v>
      </c>
      <c r="B22">
        <v>33.72</v>
      </c>
      <c r="C22">
        <v>25.04</v>
      </c>
      <c r="D22">
        <v>237.63</v>
      </c>
      <c r="E22">
        <v>37.93</v>
      </c>
    </row>
    <row r="23" spans="1:5" x14ac:dyDescent="0.3">
      <c r="A23" s="1">
        <v>1150</v>
      </c>
      <c r="B23">
        <v>33.94</v>
      </c>
      <c r="C23">
        <v>26.74</v>
      </c>
      <c r="D23">
        <v>239.13</v>
      </c>
      <c r="E23">
        <v>37.53</v>
      </c>
    </row>
    <row r="24" spans="1:5" x14ac:dyDescent="0.3">
      <c r="A24" s="1">
        <v>1200</v>
      </c>
      <c r="B24">
        <v>34.15</v>
      </c>
      <c r="C24">
        <v>28.44</v>
      </c>
      <c r="D24">
        <v>240.58</v>
      </c>
      <c r="E24">
        <v>37.17</v>
      </c>
    </row>
    <row r="25" spans="1:5" x14ac:dyDescent="0.3">
      <c r="A25" s="1">
        <v>1250</v>
      </c>
      <c r="B25">
        <v>34.340000000000003</v>
      </c>
      <c r="C25">
        <v>30.15</v>
      </c>
      <c r="D25">
        <v>241.98</v>
      </c>
      <c r="E25">
        <v>36.840000000000003</v>
      </c>
    </row>
    <row r="26" spans="1:5" x14ac:dyDescent="0.3">
      <c r="A26" s="1">
        <v>1300</v>
      </c>
      <c r="B26">
        <v>34.53</v>
      </c>
      <c r="C26">
        <v>31.87</v>
      </c>
      <c r="D26">
        <v>243.33</v>
      </c>
      <c r="E26">
        <v>36.549999999999997</v>
      </c>
    </row>
    <row r="27" spans="1:5" x14ac:dyDescent="0.3">
      <c r="A27" s="1">
        <v>1350</v>
      </c>
      <c r="B27">
        <v>34.700000000000003</v>
      </c>
      <c r="C27">
        <v>33.6</v>
      </c>
      <c r="D27">
        <v>244.64</v>
      </c>
      <c r="E27">
        <v>36.28</v>
      </c>
    </row>
    <row r="28" spans="1:5" x14ac:dyDescent="0.3">
      <c r="A28" s="1">
        <v>1400</v>
      </c>
      <c r="B28">
        <v>34.869999999999997</v>
      </c>
      <c r="C28">
        <v>35.340000000000003</v>
      </c>
      <c r="D28">
        <v>245.9</v>
      </c>
      <c r="E28">
        <v>36.04</v>
      </c>
    </row>
    <row r="29" spans="1:5" x14ac:dyDescent="0.3">
      <c r="A29" s="1">
        <v>1450</v>
      </c>
      <c r="B29">
        <v>35.03</v>
      </c>
      <c r="C29">
        <v>37.090000000000003</v>
      </c>
      <c r="D29">
        <v>247.13</v>
      </c>
      <c r="E29">
        <v>35.82</v>
      </c>
    </row>
    <row r="30" spans="1:5" x14ac:dyDescent="0.3">
      <c r="A30" s="1">
        <v>1500</v>
      </c>
      <c r="B30">
        <v>35.18</v>
      </c>
      <c r="C30">
        <v>38.85</v>
      </c>
      <c r="D30">
        <v>248.32</v>
      </c>
      <c r="E30">
        <v>35.619999999999997</v>
      </c>
    </row>
    <row r="31" spans="1:5" x14ac:dyDescent="0.3">
      <c r="A31" s="1">
        <v>1550</v>
      </c>
      <c r="B31">
        <v>35.32</v>
      </c>
      <c r="C31">
        <v>40.61</v>
      </c>
      <c r="D31">
        <v>249.48</v>
      </c>
      <c r="E31">
        <v>35.43</v>
      </c>
    </row>
    <row r="32" spans="1:5" x14ac:dyDescent="0.3">
      <c r="A32" s="1">
        <v>1600</v>
      </c>
      <c r="B32">
        <v>35.450000000000003</v>
      </c>
      <c r="C32">
        <v>42.38</v>
      </c>
      <c r="D32">
        <v>250.6</v>
      </c>
      <c r="E32">
        <v>35.270000000000003</v>
      </c>
    </row>
    <row r="33" spans="1:5" x14ac:dyDescent="0.3">
      <c r="A33" s="1">
        <v>1650</v>
      </c>
      <c r="B33">
        <v>35.57</v>
      </c>
      <c r="C33">
        <v>44.15</v>
      </c>
      <c r="D33">
        <v>251.69</v>
      </c>
      <c r="E33">
        <v>35.11</v>
      </c>
    </row>
    <row r="34" spans="1:5" x14ac:dyDescent="0.3">
      <c r="A34" s="1">
        <v>1700</v>
      </c>
      <c r="B34">
        <v>35.69</v>
      </c>
      <c r="C34">
        <v>45.93</v>
      </c>
      <c r="D34">
        <v>252.76</v>
      </c>
      <c r="E34">
        <v>34.97</v>
      </c>
    </row>
    <row r="35" spans="1:5" x14ac:dyDescent="0.3">
      <c r="A35" s="1">
        <v>1750</v>
      </c>
      <c r="B35">
        <v>35.799999999999997</v>
      </c>
      <c r="C35">
        <v>47.72</v>
      </c>
      <c r="D35">
        <v>253.79</v>
      </c>
      <c r="E35">
        <v>34.840000000000003</v>
      </c>
    </row>
    <row r="36" spans="1:5" x14ac:dyDescent="0.3">
      <c r="A36" s="1">
        <v>1800</v>
      </c>
      <c r="B36">
        <v>35.909999999999997</v>
      </c>
      <c r="C36">
        <v>49.51</v>
      </c>
      <c r="D36">
        <v>254.8</v>
      </c>
      <c r="E36">
        <v>34.72</v>
      </c>
    </row>
    <row r="37" spans="1:5" x14ac:dyDescent="0.3">
      <c r="A37" s="1">
        <v>1850</v>
      </c>
      <c r="B37">
        <v>36.01</v>
      </c>
      <c r="C37">
        <v>51.31</v>
      </c>
      <c r="D37">
        <v>255.79</v>
      </c>
      <c r="E37">
        <v>34.619999999999997</v>
      </c>
    </row>
    <row r="38" spans="1:5" x14ac:dyDescent="0.3">
      <c r="A38" s="1">
        <v>1900</v>
      </c>
      <c r="B38">
        <v>36.1</v>
      </c>
      <c r="C38">
        <v>53.12</v>
      </c>
      <c r="D38">
        <v>256.75</v>
      </c>
      <c r="E38">
        <v>34.520000000000003</v>
      </c>
    </row>
    <row r="39" spans="1:5" x14ac:dyDescent="0.3">
      <c r="A39" s="1">
        <v>1950</v>
      </c>
      <c r="B39">
        <v>36.19</v>
      </c>
      <c r="C39">
        <v>54.92</v>
      </c>
      <c r="D39">
        <v>257.69</v>
      </c>
      <c r="E39">
        <v>34.42</v>
      </c>
    </row>
    <row r="40" spans="1:5" x14ac:dyDescent="0.3">
      <c r="A40" s="1">
        <v>2000</v>
      </c>
      <c r="B40">
        <v>36.270000000000003</v>
      </c>
      <c r="C40">
        <v>56.73</v>
      </c>
      <c r="D40">
        <v>258.60000000000002</v>
      </c>
      <c r="E40">
        <v>34.340000000000003</v>
      </c>
    </row>
    <row r="41" spans="1:5" x14ac:dyDescent="0.3">
      <c r="A41" s="1">
        <v>2050</v>
      </c>
      <c r="B41">
        <v>36.35</v>
      </c>
      <c r="C41">
        <v>58.55</v>
      </c>
      <c r="D41">
        <v>259.5</v>
      </c>
      <c r="E41">
        <v>34.26</v>
      </c>
    </row>
    <row r="42" spans="1:5" x14ac:dyDescent="0.3">
      <c r="A42" s="1">
        <v>2100</v>
      </c>
      <c r="B42">
        <v>36.42</v>
      </c>
      <c r="C42">
        <v>60.37</v>
      </c>
      <c r="D42">
        <v>260.38</v>
      </c>
      <c r="E42">
        <v>34.19</v>
      </c>
    </row>
    <row r="43" spans="1:5" x14ac:dyDescent="0.3">
      <c r="A43" s="1">
        <v>2150</v>
      </c>
      <c r="B43">
        <v>36.49</v>
      </c>
      <c r="C43">
        <v>62.19</v>
      </c>
      <c r="D43">
        <v>261.24</v>
      </c>
      <c r="E43">
        <v>34.130000000000003</v>
      </c>
    </row>
    <row r="44" spans="1:5" x14ac:dyDescent="0.3">
      <c r="A44" s="1">
        <v>2200</v>
      </c>
      <c r="B44">
        <v>36.549999999999997</v>
      </c>
      <c r="C44">
        <v>64.02</v>
      </c>
      <c r="D44">
        <v>262.08</v>
      </c>
      <c r="E44">
        <v>34.07</v>
      </c>
    </row>
    <row r="45" spans="1:5" x14ac:dyDescent="0.3">
      <c r="A45" s="1">
        <v>2250</v>
      </c>
      <c r="B45">
        <v>36.61</v>
      </c>
      <c r="C45">
        <v>65.849999999999994</v>
      </c>
      <c r="D45">
        <v>262.89999999999998</v>
      </c>
      <c r="E45">
        <v>34.01</v>
      </c>
    </row>
    <row r="46" spans="1:5" x14ac:dyDescent="0.3">
      <c r="A46" s="1">
        <v>2300</v>
      </c>
      <c r="B46">
        <v>36.67</v>
      </c>
      <c r="C46">
        <v>67.680000000000007</v>
      </c>
      <c r="D46">
        <v>263.7</v>
      </c>
      <c r="E46">
        <v>33.96</v>
      </c>
    </row>
    <row r="47" spans="1:5" x14ac:dyDescent="0.3">
      <c r="A47" s="1">
        <v>2350</v>
      </c>
      <c r="B47">
        <v>36.72</v>
      </c>
      <c r="C47">
        <v>69.510000000000005</v>
      </c>
      <c r="D47">
        <v>264.49</v>
      </c>
      <c r="E47">
        <v>33.909999999999997</v>
      </c>
    </row>
    <row r="48" spans="1:5" x14ac:dyDescent="0.3">
      <c r="A48" s="1">
        <v>2400</v>
      </c>
      <c r="B48">
        <v>36.770000000000003</v>
      </c>
      <c r="C48">
        <v>71.349999999999994</v>
      </c>
      <c r="D48">
        <v>265.27</v>
      </c>
      <c r="E48">
        <v>33.869999999999997</v>
      </c>
    </row>
    <row r="49" spans="1:5" x14ac:dyDescent="0.3">
      <c r="A49" s="1">
        <v>2450</v>
      </c>
      <c r="B49">
        <v>36.82</v>
      </c>
      <c r="C49">
        <v>73.19</v>
      </c>
      <c r="D49">
        <v>266.02</v>
      </c>
      <c r="E49">
        <v>33.83</v>
      </c>
    </row>
    <row r="50" spans="1:5" x14ac:dyDescent="0.3">
      <c r="A50" s="1">
        <v>2500</v>
      </c>
      <c r="B50">
        <v>36.869999999999997</v>
      </c>
      <c r="C50">
        <v>75.03</v>
      </c>
      <c r="D50">
        <v>266.77</v>
      </c>
      <c r="E50">
        <v>33.79</v>
      </c>
    </row>
    <row r="51" spans="1:5" x14ac:dyDescent="0.3">
      <c r="A51" s="1">
        <v>2550</v>
      </c>
      <c r="B51">
        <v>36.909999999999997</v>
      </c>
      <c r="C51">
        <v>76.88</v>
      </c>
      <c r="D51">
        <v>267.5</v>
      </c>
      <c r="E51">
        <v>33.76</v>
      </c>
    </row>
    <row r="52" spans="1:5" x14ac:dyDescent="0.3">
      <c r="A52" s="1">
        <v>2600</v>
      </c>
      <c r="B52">
        <v>36.950000000000003</v>
      </c>
      <c r="C52">
        <v>78.72</v>
      </c>
      <c r="D52">
        <v>268.22000000000003</v>
      </c>
      <c r="E52">
        <v>33.729999999999997</v>
      </c>
    </row>
    <row r="53" spans="1:5" x14ac:dyDescent="0.3">
      <c r="A53" s="1">
        <v>2650</v>
      </c>
      <c r="B53">
        <v>36.99</v>
      </c>
      <c r="C53">
        <v>80.569999999999993</v>
      </c>
      <c r="D53">
        <v>268.92</v>
      </c>
      <c r="E53">
        <v>33.71</v>
      </c>
    </row>
    <row r="54" spans="1:5" x14ac:dyDescent="0.3">
      <c r="A54" s="1">
        <v>2700</v>
      </c>
      <c r="B54">
        <v>37.020000000000003</v>
      </c>
      <c r="C54">
        <v>82.42</v>
      </c>
      <c r="D54">
        <v>269.61</v>
      </c>
      <c r="E54">
        <v>33.68</v>
      </c>
    </row>
    <row r="55" spans="1:5" x14ac:dyDescent="0.3">
      <c r="A55" s="1">
        <v>2750</v>
      </c>
      <c r="B55">
        <v>37.06</v>
      </c>
      <c r="C55">
        <v>84.27</v>
      </c>
      <c r="D55">
        <v>270.29000000000002</v>
      </c>
      <c r="E55">
        <v>33.659999999999997</v>
      </c>
    </row>
    <row r="56" spans="1:5" x14ac:dyDescent="0.3">
      <c r="A56" s="1">
        <v>2800</v>
      </c>
      <c r="B56">
        <v>37.090000000000003</v>
      </c>
      <c r="C56">
        <v>86.13</v>
      </c>
      <c r="D56">
        <v>270.95999999999998</v>
      </c>
      <c r="E56">
        <v>33.64</v>
      </c>
    </row>
    <row r="57" spans="1:5" x14ac:dyDescent="0.3">
      <c r="A57" s="1">
        <v>2850</v>
      </c>
      <c r="B57">
        <v>37.119999999999997</v>
      </c>
      <c r="C57">
        <v>87.98</v>
      </c>
      <c r="D57">
        <v>271.62</v>
      </c>
      <c r="E57">
        <v>33.619999999999997</v>
      </c>
    </row>
    <row r="58" spans="1:5" x14ac:dyDescent="0.3">
      <c r="A58" s="1">
        <v>2900</v>
      </c>
      <c r="B58">
        <v>37.15</v>
      </c>
      <c r="C58">
        <v>89.84</v>
      </c>
      <c r="D58">
        <v>272.26</v>
      </c>
      <c r="E58">
        <v>33.61</v>
      </c>
    </row>
    <row r="59" spans="1:5" x14ac:dyDescent="0.3">
      <c r="A59" s="1">
        <v>2950</v>
      </c>
      <c r="B59">
        <v>37.18</v>
      </c>
      <c r="C59">
        <v>91.7</v>
      </c>
      <c r="D59">
        <v>272.89999999999998</v>
      </c>
      <c r="E59">
        <v>33.590000000000003</v>
      </c>
    </row>
    <row r="60" spans="1:5" x14ac:dyDescent="0.3">
      <c r="A60" s="1">
        <v>3000</v>
      </c>
      <c r="B60">
        <v>37.21</v>
      </c>
      <c r="C60">
        <v>93.56</v>
      </c>
      <c r="D60">
        <v>273.52</v>
      </c>
      <c r="E60">
        <v>33.58</v>
      </c>
    </row>
    <row r="61" spans="1:5" x14ac:dyDescent="0.3">
      <c r="A61" s="1">
        <v>3050</v>
      </c>
      <c r="B61">
        <v>37.24</v>
      </c>
      <c r="C61">
        <v>95.42</v>
      </c>
      <c r="D61">
        <v>274.14</v>
      </c>
      <c r="E61">
        <v>33.57</v>
      </c>
    </row>
    <row r="62" spans="1:5" x14ac:dyDescent="0.3">
      <c r="A62" s="1">
        <v>3100</v>
      </c>
      <c r="B62">
        <v>37.270000000000003</v>
      </c>
      <c r="C62">
        <v>97.28</v>
      </c>
      <c r="D62">
        <v>274.74</v>
      </c>
      <c r="E62">
        <v>33.56</v>
      </c>
    </row>
    <row r="63" spans="1:5" x14ac:dyDescent="0.3">
      <c r="A63" s="1">
        <v>3150</v>
      </c>
      <c r="B63">
        <v>37.29</v>
      </c>
      <c r="C63">
        <v>99.15</v>
      </c>
      <c r="D63">
        <v>275.33999999999997</v>
      </c>
      <c r="E63">
        <v>33.549999999999997</v>
      </c>
    </row>
    <row r="64" spans="1:5" x14ac:dyDescent="0.3">
      <c r="A64" s="1">
        <v>3200</v>
      </c>
      <c r="B64">
        <v>37.32</v>
      </c>
      <c r="C64">
        <v>101.01</v>
      </c>
      <c r="D64">
        <v>275.93</v>
      </c>
      <c r="E64">
        <v>33.549999999999997</v>
      </c>
    </row>
    <row r="65" spans="1:5" x14ac:dyDescent="0.3">
      <c r="A65" s="1">
        <v>3250</v>
      </c>
      <c r="B65">
        <v>37.35</v>
      </c>
      <c r="C65">
        <v>102.88</v>
      </c>
      <c r="D65">
        <v>276.51</v>
      </c>
      <c r="E65">
        <v>33.54</v>
      </c>
    </row>
    <row r="66" spans="1:5" x14ac:dyDescent="0.3">
      <c r="A66" s="1">
        <v>3300</v>
      </c>
      <c r="B66">
        <v>37.369999999999997</v>
      </c>
      <c r="C66">
        <v>104.75</v>
      </c>
      <c r="D66">
        <v>277.08</v>
      </c>
      <c r="E66">
        <v>33.54</v>
      </c>
    </row>
    <row r="67" spans="1:5" x14ac:dyDescent="0.3">
      <c r="A67" s="1">
        <v>3350</v>
      </c>
      <c r="B67">
        <v>37.4</v>
      </c>
      <c r="C67">
        <v>106.61</v>
      </c>
      <c r="D67">
        <v>277.64</v>
      </c>
      <c r="E67">
        <v>33.53</v>
      </c>
    </row>
    <row r="68" spans="1:5" x14ac:dyDescent="0.3">
      <c r="A68" s="1">
        <v>3400</v>
      </c>
      <c r="B68">
        <v>37.42</v>
      </c>
      <c r="C68">
        <v>108.49</v>
      </c>
      <c r="D68">
        <v>278.19</v>
      </c>
      <c r="E68">
        <v>33.53</v>
      </c>
    </row>
    <row r="69" spans="1:5" x14ac:dyDescent="0.3">
      <c r="A69" s="1">
        <v>3450</v>
      </c>
      <c r="B69">
        <v>37.450000000000003</v>
      </c>
      <c r="C69">
        <v>110.36</v>
      </c>
      <c r="D69">
        <v>278.74</v>
      </c>
      <c r="E69">
        <v>33.53</v>
      </c>
    </row>
    <row r="70" spans="1:5" x14ac:dyDescent="0.3">
      <c r="A70" s="1">
        <v>3500</v>
      </c>
      <c r="B70">
        <v>37.47</v>
      </c>
      <c r="C70">
        <v>112.23</v>
      </c>
      <c r="D70">
        <v>279.27999999999997</v>
      </c>
      <c r="E70">
        <v>33.53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0"/>
  <sheetViews>
    <sheetView topLeftCell="A34" workbookViewId="0">
      <selection activeCell="H27" sqref="H27"/>
    </sheetView>
  </sheetViews>
  <sheetFormatPr defaultRowHeight="14.4" x14ac:dyDescent="0.3"/>
  <sheetData>
    <row r="1" spans="1:5" x14ac:dyDescent="0.3">
      <c r="A1" t="s">
        <v>11</v>
      </c>
      <c r="B1" t="s">
        <v>12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20.84</v>
      </c>
      <c r="C3">
        <v>2.0499999999999998</v>
      </c>
      <c r="D3">
        <v>149.68</v>
      </c>
      <c r="E3">
        <v>411.79</v>
      </c>
    </row>
    <row r="4" spans="1:5" x14ac:dyDescent="0.3">
      <c r="A4">
        <v>250</v>
      </c>
      <c r="B4">
        <v>20.84</v>
      </c>
      <c r="C4">
        <v>1</v>
      </c>
      <c r="D4">
        <v>154.33000000000001</v>
      </c>
      <c r="E4">
        <v>325.77999999999997</v>
      </c>
    </row>
    <row r="5" spans="1:5" x14ac:dyDescent="0.3">
      <c r="A5">
        <v>298</v>
      </c>
      <c r="B5">
        <v>20.83</v>
      </c>
      <c r="C5">
        <v>0</v>
      </c>
      <c r="D5">
        <v>158</v>
      </c>
      <c r="E5">
        <v>270.13</v>
      </c>
    </row>
    <row r="6" spans="1:5" x14ac:dyDescent="0.3">
      <c r="A6">
        <v>300</v>
      </c>
      <c r="B6">
        <v>20.83</v>
      </c>
      <c r="C6">
        <v>0.04</v>
      </c>
      <c r="D6">
        <v>158.13</v>
      </c>
      <c r="E6">
        <v>268.35000000000002</v>
      </c>
    </row>
    <row r="7" spans="1:5" x14ac:dyDescent="0.3">
      <c r="A7">
        <v>350</v>
      </c>
      <c r="B7">
        <v>20.83</v>
      </c>
      <c r="C7">
        <v>1.08</v>
      </c>
      <c r="D7">
        <v>161.34</v>
      </c>
      <c r="E7">
        <v>227.27</v>
      </c>
    </row>
    <row r="8" spans="1:5" x14ac:dyDescent="0.3">
      <c r="A8">
        <v>400</v>
      </c>
      <c r="B8">
        <v>20.82</v>
      </c>
      <c r="C8">
        <v>2.12</v>
      </c>
      <c r="D8">
        <v>164.12</v>
      </c>
      <c r="E8">
        <v>196.41</v>
      </c>
    </row>
    <row r="9" spans="1:5" x14ac:dyDescent="0.3">
      <c r="A9">
        <v>450</v>
      </c>
      <c r="B9">
        <v>20.81</v>
      </c>
      <c r="C9">
        <v>3.16</v>
      </c>
      <c r="D9">
        <v>166.57</v>
      </c>
      <c r="E9">
        <v>172.38</v>
      </c>
    </row>
    <row r="10" spans="1:5" x14ac:dyDescent="0.3">
      <c r="A10">
        <v>500</v>
      </c>
      <c r="B10">
        <v>20.81</v>
      </c>
      <c r="C10">
        <v>4.2</v>
      </c>
      <c r="D10">
        <v>168.76</v>
      </c>
      <c r="E10">
        <v>153.12</v>
      </c>
    </row>
    <row r="11" spans="1:5" x14ac:dyDescent="0.3">
      <c r="A11">
        <v>550</v>
      </c>
      <c r="B11">
        <v>20.8</v>
      </c>
      <c r="C11">
        <v>5.24</v>
      </c>
      <c r="D11">
        <v>170.75</v>
      </c>
      <c r="E11">
        <v>137.35</v>
      </c>
    </row>
    <row r="12" spans="1:5" x14ac:dyDescent="0.3">
      <c r="A12">
        <v>600</v>
      </c>
      <c r="B12">
        <v>20.8</v>
      </c>
      <c r="C12">
        <v>6.28</v>
      </c>
      <c r="D12">
        <v>172.56</v>
      </c>
      <c r="E12">
        <v>124.18</v>
      </c>
    </row>
    <row r="13" spans="1:5" x14ac:dyDescent="0.3">
      <c r="A13">
        <v>650</v>
      </c>
      <c r="B13">
        <v>20.79</v>
      </c>
      <c r="C13">
        <v>7.32</v>
      </c>
      <c r="D13">
        <v>174.22</v>
      </c>
      <c r="E13">
        <v>113.02</v>
      </c>
    </row>
    <row r="14" spans="1:5" x14ac:dyDescent="0.3">
      <c r="A14">
        <v>700</v>
      </c>
      <c r="B14">
        <v>20.79</v>
      </c>
      <c r="C14">
        <v>8.36</v>
      </c>
      <c r="D14">
        <v>175.76</v>
      </c>
      <c r="E14">
        <v>103.45</v>
      </c>
    </row>
    <row r="15" spans="1:5" x14ac:dyDescent="0.3">
      <c r="A15">
        <v>750</v>
      </c>
      <c r="B15">
        <v>20.79</v>
      </c>
      <c r="C15">
        <v>9.4</v>
      </c>
      <c r="D15">
        <v>177.2</v>
      </c>
      <c r="E15">
        <v>95.14</v>
      </c>
    </row>
    <row r="16" spans="1:5" x14ac:dyDescent="0.3">
      <c r="A16">
        <v>800</v>
      </c>
      <c r="B16">
        <v>20.79</v>
      </c>
      <c r="C16">
        <v>10.44</v>
      </c>
      <c r="D16">
        <v>178.54</v>
      </c>
      <c r="E16">
        <v>87.85</v>
      </c>
    </row>
    <row r="17" spans="1:5" x14ac:dyDescent="0.3">
      <c r="A17">
        <v>850</v>
      </c>
      <c r="B17">
        <v>20.8</v>
      </c>
      <c r="C17">
        <v>11.48</v>
      </c>
      <c r="D17">
        <v>179.8</v>
      </c>
      <c r="E17">
        <v>81.42</v>
      </c>
    </row>
    <row r="18" spans="1:5" x14ac:dyDescent="0.3">
      <c r="A18">
        <v>900</v>
      </c>
      <c r="B18">
        <v>20.8</v>
      </c>
      <c r="C18">
        <v>12.52</v>
      </c>
      <c r="D18">
        <v>180.99</v>
      </c>
      <c r="E18">
        <v>75.69</v>
      </c>
    </row>
    <row r="19" spans="1:5" x14ac:dyDescent="0.3">
      <c r="A19">
        <v>950</v>
      </c>
      <c r="B19">
        <v>20.81</v>
      </c>
      <c r="C19">
        <v>13.56</v>
      </c>
      <c r="D19">
        <v>182.11</v>
      </c>
      <c r="E19">
        <v>70.56</v>
      </c>
    </row>
    <row r="20" spans="1:5" x14ac:dyDescent="0.3">
      <c r="A20" s="1">
        <v>1000</v>
      </c>
      <c r="B20">
        <v>20.81</v>
      </c>
      <c r="C20">
        <v>14.6</v>
      </c>
      <c r="D20">
        <v>183.18</v>
      </c>
      <c r="E20">
        <v>65.930000000000007</v>
      </c>
    </row>
    <row r="21" spans="1:5" x14ac:dyDescent="0.3">
      <c r="A21" s="1">
        <v>1050</v>
      </c>
      <c r="B21">
        <v>20.8</v>
      </c>
      <c r="C21">
        <v>15.64</v>
      </c>
      <c r="D21">
        <v>184.2</v>
      </c>
      <c r="E21">
        <v>61.74</v>
      </c>
    </row>
    <row r="22" spans="1:5" x14ac:dyDescent="0.3">
      <c r="A22" s="1">
        <v>1100</v>
      </c>
      <c r="B22">
        <v>20.79</v>
      </c>
      <c r="C22">
        <v>16.68</v>
      </c>
      <c r="D22">
        <v>185.16</v>
      </c>
      <c r="E22">
        <v>57.92</v>
      </c>
    </row>
    <row r="23" spans="1:5" x14ac:dyDescent="0.3">
      <c r="A23" s="1">
        <v>1150</v>
      </c>
      <c r="B23">
        <v>20.78</v>
      </c>
      <c r="C23">
        <v>17.72</v>
      </c>
      <c r="D23">
        <v>186.09</v>
      </c>
      <c r="E23">
        <v>54.43</v>
      </c>
    </row>
    <row r="24" spans="1:5" x14ac:dyDescent="0.3">
      <c r="A24" s="1">
        <v>1200</v>
      </c>
      <c r="B24">
        <v>20.78</v>
      </c>
      <c r="C24">
        <v>18.760000000000002</v>
      </c>
      <c r="D24">
        <v>186.97</v>
      </c>
      <c r="E24">
        <v>51.23</v>
      </c>
    </row>
    <row r="25" spans="1:5" x14ac:dyDescent="0.3">
      <c r="A25" s="1">
        <v>1250</v>
      </c>
      <c r="B25">
        <v>20.78</v>
      </c>
      <c r="C25">
        <v>19.8</v>
      </c>
      <c r="D25">
        <v>187.82</v>
      </c>
      <c r="E25">
        <v>48.28</v>
      </c>
    </row>
    <row r="26" spans="1:5" x14ac:dyDescent="0.3">
      <c r="A26" s="1">
        <v>1300</v>
      </c>
      <c r="B26">
        <v>20.78</v>
      </c>
      <c r="C26">
        <v>20.84</v>
      </c>
      <c r="D26">
        <v>188.63</v>
      </c>
      <c r="E26">
        <v>45.55</v>
      </c>
    </row>
    <row r="27" spans="1:5" x14ac:dyDescent="0.3">
      <c r="A27" s="1">
        <v>1350</v>
      </c>
      <c r="B27">
        <v>20.78</v>
      </c>
      <c r="C27">
        <v>21.88</v>
      </c>
      <c r="D27">
        <v>189.42</v>
      </c>
      <c r="E27">
        <v>43.02</v>
      </c>
    </row>
    <row r="28" spans="1:5" x14ac:dyDescent="0.3">
      <c r="A28" s="1">
        <v>1400</v>
      </c>
      <c r="B28">
        <v>20.78</v>
      </c>
      <c r="C28">
        <v>22.92</v>
      </c>
      <c r="D28">
        <v>190.17</v>
      </c>
      <c r="E28">
        <v>40.67</v>
      </c>
    </row>
    <row r="29" spans="1:5" x14ac:dyDescent="0.3">
      <c r="A29" s="1">
        <v>1450</v>
      </c>
      <c r="B29">
        <v>20.79</v>
      </c>
      <c r="C29">
        <v>23.95</v>
      </c>
      <c r="D29">
        <v>190.9</v>
      </c>
      <c r="E29">
        <v>38.479999999999997</v>
      </c>
    </row>
    <row r="30" spans="1:5" x14ac:dyDescent="0.3">
      <c r="A30" s="1">
        <v>1500</v>
      </c>
      <c r="B30">
        <v>20.8</v>
      </c>
      <c r="C30">
        <v>24.99</v>
      </c>
      <c r="D30">
        <v>191.61</v>
      </c>
      <c r="E30">
        <v>36.43</v>
      </c>
    </row>
    <row r="31" spans="1:5" x14ac:dyDescent="0.3">
      <c r="A31" s="1">
        <v>1550</v>
      </c>
      <c r="B31">
        <v>20.81</v>
      </c>
      <c r="C31">
        <v>26.03</v>
      </c>
      <c r="D31">
        <v>192.29</v>
      </c>
      <c r="E31">
        <v>34.51</v>
      </c>
    </row>
    <row r="32" spans="1:5" x14ac:dyDescent="0.3">
      <c r="A32" s="1">
        <v>1600</v>
      </c>
      <c r="B32">
        <v>20.82</v>
      </c>
      <c r="C32">
        <v>27.08</v>
      </c>
      <c r="D32">
        <v>192.95</v>
      </c>
      <c r="E32">
        <v>32.71</v>
      </c>
    </row>
    <row r="33" spans="1:5" x14ac:dyDescent="0.3">
      <c r="A33" s="1">
        <v>1650</v>
      </c>
      <c r="B33">
        <v>20.83</v>
      </c>
      <c r="C33">
        <v>28.12</v>
      </c>
      <c r="D33">
        <v>193.59</v>
      </c>
      <c r="E33">
        <v>31.01</v>
      </c>
    </row>
    <row r="34" spans="1:5" x14ac:dyDescent="0.3">
      <c r="A34" s="1">
        <v>1700</v>
      </c>
      <c r="B34">
        <v>20.84</v>
      </c>
      <c r="C34">
        <v>29.16</v>
      </c>
      <c r="D34">
        <v>194.21</v>
      </c>
      <c r="E34">
        <v>29.41</v>
      </c>
    </row>
    <row r="35" spans="1:5" x14ac:dyDescent="0.3">
      <c r="A35" s="1">
        <v>1750</v>
      </c>
      <c r="B35">
        <v>20.86</v>
      </c>
      <c r="C35">
        <v>30.2</v>
      </c>
      <c r="D35">
        <v>194.82</v>
      </c>
      <c r="E35">
        <v>27.9</v>
      </c>
    </row>
    <row r="36" spans="1:5" x14ac:dyDescent="0.3">
      <c r="A36" s="1">
        <v>1800</v>
      </c>
      <c r="B36">
        <v>20.88</v>
      </c>
      <c r="C36">
        <v>31.24</v>
      </c>
      <c r="D36">
        <v>195.41</v>
      </c>
      <c r="E36">
        <v>26.48</v>
      </c>
    </row>
    <row r="37" spans="1:5" x14ac:dyDescent="0.3">
      <c r="A37" s="1">
        <v>1850</v>
      </c>
      <c r="B37">
        <v>20.9</v>
      </c>
      <c r="C37">
        <v>32.29</v>
      </c>
      <c r="D37">
        <v>195.98</v>
      </c>
      <c r="E37">
        <v>25.12</v>
      </c>
    </row>
    <row r="38" spans="1:5" x14ac:dyDescent="0.3">
      <c r="A38" s="1">
        <v>1900</v>
      </c>
      <c r="B38">
        <v>20.92</v>
      </c>
      <c r="C38">
        <v>33.33</v>
      </c>
      <c r="D38">
        <v>196.54</v>
      </c>
      <c r="E38">
        <v>23.84</v>
      </c>
    </row>
    <row r="39" spans="1:5" x14ac:dyDescent="0.3">
      <c r="A39" s="1">
        <v>1950</v>
      </c>
      <c r="B39">
        <v>20.94</v>
      </c>
      <c r="C39">
        <v>34.380000000000003</v>
      </c>
      <c r="D39">
        <v>197.08</v>
      </c>
      <c r="E39">
        <v>22.62</v>
      </c>
    </row>
    <row r="40" spans="1:5" x14ac:dyDescent="0.3">
      <c r="A40" s="1">
        <v>2000</v>
      </c>
      <c r="B40">
        <v>20.96</v>
      </c>
      <c r="C40">
        <v>35.43</v>
      </c>
      <c r="D40">
        <v>197.61</v>
      </c>
      <c r="E40">
        <v>21.46</v>
      </c>
    </row>
    <row r="41" spans="1:5" x14ac:dyDescent="0.3">
      <c r="A41" s="1">
        <v>2050</v>
      </c>
      <c r="B41">
        <v>20.99</v>
      </c>
      <c r="C41">
        <v>36.479999999999997</v>
      </c>
      <c r="D41">
        <v>198.13</v>
      </c>
      <c r="E41">
        <v>20.36</v>
      </c>
    </row>
    <row r="42" spans="1:5" x14ac:dyDescent="0.3">
      <c r="A42" s="1">
        <v>2100</v>
      </c>
      <c r="B42">
        <v>21.01</v>
      </c>
      <c r="C42">
        <v>37.53</v>
      </c>
      <c r="D42">
        <v>198.63</v>
      </c>
      <c r="E42">
        <v>19.309999999999999</v>
      </c>
    </row>
    <row r="43" spans="1:5" x14ac:dyDescent="0.3">
      <c r="A43" s="1">
        <v>2150</v>
      </c>
      <c r="B43">
        <v>21.04</v>
      </c>
      <c r="C43">
        <v>38.58</v>
      </c>
      <c r="D43">
        <v>199.13</v>
      </c>
      <c r="E43">
        <v>18.3</v>
      </c>
    </row>
    <row r="44" spans="1:5" x14ac:dyDescent="0.3">
      <c r="A44" s="1">
        <v>2200</v>
      </c>
      <c r="B44">
        <v>21.07</v>
      </c>
      <c r="C44">
        <v>39.630000000000003</v>
      </c>
      <c r="D44">
        <v>199.61</v>
      </c>
      <c r="E44">
        <v>17.34</v>
      </c>
    </row>
    <row r="45" spans="1:5" x14ac:dyDescent="0.3">
      <c r="A45" s="1">
        <v>2250</v>
      </c>
      <c r="B45">
        <v>21.1</v>
      </c>
      <c r="C45">
        <v>40.68</v>
      </c>
      <c r="D45">
        <v>200.09</v>
      </c>
      <c r="E45">
        <v>16.420000000000002</v>
      </c>
    </row>
    <row r="46" spans="1:5" x14ac:dyDescent="0.3">
      <c r="A46" s="1">
        <v>2300</v>
      </c>
      <c r="B46">
        <v>21.13</v>
      </c>
      <c r="C46">
        <v>41.74</v>
      </c>
      <c r="D46">
        <v>200.55</v>
      </c>
      <c r="E46">
        <v>15.54</v>
      </c>
    </row>
    <row r="47" spans="1:5" x14ac:dyDescent="0.3">
      <c r="A47" s="1">
        <v>2350</v>
      </c>
      <c r="B47">
        <v>21.16</v>
      </c>
      <c r="C47">
        <v>42.8</v>
      </c>
      <c r="D47">
        <v>201.01</v>
      </c>
      <c r="E47">
        <v>14.7</v>
      </c>
    </row>
    <row r="48" spans="1:5" x14ac:dyDescent="0.3">
      <c r="A48" s="1">
        <v>2400</v>
      </c>
      <c r="B48">
        <v>21.19</v>
      </c>
      <c r="C48">
        <v>43.86</v>
      </c>
      <c r="D48">
        <v>201.45</v>
      </c>
      <c r="E48">
        <v>13.89</v>
      </c>
    </row>
    <row r="49" spans="1:5" x14ac:dyDescent="0.3">
      <c r="A49" s="1">
        <v>2450</v>
      </c>
      <c r="B49">
        <v>21.22</v>
      </c>
      <c r="C49">
        <v>44.92</v>
      </c>
      <c r="D49">
        <v>201.89</v>
      </c>
      <c r="E49">
        <v>13.11</v>
      </c>
    </row>
    <row r="50" spans="1:5" x14ac:dyDescent="0.3">
      <c r="A50" s="1">
        <v>2500</v>
      </c>
      <c r="B50">
        <v>21.25</v>
      </c>
      <c r="C50">
        <v>45.98</v>
      </c>
      <c r="D50">
        <v>202.32</v>
      </c>
      <c r="E50">
        <v>12.36</v>
      </c>
    </row>
    <row r="51" spans="1:5" x14ac:dyDescent="0.3">
      <c r="A51" s="1">
        <v>2550</v>
      </c>
      <c r="B51">
        <v>21.29</v>
      </c>
      <c r="C51">
        <v>47.04</v>
      </c>
      <c r="D51">
        <v>202.74</v>
      </c>
      <c r="E51">
        <v>11.64</v>
      </c>
    </row>
    <row r="52" spans="1:5" x14ac:dyDescent="0.3">
      <c r="A52" s="1">
        <v>2600</v>
      </c>
      <c r="B52">
        <v>21.32</v>
      </c>
      <c r="C52">
        <v>48.11</v>
      </c>
      <c r="D52">
        <v>203.15</v>
      </c>
      <c r="E52">
        <v>10.95</v>
      </c>
    </row>
    <row r="53" spans="1:5" x14ac:dyDescent="0.3">
      <c r="A53" s="1">
        <v>2650</v>
      </c>
      <c r="B53">
        <v>21.36</v>
      </c>
      <c r="C53">
        <v>49.17</v>
      </c>
      <c r="D53">
        <v>203.56</v>
      </c>
      <c r="E53">
        <v>10.28</v>
      </c>
    </row>
    <row r="54" spans="1:5" x14ac:dyDescent="0.3">
      <c r="A54" s="1">
        <v>2700</v>
      </c>
      <c r="B54">
        <v>21.39</v>
      </c>
      <c r="C54">
        <v>50.24</v>
      </c>
      <c r="D54">
        <v>203.96</v>
      </c>
      <c r="E54">
        <v>9.6300000000000008</v>
      </c>
    </row>
    <row r="55" spans="1:5" x14ac:dyDescent="0.3">
      <c r="A55" s="1">
        <v>2750</v>
      </c>
      <c r="B55">
        <v>21.43</v>
      </c>
      <c r="C55">
        <v>51.31</v>
      </c>
      <c r="D55">
        <v>204.35</v>
      </c>
      <c r="E55">
        <v>9.01</v>
      </c>
    </row>
    <row r="56" spans="1:5" x14ac:dyDescent="0.3">
      <c r="A56" s="1">
        <v>2800</v>
      </c>
      <c r="B56">
        <v>21.47</v>
      </c>
      <c r="C56">
        <v>52.39</v>
      </c>
      <c r="D56">
        <v>204.74</v>
      </c>
      <c r="E56">
        <v>8.41</v>
      </c>
    </row>
    <row r="57" spans="1:5" x14ac:dyDescent="0.3">
      <c r="A57" s="1">
        <v>2850</v>
      </c>
      <c r="B57">
        <v>21.5</v>
      </c>
      <c r="C57">
        <v>53.46</v>
      </c>
      <c r="D57">
        <v>205.12</v>
      </c>
      <c r="E57">
        <v>7.83</v>
      </c>
    </row>
    <row r="58" spans="1:5" x14ac:dyDescent="0.3">
      <c r="A58" s="1">
        <v>2900</v>
      </c>
      <c r="B58">
        <v>21.54</v>
      </c>
      <c r="C58">
        <v>54.54</v>
      </c>
      <c r="D58">
        <v>205.49</v>
      </c>
      <c r="E58">
        <v>7.27</v>
      </c>
    </row>
    <row r="59" spans="1:5" x14ac:dyDescent="0.3">
      <c r="A59" s="1">
        <v>2950</v>
      </c>
      <c r="B59">
        <v>21.58</v>
      </c>
      <c r="C59">
        <v>55.61</v>
      </c>
      <c r="D59">
        <v>205.86</v>
      </c>
      <c r="E59">
        <v>6.73</v>
      </c>
    </row>
    <row r="60" spans="1:5" x14ac:dyDescent="0.3">
      <c r="A60" s="1">
        <v>3000</v>
      </c>
      <c r="B60">
        <v>21.62</v>
      </c>
      <c r="C60">
        <v>56.69</v>
      </c>
      <c r="D60">
        <v>206.22</v>
      </c>
      <c r="E60">
        <v>6.2</v>
      </c>
    </row>
    <row r="61" spans="1:5" x14ac:dyDescent="0.3">
      <c r="A61" s="1">
        <v>3050</v>
      </c>
      <c r="B61">
        <v>21.66</v>
      </c>
      <c r="C61">
        <v>57.78</v>
      </c>
      <c r="D61">
        <v>206.58</v>
      </c>
      <c r="E61">
        <v>5.7</v>
      </c>
    </row>
    <row r="62" spans="1:5" x14ac:dyDescent="0.3">
      <c r="A62" s="1">
        <v>3100</v>
      </c>
      <c r="B62">
        <v>21.69</v>
      </c>
      <c r="C62">
        <v>58.86</v>
      </c>
      <c r="D62">
        <v>206.93</v>
      </c>
      <c r="E62">
        <v>5.2</v>
      </c>
    </row>
    <row r="63" spans="1:5" x14ac:dyDescent="0.3">
      <c r="A63" s="1">
        <v>3150</v>
      </c>
      <c r="B63">
        <v>21.73</v>
      </c>
      <c r="C63">
        <v>59.95</v>
      </c>
      <c r="D63">
        <v>207.28</v>
      </c>
      <c r="E63">
        <v>4.72</v>
      </c>
    </row>
    <row r="64" spans="1:5" x14ac:dyDescent="0.3">
      <c r="A64" s="1">
        <v>3200</v>
      </c>
      <c r="B64">
        <v>21.77</v>
      </c>
      <c r="C64">
        <v>61.03</v>
      </c>
      <c r="D64">
        <v>207.62</v>
      </c>
      <c r="E64">
        <v>4.26</v>
      </c>
    </row>
    <row r="65" spans="1:5" x14ac:dyDescent="0.3">
      <c r="A65" s="1">
        <v>3250</v>
      </c>
      <c r="B65">
        <v>21.81</v>
      </c>
      <c r="C65">
        <v>62.12</v>
      </c>
      <c r="D65">
        <v>207.96</v>
      </c>
      <c r="E65">
        <v>3.81</v>
      </c>
    </row>
    <row r="66" spans="1:5" x14ac:dyDescent="0.3">
      <c r="A66" s="1">
        <v>3300</v>
      </c>
      <c r="B66">
        <v>21.85</v>
      </c>
      <c r="C66">
        <v>63.21</v>
      </c>
      <c r="D66">
        <v>208.3</v>
      </c>
      <c r="E66">
        <v>3.37</v>
      </c>
    </row>
    <row r="67" spans="1:5" x14ac:dyDescent="0.3">
      <c r="A67" s="1">
        <v>3350</v>
      </c>
      <c r="B67">
        <v>21.89</v>
      </c>
      <c r="C67">
        <v>64.31</v>
      </c>
      <c r="D67">
        <v>208.62</v>
      </c>
      <c r="E67">
        <v>2.95</v>
      </c>
    </row>
    <row r="68" spans="1:5" x14ac:dyDescent="0.3">
      <c r="A68" s="1">
        <v>3400</v>
      </c>
      <c r="B68">
        <v>21.93</v>
      </c>
      <c r="C68">
        <v>65.400000000000006</v>
      </c>
      <c r="D68">
        <v>208.95</v>
      </c>
      <c r="E68">
        <v>2.54</v>
      </c>
    </row>
    <row r="69" spans="1:5" x14ac:dyDescent="0.3">
      <c r="A69" s="1">
        <v>3450</v>
      </c>
      <c r="B69">
        <v>21.96</v>
      </c>
      <c r="C69">
        <v>66.5</v>
      </c>
      <c r="D69">
        <v>209.27</v>
      </c>
      <c r="E69">
        <v>2.13</v>
      </c>
    </row>
    <row r="70" spans="1:5" x14ac:dyDescent="0.3">
      <c r="A70" s="1">
        <v>3500</v>
      </c>
      <c r="B70">
        <v>22</v>
      </c>
      <c r="C70">
        <v>67.599999999999994</v>
      </c>
      <c r="D70">
        <v>209.59</v>
      </c>
      <c r="E70">
        <v>1.74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13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4.63</v>
      </c>
      <c r="C3">
        <v>0.65</v>
      </c>
      <c r="D3">
        <v>3.14</v>
      </c>
      <c r="E3">
        <v>0.77</v>
      </c>
    </row>
    <row r="4" spans="1:5" x14ac:dyDescent="0.3">
      <c r="A4">
        <v>250</v>
      </c>
      <c r="B4">
        <v>6.69</v>
      </c>
      <c r="C4">
        <v>0.37</v>
      </c>
      <c r="D4">
        <v>4.4000000000000004</v>
      </c>
      <c r="E4">
        <v>0.7</v>
      </c>
    </row>
    <row r="5" spans="1:5" x14ac:dyDescent="0.3">
      <c r="A5">
        <v>298</v>
      </c>
      <c r="B5">
        <v>8.51</v>
      </c>
      <c r="C5">
        <v>0</v>
      </c>
      <c r="D5">
        <v>5.74</v>
      </c>
      <c r="E5">
        <v>0.69</v>
      </c>
    </row>
    <row r="6" spans="1:5" x14ac:dyDescent="0.3">
      <c r="A6">
        <v>300</v>
      </c>
      <c r="B6">
        <v>8.57</v>
      </c>
      <c r="C6">
        <v>0.02</v>
      </c>
      <c r="D6">
        <v>5.79</v>
      </c>
      <c r="E6">
        <v>0.69</v>
      </c>
    </row>
    <row r="7" spans="1:5" x14ac:dyDescent="0.3">
      <c r="A7">
        <v>350</v>
      </c>
      <c r="B7">
        <v>10.3</v>
      </c>
      <c r="C7">
        <v>0.49</v>
      </c>
      <c r="D7">
        <v>7.24</v>
      </c>
      <c r="E7">
        <v>0.7</v>
      </c>
    </row>
    <row r="8" spans="1:5" x14ac:dyDescent="0.3">
      <c r="A8">
        <v>400</v>
      </c>
      <c r="B8">
        <v>11.87</v>
      </c>
      <c r="C8">
        <v>1.04</v>
      </c>
      <c r="D8">
        <v>8.7200000000000006</v>
      </c>
      <c r="E8">
        <v>0.73</v>
      </c>
    </row>
    <row r="9" spans="1:5" x14ac:dyDescent="0.3">
      <c r="A9">
        <v>450</v>
      </c>
      <c r="B9">
        <v>13.29</v>
      </c>
      <c r="C9">
        <v>1.67</v>
      </c>
      <c r="D9">
        <v>10.199999999999999</v>
      </c>
      <c r="E9">
        <v>0.78</v>
      </c>
    </row>
    <row r="10" spans="1:5" x14ac:dyDescent="0.3">
      <c r="A10">
        <v>500</v>
      </c>
      <c r="B10">
        <v>14.58</v>
      </c>
      <c r="C10">
        <v>2.37</v>
      </c>
      <c r="D10">
        <v>11.67</v>
      </c>
      <c r="E10">
        <v>0.83</v>
      </c>
    </row>
    <row r="11" spans="1:5" x14ac:dyDescent="0.3">
      <c r="A11">
        <v>550</v>
      </c>
      <c r="B11">
        <v>15.74</v>
      </c>
      <c r="C11">
        <v>3.13</v>
      </c>
      <c r="D11">
        <v>13.12</v>
      </c>
      <c r="E11">
        <v>0.89</v>
      </c>
    </row>
    <row r="12" spans="1:5" x14ac:dyDescent="0.3">
      <c r="A12">
        <v>600</v>
      </c>
      <c r="B12">
        <v>16.79</v>
      </c>
      <c r="C12">
        <v>3.94</v>
      </c>
      <c r="D12">
        <v>14.53</v>
      </c>
      <c r="E12">
        <v>0.96</v>
      </c>
    </row>
    <row r="13" spans="1:5" x14ac:dyDescent="0.3">
      <c r="A13">
        <v>650</v>
      </c>
      <c r="B13">
        <v>17.72</v>
      </c>
      <c r="C13">
        <v>4.8099999999999996</v>
      </c>
      <c r="D13">
        <v>15.91</v>
      </c>
      <c r="E13">
        <v>1.02</v>
      </c>
    </row>
    <row r="14" spans="1:5" x14ac:dyDescent="0.3">
      <c r="A14">
        <v>700</v>
      </c>
      <c r="B14">
        <v>18.55</v>
      </c>
      <c r="C14">
        <v>5.71</v>
      </c>
      <c r="D14">
        <v>17.260000000000002</v>
      </c>
      <c r="E14">
        <v>1.0900000000000001</v>
      </c>
    </row>
    <row r="15" spans="1:5" x14ac:dyDescent="0.3">
      <c r="A15">
        <v>750</v>
      </c>
      <c r="B15">
        <v>19.28</v>
      </c>
      <c r="C15">
        <v>6.66</v>
      </c>
      <c r="D15">
        <v>18.559999999999999</v>
      </c>
      <c r="E15">
        <v>1.1599999999999999</v>
      </c>
    </row>
    <row r="16" spans="1:5" x14ac:dyDescent="0.3">
      <c r="A16">
        <v>800</v>
      </c>
      <c r="B16">
        <v>19.920000000000002</v>
      </c>
      <c r="C16">
        <v>7.64</v>
      </c>
      <c r="D16">
        <v>19.829999999999998</v>
      </c>
      <c r="E16">
        <v>1.24</v>
      </c>
    </row>
    <row r="17" spans="1:5" x14ac:dyDescent="0.3">
      <c r="A17">
        <v>850</v>
      </c>
      <c r="B17">
        <v>20.47</v>
      </c>
      <c r="C17">
        <v>8.65</v>
      </c>
      <c r="D17">
        <v>21.05</v>
      </c>
      <c r="E17">
        <v>1.31</v>
      </c>
    </row>
    <row r="18" spans="1:5" x14ac:dyDescent="0.3">
      <c r="A18">
        <v>900</v>
      </c>
      <c r="B18">
        <v>20.94</v>
      </c>
      <c r="C18">
        <v>9.68</v>
      </c>
      <c r="D18">
        <v>22.23</v>
      </c>
      <c r="E18">
        <v>1.38</v>
      </c>
    </row>
    <row r="19" spans="1:5" x14ac:dyDescent="0.3">
      <c r="A19">
        <v>950</v>
      </c>
      <c r="B19">
        <v>21.33</v>
      </c>
      <c r="C19">
        <v>10.74</v>
      </c>
      <c r="D19">
        <v>23.38</v>
      </c>
      <c r="E19">
        <v>1.45</v>
      </c>
    </row>
    <row r="20" spans="1:5" x14ac:dyDescent="0.3">
      <c r="A20" s="1">
        <v>1000</v>
      </c>
      <c r="B20">
        <v>21.65</v>
      </c>
      <c r="C20">
        <v>11.82</v>
      </c>
      <c r="D20">
        <v>24.48</v>
      </c>
      <c r="E20">
        <v>1.52</v>
      </c>
    </row>
    <row r="21" spans="1:5" x14ac:dyDescent="0.3">
      <c r="A21" s="1">
        <v>1050</v>
      </c>
      <c r="B21">
        <v>21.92</v>
      </c>
      <c r="C21">
        <v>12.91</v>
      </c>
      <c r="D21">
        <v>25.54</v>
      </c>
      <c r="E21">
        <v>1.59</v>
      </c>
    </row>
    <row r="22" spans="1:5" x14ac:dyDescent="0.3">
      <c r="A22" s="1">
        <v>1100</v>
      </c>
      <c r="B22">
        <v>22.18</v>
      </c>
      <c r="C22">
        <v>14.01</v>
      </c>
      <c r="D22">
        <v>26.57</v>
      </c>
      <c r="E22">
        <v>1.66</v>
      </c>
    </row>
    <row r="23" spans="1:5" x14ac:dyDescent="0.3">
      <c r="A23" s="1">
        <v>1150</v>
      </c>
      <c r="B23">
        <v>22.43</v>
      </c>
      <c r="C23">
        <v>15.12</v>
      </c>
      <c r="D23">
        <v>27.56</v>
      </c>
      <c r="E23">
        <v>1.73</v>
      </c>
    </row>
    <row r="24" spans="1:5" x14ac:dyDescent="0.3">
      <c r="A24" s="1">
        <v>1200</v>
      </c>
      <c r="B24">
        <v>22.66</v>
      </c>
      <c r="C24">
        <v>16.25</v>
      </c>
      <c r="D24">
        <v>28.52</v>
      </c>
      <c r="E24">
        <v>1.8</v>
      </c>
    </row>
    <row r="25" spans="1:5" x14ac:dyDescent="0.3">
      <c r="A25" s="1">
        <v>1250</v>
      </c>
      <c r="B25">
        <v>22.89</v>
      </c>
      <c r="C25">
        <v>17.39</v>
      </c>
      <c r="D25">
        <v>29.45</v>
      </c>
      <c r="E25">
        <v>1.87</v>
      </c>
    </row>
    <row r="26" spans="1:5" x14ac:dyDescent="0.3">
      <c r="A26" s="1">
        <v>1300</v>
      </c>
      <c r="B26">
        <v>23.1</v>
      </c>
      <c r="C26">
        <v>18.54</v>
      </c>
      <c r="D26">
        <v>30.35</v>
      </c>
      <c r="E26">
        <v>1.94</v>
      </c>
    </row>
    <row r="27" spans="1:5" x14ac:dyDescent="0.3">
      <c r="A27" s="1">
        <v>1350</v>
      </c>
      <c r="B27">
        <v>23.3</v>
      </c>
      <c r="C27">
        <v>19.7</v>
      </c>
      <c r="D27">
        <v>31.23</v>
      </c>
      <c r="E27">
        <v>2</v>
      </c>
    </row>
    <row r="28" spans="1:5" x14ac:dyDescent="0.3">
      <c r="A28" s="1">
        <v>1400</v>
      </c>
      <c r="B28">
        <v>23.49</v>
      </c>
      <c r="C28">
        <v>20.87</v>
      </c>
      <c r="D28">
        <v>32.08</v>
      </c>
      <c r="E28">
        <v>2.0699999999999998</v>
      </c>
    </row>
    <row r="29" spans="1:5" x14ac:dyDescent="0.3">
      <c r="A29" s="1">
        <v>1450</v>
      </c>
      <c r="B29">
        <v>23.67</v>
      </c>
      <c r="C29">
        <v>22.05</v>
      </c>
      <c r="D29">
        <v>32.9</v>
      </c>
      <c r="E29">
        <v>2.13</v>
      </c>
    </row>
    <row r="30" spans="1:5" x14ac:dyDescent="0.3">
      <c r="A30" s="1">
        <v>1500</v>
      </c>
      <c r="B30">
        <v>23.84</v>
      </c>
      <c r="C30">
        <v>23.24</v>
      </c>
      <c r="D30">
        <v>33.71</v>
      </c>
      <c r="E30">
        <v>2.19</v>
      </c>
    </row>
    <row r="31" spans="1:5" x14ac:dyDescent="0.3">
      <c r="A31" s="1">
        <v>1550</v>
      </c>
      <c r="B31">
        <v>24.01</v>
      </c>
      <c r="C31">
        <v>24.43</v>
      </c>
      <c r="D31">
        <v>34.49</v>
      </c>
      <c r="E31">
        <v>2.25</v>
      </c>
    </row>
    <row r="32" spans="1:5" x14ac:dyDescent="0.3">
      <c r="A32" s="1">
        <v>1600</v>
      </c>
      <c r="B32">
        <v>24.16</v>
      </c>
      <c r="C32">
        <v>25.64</v>
      </c>
      <c r="D32">
        <v>35.26</v>
      </c>
      <c r="E32">
        <v>2.31</v>
      </c>
    </row>
    <row r="33" spans="1:5" x14ac:dyDescent="0.3">
      <c r="A33" s="1">
        <v>1650</v>
      </c>
      <c r="B33">
        <v>24.31</v>
      </c>
      <c r="C33">
        <v>26.85</v>
      </c>
      <c r="D33">
        <v>36</v>
      </c>
      <c r="E33">
        <v>2.37</v>
      </c>
    </row>
    <row r="34" spans="1:5" x14ac:dyDescent="0.3">
      <c r="A34" s="1">
        <v>1700</v>
      </c>
      <c r="B34">
        <v>24.45</v>
      </c>
      <c r="C34">
        <v>28.07</v>
      </c>
      <c r="D34">
        <v>36.729999999999997</v>
      </c>
      <c r="E34">
        <v>2.4300000000000002</v>
      </c>
    </row>
    <row r="35" spans="1:5" x14ac:dyDescent="0.3">
      <c r="A35" s="1">
        <v>1750</v>
      </c>
      <c r="B35">
        <v>24.58</v>
      </c>
      <c r="C35">
        <v>29.29</v>
      </c>
      <c r="D35">
        <v>37.44</v>
      </c>
      <c r="E35">
        <v>2.4900000000000002</v>
      </c>
    </row>
    <row r="36" spans="1:5" x14ac:dyDescent="0.3">
      <c r="A36" s="1">
        <v>1800</v>
      </c>
      <c r="B36">
        <v>24.71</v>
      </c>
      <c r="C36">
        <v>30.52</v>
      </c>
      <c r="D36">
        <v>38.14</v>
      </c>
      <c r="E36">
        <v>2.5499999999999998</v>
      </c>
    </row>
    <row r="37" spans="1:5" x14ac:dyDescent="0.3">
      <c r="A37" s="1">
        <v>1850</v>
      </c>
      <c r="B37">
        <v>24.82</v>
      </c>
      <c r="C37">
        <v>31.76</v>
      </c>
      <c r="D37">
        <v>38.82</v>
      </c>
      <c r="E37">
        <v>2.6</v>
      </c>
    </row>
    <row r="38" spans="1:5" x14ac:dyDescent="0.3">
      <c r="A38" s="1">
        <v>1900</v>
      </c>
      <c r="B38">
        <v>24.94</v>
      </c>
      <c r="C38">
        <v>33.01</v>
      </c>
      <c r="D38">
        <v>39.479999999999997</v>
      </c>
      <c r="E38">
        <v>2.66</v>
      </c>
    </row>
    <row r="39" spans="1:5" x14ac:dyDescent="0.3">
      <c r="A39" s="1">
        <v>1950</v>
      </c>
      <c r="B39">
        <v>25.05</v>
      </c>
      <c r="C39">
        <v>34.26</v>
      </c>
      <c r="D39">
        <v>40.130000000000003</v>
      </c>
      <c r="E39">
        <v>2.71</v>
      </c>
    </row>
    <row r="40" spans="1:5" x14ac:dyDescent="0.3">
      <c r="A40" s="1">
        <v>2000</v>
      </c>
      <c r="B40">
        <v>25.15</v>
      </c>
      <c r="C40">
        <v>35.51</v>
      </c>
      <c r="D40">
        <v>40.76</v>
      </c>
      <c r="E40">
        <v>2.77</v>
      </c>
    </row>
    <row r="41" spans="1:5" x14ac:dyDescent="0.3">
      <c r="A41" s="1">
        <v>2050</v>
      </c>
      <c r="B41">
        <v>25.25</v>
      </c>
      <c r="C41">
        <v>36.770000000000003</v>
      </c>
      <c r="D41">
        <v>41.39</v>
      </c>
      <c r="E41">
        <v>2.82</v>
      </c>
    </row>
    <row r="42" spans="1:5" x14ac:dyDescent="0.3">
      <c r="A42" s="1">
        <v>2100</v>
      </c>
      <c r="B42">
        <v>25.34</v>
      </c>
      <c r="C42">
        <v>38.04</v>
      </c>
      <c r="D42">
        <v>42</v>
      </c>
      <c r="E42">
        <v>2.87</v>
      </c>
    </row>
    <row r="43" spans="1:5" x14ac:dyDescent="0.3">
      <c r="A43" s="1">
        <v>2150</v>
      </c>
      <c r="B43">
        <v>25.43</v>
      </c>
      <c r="C43">
        <v>39.299999999999997</v>
      </c>
      <c r="D43">
        <v>42.59</v>
      </c>
      <c r="E43">
        <v>2.92</v>
      </c>
    </row>
    <row r="44" spans="1:5" x14ac:dyDescent="0.3">
      <c r="A44" s="1">
        <v>2200</v>
      </c>
      <c r="B44">
        <v>25.52</v>
      </c>
      <c r="C44">
        <v>40.58</v>
      </c>
      <c r="D44">
        <v>43.18</v>
      </c>
      <c r="E44">
        <v>2.97</v>
      </c>
    </row>
    <row r="45" spans="1:5" x14ac:dyDescent="0.3">
      <c r="A45" s="1">
        <v>2250</v>
      </c>
      <c r="B45">
        <v>25.6</v>
      </c>
      <c r="C45">
        <v>41.86</v>
      </c>
      <c r="D45">
        <v>43.75</v>
      </c>
      <c r="E45">
        <v>3.02</v>
      </c>
    </row>
    <row r="46" spans="1:5" x14ac:dyDescent="0.3">
      <c r="A46" s="1">
        <v>2300</v>
      </c>
      <c r="B46">
        <v>25.68</v>
      </c>
      <c r="C46">
        <v>43.14</v>
      </c>
      <c r="D46">
        <v>44.32</v>
      </c>
      <c r="E46">
        <v>3.07</v>
      </c>
    </row>
    <row r="47" spans="1:5" x14ac:dyDescent="0.3">
      <c r="A47" s="1">
        <v>2350</v>
      </c>
      <c r="B47">
        <v>25.75</v>
      </c>
      <c r="C47">
        <v>44.42</v>
      </c>
      <c r="D47">
        <v>44.87</v>
      </c>
      <c r="E47">
        <v>3.12</v>
      </c>
    </row>
    <row r="48" spans="1:5" x14ac:dyDescent="0.3">
      <c r="A48" s="1">
        <v>2400</v>
      </c>
      <c r="B48">
        <v>25.83</v>
      </c>
      <c r="C48">
        <v>45.71</v>
      </c>
      <c r="D48">
        <v>45.41</v>
      </c>
      <c r="E48">
        <v>3.17</v>
      </c>
    </row>
    <row r="49" spans="1:5" x14ac:dyDescent="0.3">
      <c r="A49" s="1">
        <v>2450</v>
      </c>
      <c r="B49">
        <v>25.9</v>
      </c>
      <c r="C49">
        <v>47.01</v>
      </c>
      <c r="D49">
        <v>45.95</v>
      </c>
      <c r="E49">
        <v>3.22</v>
      </c>
    </row>
    <row r="50" spans="1:5" x14ac:dyDescent="0.3">
      <c r="A50" s="1">
        <v>2500</v>
      </c>
      <c r="B50">
        <v>25.97</v>
      </c>
      <c r="C50">
        <v>48.3</v>
      </c>
      <c r="D50">
        <v>46.47</v>
      </c>
      <c r="E50">
        <v>3.27</v>
      </c>
    </row>
    <row r="51" spans="1:5" x14ac:dyDescent="0.3">
      <c r="A51" s="1">
        <v>2550</v>
      </c>
      <c r="B51">
        <v>26.03</v>
      </c>
      <c r="C51">
        <v>49.6</v>
      </c>
      <c r="D51">
        <v>46.98</v>
      </c>
      <c r="E51">
        <v>3.31</v>
      </c>
    </row>
    <row r="52" spans="1:5" x14ac:dyDescent="0.3">
      <c r="A52" s="1">
        <v>2600</v>
      </c>
      <c r="B52">
        <v>26.1</v>
      </c>
      <c r="C52">
        <v>50.91</v>
      </c>
      <c r="D52">
        <v>47.49</v>
      </c>
      <c r="E52">
        <v>3.36</v>
      </c>
    </row>
    <row r="53" spans="1:5" x14ac:dyDescent="0.3">
      <c r="A53" s="1">
        <v>2650</v>
      </c>
      <c r="B53">
        <v>26.16</v>
      </c>
      <c r="C53">
        <v>52.21</v>
      </c>
      <c r="D53">
        <v>47.99</v>
      </c>
      <c r="E53">
        <v>3.4</v>
      </c>
    </row>
    <row r="54" spans="1:5" x14ac:dyDescent="0.3">
      <c r="A54" s="1">
        <v>2700</v>
      </c>
      <c r="B54">
        <v>26.23</v>
      </c>
      <c r="C54">
        <v>53.52</v>
      </c>
      <c r="D54">
        <v>48.48</v>
      </c>
      <c r="E54">
        <v>3.45</v>
      </c>
    </row>
    <row r="55" spans="1:5" x14ac:dyDescent="0.3">
      <c r="A55" s="1">
        <v>2750</v>
      </c>
      <c r="B55">
        <v>26.29</v>
      </c>
      <c r="C55">
        <v>54.84</v>
      </c>
      <c r="D55">
        <v>48.96</v>
      </c>
      <c r="E55">
        <v>3.49</v>
      </c>
    </row>
    <row r="56" spans="1:5" x14ac:dyDescent="0.3">
      <c r="A56" s="1">
        <v>2800</v>
      </c>
      <c r="B56">
        <v>26.35</v>
      </c>
      <c r="C56">
        <v>56.15</v>
      </c>
      <c r="D56">
        <v>49.43</v>
      </c>
      <c r="E56">
        <v>3.53</v>
      </c>
    </row>
    <row r="57" spans="1:5" x14ac:dyDescent="0.3">
      <c r="A57" s="1">
        <v>2850</v>
      </c>
      <c r="B57">
        <v>26.41</v>
      </c>
      <c r="C57">
        <v>57.47</v>
      </c>
      <c r="D57">
        <v>49.9</v>
      </c>
      <c r="E57">
        <v>3.58</v>
      </c>
    </row>
    <row r="58" spans="1:5" x14ac:dyDescent="0.3">
      <c r="A58" s="1">
        <v>2900</v>
      </c>
      <c r="B58">
        <v>26.47</v>
      </c>
      <c r="C58">
        <v>58.79</v>
      </c>
      <c r="D58">
        <v>50.36</v>
      </c>
      <c r="E58">
        <v>3.62</v>
      </c>
    </row>
    <row r="59" spans="1:5" x14ac:dyDescent="0.3">
      <c r="A59" s="1">
        <v>2950</v>
      </c>
      <c r="B59">
        <v>26.53</v>
      </c>
      <c r="C59">
        <v>60.12</v>
      </c>
      <c r="D59">
        <v>50.81</v>
      </c>
      <c r="E59">
        <v>3.66</v>
      </c>
    </row>
    <row r="60" spans="1:5" x14ac:dyDescent="0.3">
      <c r="A60" s="1">
        <v>3000</v>
      </c>
      <c r="B60">
        <v>26.59</v>
      </c>
      <c r="C60">
        <v>61.45</v>
      </c>
      <c r="D60">
        <v>51.26</v>
      </c>
      <c r="E60">
        <v>3.7</v>
      </c>
    </row>
    <row r="61" spans="1:5" x14ac:dyDescent="0.3">
      <c r="A61" s="1">
        <v>3050</v>
      </c>
      <c r="B61">
        <v>26.65</v>
      </c>
      <c r="C61">
        <v>62.78</v>
      </c>
      <c r="D61">
        <v>51.7</v>
      </c>
      <c r="E61">
        <v>3.74</v>
      </c>
    </row>
    <row r="62" spans="1:5" x14ac:dyDescent="0.3">
      <c r="A62" s="1">
        <v>3100</v>
      </c>
      <c r="B62">
        <v>26.7</v>
      </c>
      <c r="C62">
        <v>64.11</v>
      </c>
      <c r="D62">
        <v>52.13</v>
      </c>
      <c r="E62">
        <v>3.78</v>
      </c>
    </row>
    <row r="63" spans="1:5" x14ac:dyDescent="0.3">
      <c r="A63" s="1">
        <v>3150</v>
      </c>
      <c r="B63">
        <v>26.76</v>
      </c>
      <c r="C63">
        <v>65.45</v>
      </c>
      <c r="D63">
        <v>52.56</v>
      </c>
      <c r="E63">
        <v>3.82</v>
      </c>
    </row>
    <row r="64" spans="1:5" x14ac:dyDescent="0.3">
      <c r="A64" s="1">
        <v>3200</v>
      </c>
      <c r="B64">
        <v>26.82</v>
      </c>
      <c r="C64">
        <v>66.790000000000006</v>
      </c>
      <c r="D64">
        <v>52.98</v>
      </c>
      <c r="E64">
        <v>3.86</v>
      </c>
    </row>
    <row r="65" spans="1:5" x14ac:dyDescent="0.3">
      <c r="A65" s="1">
        <v>3250</v>
      </c>
      <c r="B65">
        <v>26.88</v>
      </c>
      <c r="C65">
        <v>68.13</v>
      </c>
      <c r="D65">
        <v>53.4</v>
      </c>
      <c r="E65">
        <v>3.9</v>
      </c>
    </row>
    <row r="66" spans="1:5" x14ac:dyDescent="0.3">
      <c r="A66" s="1">
        <v>3300</v>
      </c>
      <c r="B66">
        <v>26.94</v>
      </c>
      <c r="C66">
        <v>69.47</v>
      </c>
      <c r="D66">
        <v>53.81</v>
      </c>
      <c r="E66">
        <v>3.94</v>
      </c>
    </row>
    <row r="67" spans="1:5" x14ac:dyDescent="0.3">
      <c r="A67" s="1">
        <v>3350</v>
      </c>
      <c r="B67">
        <v>27</v>
      </c>
      <c r="C67">
        <v>70.819999999999993</v>
      </c>
      <c r="D67">
        <v>54.22</v>
      </c>
      <c r="E67">
        <v>3.98</v>
      </c>
    </row>
    <row r="68" spans="1:5" x14ac:dyDescent="0.3">
      <c r="A68" s="1">
        <v>3400</v>
      </c>
      <c r="B68">
        <v>27.06</v>
      </c>
      <c r="C68">
        <v>72.17</v>
      </c>
      <c r="D68">
        <v>54.62</v>
      </c>
      <c r="E68">
        <v>4.0199999999999996</v>
      </c>
    </row>
    <row r="69" spans="1:5" x14ac:dyDescent="0.3">
      <c r="A69" s="1">
        <v>3450</v>
      </c>
      <c r="B69">
        <v>27.12</v>
      </c>
      <c r="C69">
        <v>73.53</v>
      </c>
      <c r="D69">
        <v>55.01</v>
      </c>
      <c r="E69">
        <v>4.05</v>
      </c>
    </row>
    <row r="70" spans="1:5" x14ac:dyDescent="0.3">
      <c r="A70" s="1">
        <v>3500</v>
      </c>
      <c r="B70">
        <v>27.18</v>
      </c>
      <c r="C70">
        <v>74.89</v>
      </c>
      <c r="D70">
        <v>55.4</v>
      </c>
      <c r="E70">
        <v>4.09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14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28.14</v>
      </c>
      <c r="C3">
        <v>3.12</v>
      </c>
      <c r="D3">
        <v>173.46</v>
      </c>
      <c r="E3">
        <v>67.78</v>
      </c>
    </row>
    <row r="4" spans="1:5" x14ac:dyDescent="0.3">
      <c r="A4">
        <v>250</v>
      </c>
      <c r="B4">
        <v>31.9</v>
      </c>
      <c r="C4">
        <v>1.62</v>
      </c>
      <c r="D4">
        <v>180.15</v>
      </c>
      <c r="E4">
        <v>58.48</v>
      </c>
    </row>
    <row r="5" spans="1:5" x14ac:dyDescent="0.3">
      <c r="A5">
        <v>298</v>
      </c>
      <c r="B5">
        <v>35.14</v>
      </c>
      <c r="C5">
        <v>0</v>
      </c>
      <c r="D5">
        <v>186.05</v>
      </c>
      <c r="E5">
        <v>52.59</v>
      </c>
    </row>
    <row r="6" spans="1:5" x14ac:dyDescent="0.3">
      <c r="A6">
        <v>300</v>
      </c>
      <c r="B6">
        <v>35.26</v>
      </c>
      <c r="C6">
        <v>7.0000000000000007E-2</v>
      </c>
      <c r="D6">
        <v>186.27</v>
      </c>
      <c r="E6">
        <v>52.4</v>
      </c>
    </row>
    <row r="7" spans="1:5" x14ac:dyDescent="0.3">
      <c r="A7">
        <v>350</v>
      </c>
      <c r="B7">
        <v>38.33</v>
      </c>
      <c r="C7">
        <v>1.91</v>
      </c>
      <c r="D7">
        <v>191.94</v>
      </c>
      <c r="E7">
        <v>48.17</v>
      </c>
    </row>
    <row r="8" spans="1:5" x14ac:dyDescent="0.3">
      <c r="A8">
        <v>400</v>
      </c>
      <c r="B8">
        <v>41.19</v>
      </c>
      <c r="C8">
        <v>3.89</v>
      </c>
      <c r="D8">
        <v>197.24</v>
      </c>
      <c r="E8">
        <v>45.07</v>
      </c>
    </row>
    <row r="9" spans="1:5" x14ac:dyDescent="0.3">
      <c r="A9">
        <v>450</v>
      </c>
      <c r="B9">
        <v>43.93</v>
      </c>
      <c r="C9">
        <v>6.02</v>
      </c>
      <c r="D9">
        <v>202.25</v>
      </c>
      <c r="E9">
        <v>42.73</v>
      </c>
    </row>
    <row r="10" spans="1:5" x14ac:dyDescent="0.3">
      <c r="A10">
        <v>500</v>
      </c>
      <c r="B10">
        <v>46.61</v>
      </c>
      <c r="C10">
        <v>8.2899999999999991</v>
      </c>
      <c r="D10">
        <v>207.02</v>
      </c>
      <c r="E10">
        <v>40.92</v>
      </c>
    </row>
    <row r="11" spans="1:5" x14ac:dyDescent="0.3">
      <c r="A11">
        <v>550</v>
      </c>
      <c r="B11">
        <v>49.26</v>
      </c>
      <c r="C11">
        <v>10.68</v>
      </c>
      <c r="D11">
        <v>211.59</v>
      </c>
      <c r="E11">
        <v>39.49</v>
      </c>
    </row>
    <row r="12" spans="1:5" x14ac:dyDescent="0.3">
      <c r="A12">
        <v>600</v>
      </c>
      <c r="B12">
        <v>51.93</v>
      </c>
      <c r="C12">
        <v>13.21</v>
      </c>
      <c r="D12">
        <v>215.99</v>
      </c>
      <c r="E12">
        <v>38.340000000000003</v>
      </c>
    </row>
    <row r="13" spans="1:5" x14ac:dyDescent="0.3">
      <c r="A13">
        <v>650</v>
      </c>
      <c r="B13">
        <v>54.62</v>
      </c>
      <c r="C13">
        <v>15.88</v>
      </c>
      <c r="D13">
        <v>220.25</v>
      </c>
      <c r="E13">
        <v>37.409999999999997</v>
      </c>
    </row>
    <row r="14" spans="1:5" x14ac:dyDescent="0.3">
      <c r="A14">
        <v>700</v>
      </c>
      <c r="B14">
        <v>57.33</v>
      </c>
      <c r="C14">
        <v>18.670000000000002</v>
      </c>
      <c r="D14">
        <v>224.4</v>
      </c>
      <c r="E14">
        <v>36.65</v>
      </c>
    </row>
    <row r="15" spans="1:5" x14ac:dyDescent="0.3">
      <c r="A15">
        <v>750</v>
      </c>
      <c r="B15">
        <v>60.05</v>
      </c>
      <c r="C15">
        <v>21.61</v>
      </c>
      <c r="D15">
        <v>228.45</v>
      </c>
      <c r="E15">
        <v>36.020000000000003</v>
      </c>
    </row>
    <row r="16" spans="1:5" x14ac:dyDescent="0.3">
      <c r="A16">
        <v>800</v>
      </c>
      <c r="B16">
        <v>62.75</v>
      </c>
      <c r="C16">
        <v>24.68</v>
      </c>
      <c r="D16">
        <v>232.41</v>
      </c>
      <c r="E16">
        <v>35.5</v>
      </c>
    </row>
    <row r="17" spans="1:5" x14ac:dyDescent="0.3">
      <c r="A17">
        <v>850</v>
      </c>
      <c r="B17">
        <v>65.38</v>
      </c>
      <c r="C17">
        <v>27.88</v>
      </c>
      <c r="D17">
        <v>236.29</v>
      </c>
      <c r="E17">
        <v>35.07</v>
      </c>
    </row>
    <row r="18" spans="1:5" x14ac:dyDescent="0.3">
      <c r="A18">
        <v>900</v>
      </c>
      <c r="B18">
        <v>67.88</v>
      </c>
      <c r="C18">
        <v>31.22</v>
      </c>
      <c r="D18">
        <v>240.1</v>
      </c>
      <c r="E18">
        <v>34.72</v>
      </c>
    </row>
    <row r="19" spans="1:5" x14ac:dyDescent="0.3">
      <c r="A19">
        <v>950</v>
      </c>
      <c r="B19">
        <v>70.17</v>
      </c>
      <c r="C19">
        <v>34.67</v>
      </c>
      <c r="D19">
        <v>243.83</v>
      </c>
      <c r="E19">
        <v>34.42</v>
      </c>
    </row>
    <row r="20" spans="1:5" x14ac:dyDescent="0.3">
      <c r="A20" s="1">
        <v>1000</v>
      </c>
      <c r="B20">
        <v>72.16</v>
      </c>
      <c r="C20">
        <v>38.229999999999997</v>
      </c>
      <c r="D20">
        <v>247.48</v>
      </c>
      <c r="E20">
        <v>34.18</v>
      </c>
    </row>
    <row r="21" spans="1:5" x14ac:dyDescent="0.3">
      <c r="A21" s="1">
        <v>1050</v>
      </c>
      <c r="B21">
        <v>73.92</v>
      </c>
      <c r="C21">
        <v>41.88</v>
      </c>
      <c r="D21">
        <v>251.05</v>
      </c>
      <c r="E21">
        <v>33.979999999999997</v>
      </c>
    </row>
    <row r="22" spans="1:5" x14ac:dyDescent="0.3">
      <c r="A22" s="1">
        <v>1100</v>
      </c>
      <c r="B22">
        <v>75.599999999999994</v>
      </c>
      <c r="C22">
        <v>45.62</v>
      </c>
      <c r="D22">
        <v>254.52</v>
      </c>
      <c r="E22">
        <v>33.81</v>
      </c>
    </row>
    <row r="23" spans="1:5" x14ac:dyDescent="0.3">
      <c r="A23" s="1">
        <v>1150</v>
      </c>
      <c r="B23">
        <v>77.19</v>
      </c>
      <c r="C23">
        <v>49.44</v>
      </c>
      <c r="D23">
        <v>257.92</v>
      </c>
      <c r="E23">
        <v>33.68</v>
      </c>
    </row>
    <row r="24" spans="1:5" x14ac:dyDescent="0.3">
      <c r="A24" s="1">
        <v>1200</v>
      </c>
      <c r="B24">
        <v>78.709999999999994</v>
      </c>
      <c r="C24">
        <v>53.34</v>
      </c>
      <c r="D24">
        <v>261.24</v>
      </c>
      <c r="E24">
        <v>33.58</v>
      </c>
    </row>
    <row r="25" spans="1:5" x14ac:dyDescent="0.3">
      <c r="A25" s="1">
        <v>1250</v>
      </c>
      <c r="B25">
        <v>80.150000000000006</v>
      </c>
      <c r="C25">
        <v>57.31</v>
      </c>
      <c r="D25">
        <v>264.48</v>
      </c>
      <c r="E25">
        <v>33.5</v>
      </c>
    </row>
    <row r="26" spans="1:5" x14ac:dyDescent="0.3">
      <c r="A26" s="1">
        <v>1300</v>
      </c>
      <c r="B26">
        <v>81.52</v>
      </c>
      <c r="C26">
        <v>61.35</v>
      </c>
      <c r="D26">
        <v>267.64999999999998</v>
      </c>
      <c r="E26">
        <v>33.450000000000003</v>
      </c>
    </row>
    <row r="27" spans="1:5" x14ac:dyDescent="0.3">
      <c r="A27" s="1">
        <v>1350</v>
      </c>
      <c r="B27">
        <v>82.82</v>
      </c>
      <c r="C27">
        <v>65.459999999999994</v>
      </c>
      <c r="D27">
        <v>270.75</v>
      </c>
      <c r="E27">
        <v>33.409999999999997</v>
      </c>
    </row>
    <row r="28" spans="1:5" x14ac:dyDescent="0.3">
      <c r="A28" s="1">
        <v>1400</v>
      </c>
      <c r="B28">
        <v>84.05</v>
      </c>
      <c r="C28">
        <v>69.63</v>
      </c>
      <c r="D28">
        <v>273.79000000000002</v>
      </c>
      <c r="E28">
        <v>33.380000000000003</v>
      </c>
    </row>
    <row r="29" spans="1:5" x14ac:dyDescent="0.3">
      <c r="A29" s="1">
        <v>1450</v>
      </c>
      <c r="B29">
        <v>85.22</v>
      </c>
      <c r="C29">
        <v>73.86</v>
      </c>
      <c r="D29">
        <v>276.76</v>
      </c>
      <c r="E29">
        <v>33.369999999999997</v>
      </c>
    </row>
    <row r="30" spans="1:5" x14ac:dyDescent="0.3">
      <c r="A30" s="1">
        <v>1500</v>
      </c>
      <c r="B30">
        <v>86.32</v>
      </c>
      <c r="C30">
        <v>78.150000000000006</v>
      </c>
      <c r="D30">
        <v>279.66000000000003</v>
      </c>
      <c r="E30">
        <v>33.380000000000003</v>
      </c>
    </row>
    <row r="31" spans="1:5" x14ac:dyDescent="0.3">
      <c r="A31" s="1">
        <v>1550</v>
      </c>
      <c r="B31">
        <v>87.36</v>
      </c>
      <c r="C31">
        <v>82.49</v>
      </c>
      <c r="D31">
        <v>282.51</v>
      </c>
      <c r="E31">
        <v>33.39</v>
      </c>
    </row>
    <row r="32" spans="1:5" x14ac:dyDescent="0.3">
      <c r="A32" s="1">
        <v>1600</v>
      </c>
      <c r="B32">
        <v>88.35</v>
      </c>
      <c r="C32">
        <v>86.89</v>
      </c>
      <c r="D32">
        <v>285.3</v>
      </c>
      <c r="E32">
        <v>33.409999999999997</v>
      </c>
    </row>
    <row r="33" spans="1:5" x14ac:dyDescent="0.3">
      <c r="A33" s="1">
        <v>1650</v>
      </c>
      <c r="B33">
        <v>89.29</v>
      </c>
      <c r="C33">
        <v>91.33</v>
      </c>
      <c r="D33">
        <v>288.02999999999997</v>
      </c>
      <c r="E33">
        <v>33.450000000000003</v>
      </c>
    </row>
    <row r="34" spans="1:5" x14ac:dyDescent="0.3">
      <c r="A34" s="1">
        <v>1700</v>
      </c>
      <c r="B34">
        <v>90.17</v>
      </c>
      <c r="C34">
        <v>95.81</v>
      </c>
      <c r="D34">
        <v>290.70999999999998</v>
      </c>
      <c r="E34">
        <v>33.49</v>
      </c>
    </row>
    <row r="35" spans="1:5" x14ac:dyDescent="0.3">
      <c r="A35" s="1">
        <v>1750</v>
      </c>
      <c r="B35">
        <v>91</v>
      </c>
      <c r="C35">
        <v>100.34</v>
      </c>
      <c r="D35">
        <v>293.33999999999997</v>
      </c>
      <c r="E35">
        <v>33.53</v>
      </c>
    </row>
    <row r="36" spans="1:5" x14ac:dyDescent="0.3">
      <c r="A36" s="1">
        <v>1800</v>
      </c>
      <c r="B36">
        <v>91.78</v>
      </c>
      <c r="C36">
        <v>104.91</v>
      </c>
      <c r="D36">
        <v>295.91000000000003</v>
      </c>
      <c r="E36">
        <v>33.590000000000003</v>
      </c>
    </row>
    <row r="37" spans="1:5" x14ac:dyDescent="0.3">
      <c r="A37" s="1">
        <v>1850</v>
      </c>
      <c r="B37">
        <v>92.52</v>
      </c>
      <c r="C37">
        <v>109.52</v>
      </c>
      <c r="D37">
        <v>298.44</v>
      </c>
      <c r="E37">
        <v>33.64</v>
      </c>
    </row>
    <row r="38" spans="1:5" x14ac:dyDescent="0.3">
      <c r="A38" s="1">
        <v>1900</v>
      </c>
      <c r="B38">
        <v>93.22</v>
      </c>
      <c r="C38">
        <v>114.16</v>
      </c>
      <c r="D38">
        <v>300.92</v>
      </c>
      <c r="E38">
        <v>33.71</v>
      </c>
    </row>
    <row r="39" spans="1:5" x14ac:dyDescent="0.3">
      <c r="A39" s="1">
        <v>1950</v>
      </c>
      <c r="B39">
        <v>93.87</v>
      </c>
      <c r="C39">
        <v>118.84</v>
      </c>
      <c r="D39">
        <v>303.35000000000002</v>
      </c>
      <c r="E39">
        <v>33.78</v>
      </c>
    </row>
    <row r="40" spans="1:5" x14ac:dyDescent="0.3">
      <c r="A40" s="1">
        <v>2000</v>
      </c>
      <c r="B40">
        <v>94.49</v>
      </c>
      <c r="C40">
        <v>123.55</v>
      </c>
      <c r="D40">
        <v>305.73</v>
      </c>
      <c r="E40">
        <v>33.85</v>
      </c>
    </row>
    <row r="41" spans="1:5" x14ac:dyDescent="0.3">
      <c r="A41" s="1">
        <v>2050</v>
      </c>
      <c r="B41">
        <v>95.07</v>
      </c>
      <c r="C41">
        <v>128.29</v>
      </c>
      <c r="D41">
        <v>308.07</v>
      </c>
      <c r="E41">
        <v>33.92</v>
      </c>
    </row>
    <row r="42" spans="1:5" x14ac:dyDescent="0.3">
      <c r="A42" s="1">
        <v>2100</v>
      </c>
      <c r="B42">
        <v>95.62</v>
      </c>
      <c r="C42">
        <v>133.06</v>
      </c>
      <c r="D42">
        <v>310.37</v>
      </c>
      <c r="E42">
        <v>34</v>
      </c>
    </row>
    <row r="43" spans="1:5" x14ac:dyDescent="0.3">
      <c r="A43" s="1">
        <v>2150</v>
      </c>
      <c r="B43">
        <v>96.13</v>
      </c>
      <c r="C43">
        <v>137.85</v>
      </c>
      <c r="D43">
        <v>312.62</v>
      </c>
      <c r="E43">
        <v>34.08</v>
      </c>
    </row>
    <row r="44" spans="1:5" x14ac:dyDescent="0.3">
      <c r="A44" s="1">
        <v>2200</v>
      </c>
      <c r="B44">
        <v>96.61</v>
      </c>
      <c r="C44">
        <v>142.66999999999999</v>
      </c>
      <c r="D44">
        <v>314.83999999999997</v>
      </c>
      <c r="E44">
        <v>34.159999999999997</v>
      </c>
    </row>
    <row r="45" spans="1:5" x14ac:dyDescent="0.3">
      <c r="A45" s="1">
        <v>2250</v>
      </c>
      <c r="B45">
        <v>97.06</v>
      </c>
      <c r="C45">
        <v>147.51</v>
      </c>
      <c r="D45">
        <v>317.02</v>
      </c>
      <c r="E45">
        <v>34.25</v>
      </c>
    </row>
    <row r="46" spans="1:5" x14ac:dyDescent="0.3">
      <c r="A46" s="1">
        <v>2300</v>
      </c>
      <c r="B46">
        <v>97.49</v>
      </c>
      <c r="C46">
        <v>152.38</v>
      </c>
      <c r="D46">
        <v>319.14999999999998</v>
      </c>
      <c r="E46">
        <v>34.340000000000003</v>
      </c>
    </row>
    <row r="47" spans="1:5" x14ac:dyDescent="0.3">
      <c r="A47" s="1">
        <v>2350</v>
      </c>
      <c r="B47">
        <v>97.88</v>
      </c>
      <c r="C47">
        <v>157.26</v>
      </c>
      <c r="D47">
        <v>321.25</v>
      </c>
      <c r="E47">
        <v>34.42</v>
      </c>
    </row>
    <row r="48" spans="1:5" x14ac:dyDescent="0.3">
      <c r="A48" s="1">
        <v>2400</v>
      </c>
      <c r="B48">
        <v>98.26</v>
      </c>
      <c r="C48">
        <v>162.16</v>
      </c>
      <c r="D48">
        <v>323.32</v>
      </c>
      <c r="E48">
        <v>34.51</v>
      </c>
    </row>
    <row r="49" spans="1:5" x14ac:dyDescent="0.3">
      <c r="A49" s="1">
        <v>2450</v>
      </c>
      <c r="B49">
        <v>98.61</v>
      </c>
      <c r="C49">
        <v>167.09</v>
      </c>
      <c r="D49">
        <v>325.35000000000002</v>
      </c>
      <c r="E49">
        <v>34.61</v>
      </c>
    </row>
    <row r="50" spans="1:5" x14ac:dyDescent="0.3">
      <c r="A50" s="1">
        <v>2500</v>
      </c>
      <c r="B50">
        <v>98.94</v>
      </c>
      <c r="C50">
        <v>172.02</v>
      </c>
      <c r="D50">
        <v>327.33999999999997</v>
      </c>
      <c r="E50">
        <v>34.700000000000003</v>
      </c>
    </row>
    <row r="51" spans="1:5" x14ac:dyDescent="0.3">
      <c r="A51" s="1">
        <v>2550</v>
      </c>
      <c r="B51">
        <v>99.25</v>
      </c>
      <c r="C51">
        <v>176.98</v>
      </c>
      <c r="D51">
        <v>329.31</v>
      </c>
      <c r="E51">
        <v>34.79</v>
      </c>
    </row>
    <row r="52" spans="1:5" x14ac:dyDescent="0.3">
      <c r="A52" s="1">
        <v>2600</v>
      </c>
      <c r="B52">
        <v>99.54</v>
      </c>
      <c r="C52">
        <v>181.95</v>
      </c>
      <c r="D52">
        <v>331.24</v>
      </c>
      <c r="E52">
        <v>34.89</v>
      </c>
    </row>
    <row r="53" spans="1:5" x14ac:dyDescent="0.3">
      <c r="A53" s="1">
        <v>2650</v>
      </c>
      <c r="B53">
        <v>99.82</v>
      </c>
      <c r="C53">
        <v>186.93</v>
      </c>
      <c r="D53">
        <v>333.14</v>
      </c>
      <c r="E53">
        <v>34.979999999999997</v>
      </c>
    </row>
    <row r="54" spans="1:5" x14ac:dyDescent="0.3">
      <c r="A54" s="1">
        <v>2700</v>
      </c>
      <c r="B54">
        <v>100.08</v>
      </c>
      <c r="C54">
        <v>191.93</v>
      </c>
      <c r="D54">
        <v>335</v>
      </c>
      <c r="E54">
        <v>35.08</v>
      </c>
    </row>
    <row r="55" spans="1:5" x14ac:dyDescent="0.3">
      <c r="A55" s="1">
        <v>2750</v>
      </c>
      <c r="B55">
        <v>100.32</v>
      </c>
      <c r="C55">
        <v>196.94</v>
      </c>
      <c r="D55">
        <v>336.84</v>
      </c>
      <c r="E55">
        <v>35.18</v>
      </c>
    </row>
    <row r="56" spans="1:5" x14ac:dyDescent="0.3">
      <c r="A56" s="1">
        <v>2800</v>
      </c>
      <c r="B56">
        <v>100.55</v>
      </c>
      <c r="C56">
        <v>201.96</v>
      </c>
      <c r="D56">
        <v>338.65</v>
      </c>
      <c r="E56">
        <v>35.270000000000003</v>
      </c>
    </row>
    <row r="57" spans="1:5" x14ac:dyDescent="0.3">
      <c r="A57" s="1">
        <v>2850</v>
      </c>
      <c r="B57">
        <v>100.77</v>
      </c>
      <c r="C57">
        <v>207</v>
      </c>
      <c r="D57">
        <v>340.43</v>
      </c>
      <c r="E57">
        <v>35.369999999999997</v>
      </c>
    </row>
    <row r="58" spans="1:5" x14ac:dyDescent="0.3">
      <c r="A58" s="1">
        <v>2900</v>
      </c>
      <c r="B58">
        <v>100.98</v>
      </c>
      <c r="C58">
        <v>212.04</v>
      </c>
      <c r="D58">
        <v>342.19</v>
      </c>
      <c r="E58">
        <v>35.47</v>
      </c>
    </row>
    <row r="59" spans="1:5" x14ac:dyDescent="0.3">
      <c r="A59" s="1">
        <v>2950</v>
      </c>
      <c r="B59">
        <v>101.18</v>
      </c>
      <c r="C59">
        <v>217.09</v>
      </c>
      <c r="D59">
        <v>343.92</v>
      </c>
      <c r="E59">
        <v>35.57</v>
      </c>
    </row>
    <row r="60" spans="1:5" x14ac:dyDescent="0.3">
      <c r="A60" s="1">
        <v>3000</v>
      </c>
      <c r="B60">
        <v>101.37</v>
      </c>
      <c r="C60">
        <v>222.16</v>
      </c>
      <c r="D60">
        <v>345.62</v>
      </c>
      <c r="E60">
        <v>35.67</v>
      </c>
    </row>
    <row r="61" spans="1:5" x14ac:dyDescent="0.3">
      <c r="A61" s="1">
        <v>3050</v>
      </c>
      <c r="B61">
        <v>101.55</v>
      </c>
      <c r="C61">
        <v>227.23</v>
      </c>
      <c r="D61">
        <v>347.3</v>
      </c>
      <c r="E61">
        <v>35.76</v>
      </c>
    </row>
    <row r="62" spans="1:5" x14ac:dyDescent="0.3">
      <c r="A62" s="1">
        <v>3100</v>
      </c>
      <c r="B62">
        <v>101.72</v>
      </c>
      <c r="C62">
        <v>232.31</v>
      </c>
      <c r="D62">
        <v>348.95</v>
      </c>
      <c r="E62">
        <v>35.86</v>
      </c>
    </row>
    <row r="63" spans="1:5" x14ac:dyDescent="0.3">
      <c r="A63" s="1">
        <v>3150</v>
      </c>
      <c r="B63">
        <v>101.89</v>
      </c>
      <c r="C63">
        <v>237.4</v>
      </c>
      <c r="D63">
        <v>350.58</v>
      </c>
      <c r="E63">
        <v>35.96</v>
      </c>
    </row>
    <row r="64" spans="1:5" x14ac:dyDescent="0.3">
      <c r="A64" s="1">
        <v>3200</v>
      </c>
      <c r="B64">
        <v>102.05</v>
      </c>
      <c r="C64">
        <v>242.5</v>
      </c>
      <c r="D64">
        <v>352.18</v>
      </c>
      <c r="E64">
        <v>36.06</v>
      </c>
    </row>
    <row r="65" spans="1:5" x14ac:dyDescent="0.3">
      <c r="A65" s="1">
        <v>3250</v>
      </c>
      <c r="B65">
        <v>102.2</v>
      </c>
      <c r="C65">
        <v>247.61</v>
      </c>
      <c r="D65">
        <v>353.77</v>
      </c>
      <c r="E65">
        <v>36.159999999999997</v>
      </c>
    </row>
    <row r="66" spans="1:5" x14ac:dyDescent="0.3">
      <c r="A66" s="1">
        <v>3300</v>
      </c>
      <c r="B66">
        <v>102.35</v>
      </c>
      <c r="C66">
        <v>252.72</v>
      </c>
      <c r="D66">
        <v>355.33</v>
      </c>
      <c r="E66">
        <v>36.26</v>
      </c>
    </row>
    <row r="67" spans="1:5" x14ac:dyDescent="0.3">
      <c r="A67" s="1">
        <v>3350</v>
      </c>
      <c r="B67">
        <v>102.5</v>
      </c>
      <c r="C67">
        <v>257.83999999999997</v>
      </c>
      <c r="D67">
        <v>356.87</v>
      </c>
      <c r="E67">
        <v>36.35</v>
      </c>
    </row>
    <row r="68" spans="1:5" x14ac:dyDescent="0.3">
      <c r="A68" s="1">
        <v>3400</v>
      </c>
      <c r="B68">
        <v>102.64</v>
      </c>
      <c r="C68">
        <v>262.97000000000003</v>
      </c>
      <c r="D68">
        <v>358.39</v>
      </c>
      <c r="E68">
        <v>36.450000000000003</v>
      </c>
    </row>
    <row r="69" spans="1:5" x14ac:dyDescent="0.3">
      <c r="A69" s="1">
        <v>3450</v>
      </c>
      <c r="B69">
        <v>102.78</v>
      </c>
      <c r="C69">
        <v>268.11</v>
      </c>
      <c r="D69">
        <v>359.89</v>
      </c>
      <c r="E69">
        <v>36.549999999999997</v>
      </c>
    </row>
    <row r="70" spans="1:5" x14ac:dyDescent="0.3">
      <c r="A70" s="1">
        <v>3500</v>
      </c>
      <c r="B70">
        <v>102.92</v>
      </c>
      <c r="C70">
        <v>273.25</v>
      </c>
      <c r="D70">
        <v>361.37</v>
      </c>
      <c r="E70">
        <v>36.65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15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28.52</v>
      </c>
      <c r="C3">
        <v>2.82</v>
      </c>
      <c r="D3">
        <v>119.13</v>
      </c>
      <c r="E3">
        <v>16.02</v>
      </c>
    </row>
    <row r="4" spans="1:5" x14ac:dyDescent="0.3">
      <c r="A4">
        <v>250</v>
      </c>
      <c r="B4">
        <v>28.71</v>
      </c>
      <c r="C4">
        <v>1.39</v>
      </c>
      <c r="D4">
        <v>125.52</v>
      </c>
      <c r="E4">
        <v>15.76</v>
      </c>
    </row>
    <row r="5" spans="1:5" x14ac:dyDescent="0.3">
      <c r="A5">
        <v>298</v>
      </c>
      <c r="B5">
        <v>28.87</v>
      </c>
      <c r="C5">
        <v>0</v>
      </c>
      <c r="D5">
        <v>130.59</v>
      </c>
      <c r="E5">
        <v>15.71</v>
      </c>
    </row>
    <row r="6" spans="1:5" x14ac:dyDescent="0.3">
      <c r="A6">
        <v>300</v>
      </c>
      <c r="B6">
        <v>28.88</v>
      </c>
      <c r="C6">
        <v>0.05</v>
      </c>
      <c r="D6">
        <v>130.77000000000001</v>
      </c>
      <c r="E6">
        <v>15.71</v>
      </c>
    </row>
    <row r="7" spans="1:5" x14ac:dyDescent="0.3">
      <c r="A7">
        <v>350</v>
      </c>
      <c r="B7">
        <v>29.01</v>
      </c>
      <c r="C7">
        <v>1.5</v>
      </c>
      <c r="D7">
        <v>135.22999999999999</v>
      </c>
      <c r="E7">
        <v>15.75</v>
      </c>
    </row>
    <row r="8" spans="1:5" x14ac:dyDescent="0.3">
      <c r="A8">
        <v>400</v>
      </c>
      <c r="B8">
        <v>29.12</v>
      </c>
      <c r="C8">
        <v>2.95</v>
      </c>
      <c r="D8">
        <v>139.11000000000001</v>
      </c>
      <c r="E8">
        <v>15.84</v>
      </c>
    </row>
    <row r="9" spans="1:5" x14ac:dyDescent="0.3">
      <c r="A9">
        <v>450</v>
      </c>
      <c r="B9">
        <v>29.21</v>
      </c>
      <c r="C9">
        <v>4.41</v>
      </c>
      <c r="D9">
        <v>142.54</v>
      </c>
      <c r="E9">
        <v>15.97</v>
      </c>
    </row>
    <row r="10" spans="1:5" x14ac:dyDescent="0.3">
      <c r="A10">
        <v>500</v>
      </c>
      <c r="B10">
        <v>29.27</v>
      </c>
      <c r="C10">
        <v>5.87</v>
      </c>
      <c r="D10">
        <v>145.63</v>
      </c>
      <c r="E10">
        <v>16.100000000000001</v>
      </c>
    </row>
    <row r="11" spans="1:5" x14ac:dyDescent="0.3">
      <c r="A11">
        <v>550</v>
      </c>
      <c r="B11">
        <v>29.33</v>
      </c>
      <c r="C11">
        <v>7.34</v>
      </c>
      <c r="D11">
        <v>148.41999999999999</v>
      </c>
      <c r="E11">
        <v>16.25</v>
      </c>
    </row>
    <row r="12" spans="1:5" x14ac:dyDescent="0.3">
      <c r="A12">
        <v>600</v>
      </c>
      <c r="B12">
        <v>29.37</v>
      </c>
      <c r="C12">
        <v>8.81</v>
      </c>
      <c r="D12">
        <v>150.97</v>
      </c>
      <c r="E12">
        <v>16.39</v>
      </c>
    </row>
    <row r="13" spans="1:5" x14ac:dyDescent="0.3">
      <c r="A13">
        <v>650</v>
      </c>
      <c r="B13">
        <v>29.42</v>
      </c>
      <c r="C13">
        <v>10.28</v>
      </c>
      <c r="D13">
        <v>153.32</v>
      </c>
      <c r="E13">
        <v>16.54</v>
      </c>
    </row>
    <row r="14" spans="1:5" x14ac:dyDescent="0.3">
      <c r="A14">
        <v>700</v>
      </c>
      <c r="B14">
        <v>29.46</v>
      </c>
      <c r="C14">
        <v>11.75</v>
      </c>
      <c r="D14">
        <v>155.51</v>
      </c>
      <c r="E14">
        <v>16.690000000000001</v>
      </c>
    </row>
    <row r="15" spans="1:5" x14ac:dyDescent="0.3">
      <c r="A15">
        <v>750</v>
      </c>
      <c r="B15">
        <v>29.51</v>
      </c>
      <c r="C15">
        <v>13.22</v>
      </c>
      <c r="D15">
        <v>157.54</v>
      </c>
      <c r="E15">
        <v>16.829999999999998</v>
      </c>
    </row>
    <row r="16" spans="1:5" x14ac:dyDescent="0.3">
      <c r="A16">
        <v>800</v>
      </c>
      <c r="B16">
        <v>29.58</v>
      </c>
      <c r="C16">
        <v>14.7</v>
      </c>
      <c r="D16">
        <v>159.44999999999999</v>
      </c>
      <c r="E16">
        <v>16.97</v>
      </c>
    </row>
    <row r="17" spans="1:5" x14ac:dyDescent="0.3">
      <c r="A17">
        <v>850</v>
      </c>
      <c r="B17">
        <v>29.67</v>
      </c>
      <c r="C17">
        <v>16.18</v>
      </c>
      <c r="D17">
        <v>161.24</v>
      </c>
      <c r="E17">
        <v>17.100000000000001</v>
      </c>
    </row>
    <row r="18" spans="1:5" x14ac:dyDescent="0.3">
      <c r="A18">
        <v>900</v>
      </c>
      <c r="B18">
        <v>29.79</v>
      </c>
      <c r="C18">
        <v>17.670000000000002</v>
      </c>
      <c r="D18">
        <v>162.94</v>
      </c>
      <c r="E18">
        <v>17.239999999999998</v>
      </c>
    </row>
    <row r="19" spans="1:5" x14ac:dyDescent="0.3">
      <c r="A19">
        <v>950</v>
      </c>
      <c r="B19">
        <v>29.95</v>
      </c>
      <c r="C19">
        <v>19.16</v>
      </c>
      <c r="D19">
        <v>164.56</v>
      </c>
      <c r="E19">
        <v>17.37</v>
      </c>
    </row>
    <row r="20" spans="1:5" x14ac:dyDescent="0.3">
      <c r="A20" s="1">
        <v>1000</v>
      </c>
      <c r="B20">
        <v>30.16</v>
      </c>
      <c r="C20">
        <v>20.66</v>
      </c>
      <c r="D20">
        <v>166.1</v>
      </c>
      <c r="E20">
        <v>17.489999999999998</v>
      </c>
    </row>
    <row r="21" spans="1:5" x14ac:dyDescent="0.3">
      <c r="A21" s="1">
        <v>1050</v>
      </c>
      <c r="B21">
        <v>30.39</v>
      </c>
      <c r="C21">
        <v>22.18</v>
      </c>
      <c r="D21">
        <v>167.58</v>
      </c>
      <c r="E21">
        <v>17.62</v>
      </c>
    </row>
    <row r="22" spans="1:5" x14ac:dyDescent="0.3">
      <c r="A22" s="1">
        <v>1100</v>
      </c>
      <c r="B22">
        <v>30.62</v>
      </c>
      <c r="C22">
        <v>23.7</v>
      </c>
      <c r="D22">
        <v>168.99</v>
      </c>
      <c r="E22">
        <v>17.73</v>
      </c>
    </row>
    <row r="23" spans="1:5" x14ac:dyDescent="0.3">
      <c r="A23" s="1">
        <v>1150</v>
      </c>
      <c r="B23">
        <v>30.85</v>
      </c>
      <c r="C23">
        <v>25.24</v>
      </c>
      <c r="D23">
        <v>170.36</v>
      </c>
      <c r="E23">
        <v>17.850000000000001</v>
      </c>
    </row>
    <row r="24" spans="1:5" x14ac:dyDescent="0.3">
      <c r="A24" s="1">
        <v>1200</v>
      </c>
      <c r="B24">
        <v>31.08</v>
      </c>
      <c r="C24">
        <v>26.79</v>
      </c>
      <c r="D24">
        <v>171.68</v>
      </c>
      <c r="E24">
        <v>17.96</v>
      </c>
    </row>
    <row r="25" spans="1:5" x14ac:dyDescent="0.3">
      <c r="A25" s="1">
        <v>1250</v>
      </c>
      <c r="B25">
        <v>31.3</v>
      </c>
      <c r="C25">
        <v>28.35</v>
      </c>
      <c r="D25">
        <v>172.95</v>
      </c>
      <c r="E25">
        <v>18.07</v>
      </c>
    </row>
    <row r="26" spans="1:5" x14ac:dyDescent="0.3">
      <c r="A26" s="1">
        <v>1300</v>
      </c>
      <c r="B26">
        <v>31.51</v>
      </c>
      <c r="C26">
        <v>29.92</v>
      </c>
      <c r="D26">
        <v>174.18</v>
      </c>
      <c r="E26">
        <v>18.18</v>
      </c>
    </row>
    <row r="27" spans="1:5" x14ac:dyDescent="0.3">
      <c r="A27" s="1">
        <v>1350</v>
      </c>
      <c r="B27">
        <v>31.73</v>
      </c>
      <c r="C27">
        <v>31.5</v>
      </c>
      <c r="D27">
        <v>175.38</v>
      </c>
      <c r="E27">
        <v>18.29</v>
      </c>
    </row>
    <row r="28" spans="1:5" x14ac:dyDescent="0.3">
      <c r="A28" s="1">
        <v>1400</v>
      </c>
      <c r="B28">
        <v>31.94</v>
      </c>
      <c r="C28">
        <v>33.090000000000003</v>
      </c>
      <c r="D28">
        <v>176.53</v>
      </c>
      <c r="E28">
        <v>18.39</v>
      </c>
    </row>
    <row r="29" spans="1:5" x14ac:dyDescent="0.3">
      <c r="A29" s="1">
        <v>1450</v>
      </c>
      <c r="B29">
        <v>32.15</v>
      </c>
      <c r="C29">
        <v>34.69</v>
      </c>
      <c r="D29">
        <v>177.66</v>
      </c>
      <c r="E29">
        <v>18.489999999999998</v>
      </c>
    </row>
    <row r="30" spans="1:5" x14ac:dyDescent="0.3">
      <c r="A30" s="1">
        <v>1500</v>
      </c>
      <c r="B30">
        <v>32.35</v>
      </c>
      <c r="C30">
        <v>36.299999999999997</v>
      </c>
      <c r="D30">
        <v>178.75</v>
      </c>
      <c r="E30">
        <v>18.59</v>
      </c>
    </row>
    <row r="31" spans="1:5" x14ac:dyDescent="0.3">
      <c r="A31" s="1">
        <v>1550</v>
      </c>
      <c r="B31">
        <v>32.56</v>
      </c>
      <c r="C31">
        <v>37.93</v>
      </c>
      <c r="D31">
        <v>179.82</v>
      </c>
      <c r="E31">
        <v>18.68</v>
      </c>
    </row>
    <row r="32" spans="1:5" x14ac:dyDescent="0.3">
      <c r="A32" s="1">
        <v>1600</v>
      </c>
      <c r="B32">
        <v>32.76</v>
      </c>
      <c r="C32">
        <v>39.56</v>
      </c>
      <c r="D32">
        <v>180.85</v>
      </c>
      <c r="E32">
        <v>18.78</v>
      </c>
    </row>
    <row r="33" spans="1:5" x14ac:dyDescent="0.3">
      <c r="A33" s="1">
        <v>1650</v>
      </c>
      <c r="B33">
        <v>32.950000000000003</v>
      </c>
      <c r="C33">
        <v>41.2</v>
      </c>
      <c r="D33">
        <v>181.86</v>
      </c>
      <c r="E33">
        <v>18.87</v>
      </c>
    </row>
    <row r="34" spans="1:5" x14ac:dyDescent="0.3">
      <c r="A34" s="1">
        <v>1700</v>
      </c>
      <c r="B34">
        <v>33.14</v>
      </c>
      <c r="C34">
        <v>42.86</v>
      </c>
      <c r="D34">
        <v>182.85</v>
      </c>
      <c r="E34">
        <v>18.96</v>
      </c>
    </row>
    <row r="35" spans="1:5" x14ac:dyDescent="0.3">
      <c r="A35" s="1">
        <v>1750</v>
      </c>
      <c r="B35">
        <v>33.33</v>
      </c>
      <c r="C35">
        <v>44.52</v>
      </c>
      <c r="D35">
        <v>183.81</v>
      </c>
      <c r="E35">
        <v>19.05</v>
      </c>
    </row>
    <row r="36" spans="1:5" x14ac:dyDescent="0.3">
      <c r="A36" s="1">
        <v>1800</v>
      </c>
      <c r="B36">
        <v>33.520000000000003</v>
      </c>
      <c r="C36">
        <v>46.19</v>
      </c>
      <c r="D36">
        <v>184.76</v>
      </c>
      <c r="E36">
        <v>19.14</v>
      </c>
    </row>
    <row r="37" spans="1:5" x14ac:dyDescent="0.3">
      <c r="A37" s="1">
        <v>1850</v>
      </c>
      <c r="B37">
        <v>33.700000000000003</v>
      </c>
      <c r="C37">
        <v>47.87</v>
      </c>
      <c r="D37">
        <v>185.68</v>
      </c>
      <c r="E37">
        <v>19.22</v>
      </c>
    </row>
    <row r="38" spans="1:5" x14ac:dyDescent="0.3">
      <c r="A38" s="1">
        <v>1900</v>
      </c>
      <c r="B38">
        <v>33.880000000000003</v>
      </c>
      <c r="C38">
        <v>49.56</v>
      </c>
      <c r="D38">
        <v>186.58</v>
      </c>
      <c r="E38">
        <v>19.3</v>
      </c>
    </row>
    <row r="39" spans="1:5" x14ac:dyDescent="0.3">
      <c r="A39" s="1">
        <v>1950</v>
      </c>
      <c r="B39">
        <v>34.06</v>
      </c>
      <c r="C39">
        <v>51.26</v>
      </c>
      <c r="D39">
        <v>187.46</v>
      </c>
      <c r="E39">
        <v>19.39</v>
      </c>
    </row>
    <row r="40" spans="1:5" x14ac:dyDescent="0.3">
      <c r="A40" s="1">
        <v>2000</v>
      </c>
      <c r="B40">
        <v>34.229999999999997</v>
      </c>
      <c r="C40">
        <v>52.97</v>
      </c>
      <c r="D40">
        <v>188.33</v>
      </c>
      <c r="E40">
        <v>19.47</v>
      </c>
    </row>
    <row r="41" spans="1:5" x14ac:dyDescent="0.3">
      <c r="A41" s="1">
        <v>2050</v>
      </c>
      <c r="B41">
        <v>34.409999999999997</v>
      </c>
      <c r="C41">
        <v>54.68</v>
      </c>
      <c r="D41">
        <v>189.17</v>
      </c>
      <c r="E41">
        <v>19.55</v>
      </c>
    </row>
    <row r="42" spans="1:5" x14ac:dyDescent="0.3">
      <c r="A42" s="1">
        <v>2100</v>
      </c>
      <c r="B42">
        <v>34.57</v>
      </c>
      <c r="C42">
        <v>56.41</v>
      </c>
      <c r="D42">
        <v>190</v>
      </c>
      <c r="E42">
        <v>19.62</v>
      </c>
    </row>
    <row r="43" spans="1:5" x14ac:dyDescent="0.3">
      <c r="A43" s="1">
        <v>2150</v>
      </c>
      <c r="B43">
        <v>34.74</v>
      </c>
      <c r="C43">
        <v>58.14</v>
      </c>
      <c r="D43">
        <v>190.82</v>
      </c>
      <c r="E43">
        <v>19.7</v>
      </c>
    </row>
    <row r="44" spans="1:5" x14ac:dyDescent="0.3">
      <c r="A44" s="1">
        <v>2200</v>
      </c>
      <c r="B44">
        <v>34.9</v>
      </c>
      <c r="C44">
        <v>59.88</v>
      </c>
      <c r="D44">
        <v>191.62</v>
      </c>
      <c r="E44">
        <v>19.77</v>
      </c>
    </row>
    <row r="45" spans="1:5" x14ac:dyDescent="0.3">
      <c r="A45" s="1">
        <v>2250</v>
      </c>
      <c r="B45">
        <v>35.06</v>
      </c>
      <c r="C45">
        <v>61.63</v>
      </c>
      <c r="D45">
        <v>192.41</v>
      </c>
      <c r="E45">
        <v>19.850000000000001</v>
      </c>
    </row>
    <row r="46" spans="1:5" x14ac:dyDescent="0.3">
      <c r="A46" s="1">
        <v>2300</v>
      </c>
      <c r="B46">
        <v>35.21</v>
      </c>
      <c r="C46">
        <v>63.39</v>
      </c>
      <c r="D46">
        <v>193.18</v>
      </c>
      <c r="E46">
        <v>19.920000000000002</v>
      </c>
    </row>
    <row r="47" spans="1:5" x14ac:dyDescent="0.3">
      <c r="A47" s="1">
        <v>2350</v>
      </c>
      <c r="B47">
        <v>35.369999999999997</v>
      </c>
      <c r="C47">
        <v>65.150000000000006</v>
      </c>
      <c r="D47">
        <v>193.94</v>
      </c>
      <c r="E47">
        <v>19.989999999999998</v>
      </c>
    </row>
    <row r="48" spans="1:5" x14ac:dyDescent="0.3">
      <c r="A48" s="1">
        <v>2400</v>
      </c>
      <c r="B48">
        <v>35.520000000000003</v>
      </c>
      <c r="C48">
        <v>66.92</v>
      </c>
      <c r="D48">
        <v>194.68</v>
      </c>
      <c r="E48">
        <v>20.059999999999999</v>
      </c>
    </row>
    <row r="49" spans="1:5" x14ac:dyDescent="0.3">
      <c r="A49" s="1">
        <v>2450</v>
      </c>
      <c r="B49">
        <v>35.659999999999997</v>
      </c>
      <c r="C49">
        <v>68.7</v>
      </c>
      <c r="D49">
        <v>195.42</v>
      </c>
      <c r="E49">
        <v>20.13</v>
      </c>
    </row>
    <row r="50" spans="1:5" x14ac:dyDescent="0.3">
      <c r="A50" s="1">
        <v>2500</v>
      </c>
      <c r="B50">
        <v>35.81</v>
      </c>
      <c r="C50">
        <v>70.489999999999995</v>
      </c>
      <c r="D50">
        <v>196.14</v>
      </c>
      <c r="E50">
        <v>20.2</v>
      </c>
    </row>
    <row r="51" spans="1:5" x14ac:dyDescent="0.3">
      <c r="A51" s="1">
        <v>2550</v>
      </c>
      <c r="B51">
        <v>35.950000000000003</v>
      </c>
      <c r="C51">
        <v>72.28</v>
      </c>
      <c r="D51">
        <v>196.85</v>
      </c>
      <c r="E51">
        <v>20.27</v>
      </c>
    </row>
    <row r="52" spans="1:5" x14ac:dyDescent="0.3">
      <c r="A52" s="1">
        <v>2600</v>
      </c>
      <c r="B52">
        <v>36.090000000000003</v>
      </c>
      <c r="C52">
        <v>74.08</v>
      </c>
      <c r="D52">
        <v>197.55</v>
      </c>
      <c r="E52">
        <v>20.329999999999998</v>
      </c>
    </row>
    <row r="53" spans="1:5" x14ac:dyDescent="0.3">
      <c r="A53" s="1">
        <v>2650</v>
      </c>
      <c r="B53">
        <v>36.229999999999997</v>
      </c>
      <c r="C53">
        <v>75.89</v>
      </c>
      <c r="D53">
        <v>198.24</v>
      </c>
      <c r="E53">
        <v>20.399999999999999</v>
      </c>
    </row>
    <row r="54" spans="1:5" x14ac:dyDescent="0.3">
      <c r="A54" s="1">
        <v>2700</v>
      </c>
      <c r="B54">
        <v>36.36</v>
      </c>
      <c r="C54">
        <v>77.709999999999994</v>
      </c>
      <c r="D54">
        <v>198.92</v>
      </c>
      <c r="E54">
        <v>20.46</v>
      </c>
    </row>
    <row r="55" spans="1:5" x14ac:dyDescent="0.3">
      <c r="A55" s="1">
        <v>2750</v>
      </c>
      <c r="B55">
        <v>36.49</v>
      </c>
      <c r="C55">
        <v>79.53</v>
      </c>
      <c r="D55">
        <v>199.58</v>
      </c>
      <c r="E55">
        <v>20.53</v>
      </c>
    </row>
    <row r="56" spans="1:5" x14ac:dyDescent="0.3">
      <c r="A56" s="1">
        <v>2800</v>
      </c>
      <c r="B56">
        <v>36.619999999999997</v>
      </c>
      <c r="C56">
        <v>81.349999999999994</v>
      </c>
      <c r="D56">
        <v>200.24</v>
      </c>
      <c r="E56">
        <v>20.59</v>
      </c>
    </row>
    <row r="57" spans="1:5" x14ac:dyDescent="0.3">
      <c r="A57" s="1">
        <v>2850</v>
      </c>
      <c r="B57">
        <v>36.75</v>
      </c>
      <c r="C57">
        <v>83.19</v>
      </c>
      <c r="D57">
        <v>200.89</v>
      </c>
      <c r="E57">
        <v>20.65</v>
      </c>
    </row>
    <row r="58" spans="1:5" x14ac:dyDescent="0.3">
      <c r="A58" s="1">
        <v>2900</v>
      </c>
      <c r="B58">
        <v>36.869999999999997</v>
      </c>
      <c r="C58">
        <v>85.03</v>
      </c>
      <c r="D58">
        <v>201.53</v>
      </c>
      <c r="E58">
        <v>20.71</v>
      </c>
    </row>
    <row r="59" spans="1:5" x14ac:dyDescent="0.3">
      <c r="A59" s="1">
        <v>2950</v>
      </c>
      <c r="B59">
        <v>36.99</v>
      </c>
      <c r="C59">
        <v>86.88</v>
      </c>
      <c r="D59">
        <v>202.16</v>
      </c>
      <c r="E59">
        <v>20.77</v>
      </c>
    </row>
    <row r="60" spans="1:5" x14ac:dyDescent="0.3">
      <c r="A60" s="1">
        <v>3000</v>
      </c>
      <c r="B60">
        <v>37.11</v>
      </c>
      <c r="C60">
        <v>88.73</v>
      </c>
      <c r="D60">
        <v>202.79</v>
      </c>
      <c r="E60">
        <v>20.83</v>
      </c>
    </row>
    <row r="61" spans="1:5" x14ac:dyDescent="0.3">
      <c r="A61" s="1">
        <v>3050</v>
      </c>
      <c r="B61">
        <v>37.229999999999997</v>
      </c>
      <c r="C61">
        <v>90.59</v>
      </c>
      <c r="D61">
        <v>203.4</v>
      </c>
      <c r="E61">
        <v>20.89</v>
      </c>
    </row>
    <row r="62" spans="1:5" x14ac:dyDescent="0.3">
      <c r="A62" s="1">
        <v>3100</v>
      </c>
      <c r="B62">
        <v>37.340000000000003</v>
      </c>
      <c r="C62">
        <v>92.45</v>
      </c>
      <c r="D62">
        <v>204.01</v>
      </c>
      <c r="E62">
        <v>20.95</v>
      </c>
    </row>
    <row r="63" spans="1:5" x14ac:dyDescent="0.3">
      <c r="A63" s="1">
        <v>3150</v>
      </c>
      <c r="B63">
        <v>37.450000000000003</v>
      </c>
      <c r="C63">
        <v>94.32</v>
      </c>
      <c r="D63">
        <v>204.61</v>
      </c>
      <c r="E63">
        <v>21.01</v>
      </c>
    </row>
    <row r="64" spans="1:5" x14ac:dyDescent="0.3">
      <c r="A64" s="1">
        <v>3200</v>
      </c>
      <c r="B64">
        <v>37.56</v>
      </c>
      <c r="C64">
        <v>96.2</v>
      </c>
      <c r="D64">
        <v>205.2</v>
      </c>
      <c r="E64">
        <v>21.06</v>
      </c>
    </row>
    <row r="65" spans="1:5" x14ac:dyDescent="0.3">
      <c r="A65" s="1">
        <v>3250</v>
      </c>
      <c r="B65">
        <v>37.67</v>
      </c>
      <c r="C65">
        <v>98.08</v>
      </c>
      <c r="D65">
        <v>205.78</v>
      </c>
      <c r="E65">
        <v>21.12</v>
      </c>
    </row>
    <row r="66" spans="1:5" x14ac:dyDescent="0.3">
      <c r="A66" s="1">
        <v>3300</v>
      </c>
      <c r="B66">
        <v>37.78</v>
      </c>
      <c r="C66">
        <v>99.96</v>
      </c>
      <c r="D66">
        <v>206.36</v>
      </c>
      <c r="E66">
        <v>21.18</v>
      </c>
    </row>
    <row r="67" spans="1:5" x14ac:dyDescent="0.3">
      <c r="A67" s="1">
        <v>3350</v>
      </c>
      <c r="B67">
        <v>37.880000000000003</v>
      </c>
      <c r="C67">
        <v>101.86</v>
      </c>
      <c r="D67">
        <v>206.92</v>
      </c>
      <c r="E67">
        <v>21.23</v>
      </c>
    </row>
    <row r="68" spans="1:5" x14ac:dyDescent="0.3">
      <c r="A68" s="1">
        <v>3400</v>
      </c>
      <c r="B68">
        <v>37.99</v>
      </c>
      <c r="C68">
        <v>103.75</v>
      </c>
      <c r="D68">
        <v>207.49</v>
      </c>
      <c r="E68">
        <v>21.29</v>
      </c>
    </row>
    <row r="69" spans="1:5" x14ac:dyDescent="0.3">
      <c r="A69" s="1">
        <v>3450</v>
      </c>
      <c r="B69">
        <v>38.090000000000003</v>
      </c>
      <c r="C69">
        <v>105.65</v>
      </c>
      <c r="D69">
        <v>208.04</v>
      </c>
      <c r="E69">
        <v>21.34</v>
      </c>
    </row>
    <row r="70" spans="1:5" x14ac:dyDescent="0.3">
      <c r="A70" s="1">
        <v>3500</v>
      </c>
      <c r="B70">
        <v>38.19</v>
      </c>
      <c r="C70">
        <v>107.56</v>
      </c>
      <c r="D70">
        <v>208.59</v>
      </c>
      <c r="E70">
        <v>21.39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17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20.79</v>
      </c>
      <c r="C3">
        <v>2.04</v>
      </c>
      <c r="D3">
        <v>106.3</v>
      </c>
      <c r="E3">
        <v>117.07</v>
      </c>
    </row>
    <row r="4" spans="1:5" x14ac:dyDescent="0.3">
      <c r="A4">
        <v>250</v>
      </c>
      <c r="B4">
        <v>20.79</v>
      </c>
      <c r="C4">
        <v>1</v>
      </c>
      <c r="D4">
        <v>110.94</v>
      </c>
      <c r="E4">
        <v>91.04</v>
      </c>
    </row>
    <row r="5" spans="1:5" x14ac:dyDescent="0.3">
      <c r="A5">
        <v>298</v>
      </c>
      <c r="B5">
        <v>20.79</v>
      </c>
      <c r="C5">
        <v>0</v>
      </c>
      <c r="D5">
        <v>114.6</v>
      </c>
      <c r="E5">
        <v>74.150000000000006</v>
      </c>
    </row>
    <row r="6" spans="1:5" x14ac:dyDescent="0.3">
      <c r="A6">
        <v>300</v>
      </c>
      <c r="B6">
        <v>20.79</v>
      </c>
      <c r="C6">
        <v>0.04</v>
      </c>
      <c r="D6">
        <v>114.73</v>
      </c>
      <c r="E6">
        <v>73.61</v>
      </c>
    </row>
    <row r="7" spans="1:5" x14ac:dyDescent="0.3">
      <c r="A7">
        <v>350</v>
      </c>
      <c r="B7">
        <v>20.79</v>
      </c>
      <c r="C7">
        <v>1.08</v>
      </c>
      <c r="D7">
        <v>117.93</v>
      </c>
      <c r="E7">
        <v>61.09</v>
      </c>
    </row>
    <row r="8" spans="1:5" x14ac:dyDescent="0.3">
      <c r="A8">
        <v>400</v>
      </c>
      <c r="B8">
        <v>20.79</v>
      </c>
      <c r="C8">
        <v>2.12</v>
      </c>
      <c r="D8">
        <v>120.71</v>
      </c>
      <c r="E8">
        <v>51.66</v>
      </c>
    </row>
    <row r="9" spans="1:5" x14ac:dyDescent="0.3">
      <c r="A9">
        <v>450</v>
      </c>
      <c r="B9">
        <v>20.79</v>
      </c>
      <c r="C9">
        <v>3.16</v>
      </c>
      <c r="D9">
        <v>123.16</v>
      </c>
      <c r="E9">
        <v>44.29</v>
      </c>
    </row>
    <row r="10" spans="1:5" x14ac:dyDescent="0.3">
      <c r="A10">
        <v>500</v>
      </c>
      <c r="B10">
        <v>20.79</v>
      </c>
      <c r="C10">
        <v>4.2</v>
      </c>
      <c r="D10">
        <v>125.35</v>
      </c>
      <c r="E10">
        <v>38.369999999999997</v>
      </c>
    </row>
    <row r="11" spans="1:5" x14ac:dyDescent="0.3">
      <c r="A11">
        <v>550</v>
      </c>
      <c r="B11">
        <v>20.79</v>
      </c>
      <c r="C11">
        <v>5.23</v>
      </c>
      <c r="D11">
        <v>127.33</v>
      </c>
      <c r="E11">
        <v>33.5</v>
      </c>
    </row>
    <row r="12" spans="1:5" x14ac:dyDescent="0.3">
      <c r="A12">
        <v>600</v>
      </c>
      <c r="B12">
        <v>20.79</v>
      </c>
      <c r="C12">
        <v>6.27</v>
      </c>
      <c r="D12">
        <v>129.13</v>
      </c>
      <c r="E12">
        <v>29.42</v>
      </c>
    </row>
    <row r="13" spans="1:5" x14ac:dyDescent="0.3">
      <c r="A13">
        <v>650</v>
      </c>
      <c r="B13">
        <v>20.79</v>
      </c>
      <c r="C13">
        <v>7.31</v>
      </c>
      <c r="D13">
        <v>130.80000000000001</v>
      </c>
      <c r="E13">
        <v>25.95</v>
      </c>
    </row>
    <row r="14" spans="1:5" x14ac:dyDescent="0.3">
      <c r="A14">
        <v>700</v>
      </c>
      <c r="B14">
        <v>20.79</v>
      </c>
      <c r="C14">
        <v>8.35</v>
      </c>
      <c r="D14">
        <v>132.34</v>
      </c>
      <c r="E14">
        <v>22.97</v>
      </c>
    </row>
    <row r="15" spans="1:5" x14ac:dyDescent="0.3">
      <c r="A15">
        <v>750</v>
      </c>
      <c r="B15">
        <v>20.79</v>
      </c>
      <c r="C15">
        <v>9.39</v>
      </c>
      <c r="D15">
        <v>133.77000000000001</v>
      </c>
      <c r="E15">
        <v>20.37</v>
      </c>
    </row>
    <row r="16" spans="1:5" x14ac:dyDescent="0.3">
      <c r="A16">
        <v>800</v>
      </c>
      <c r="B16">
        <v>20.79</v>
      </c>
      <c r="C16">
        <v>10.43</v>
      </c>
      <c r="D16">
        <v>135.11000000000001</v>
      </c>
      <c r="E16">
        <v>18.09</v>
      </c>
    </row>
    <row r="17" spans="1:5" x14ac:dyDescent="0.3">
      <c r="A17">
        <v>850</v>
      </c>
      <c r="B17">
        <v>20.79</v>
      </c>
      <c r="C17">
        <v>11.47</v>
      </c>
      <c r="D17">
        <v>136.37</v>
      </c>
      <c r="E17">
        <v>16.059999999999999</v>
      </c>
    </row>
    <row r="18" spans="1:5" x14ac:dyDescent="0.3">
      <c r="A18">
        <v>900</v>
      </c>
      <c r="B18">
        <v>20.79</v>
      </c>
      <c r="C18">
        <v>12.51</v>
      </c>
      <c r="D18">
        <v>137.56</v>
      </c>
      <c r="E18">
        <v>14.26</v>
      </c>
    </row>
    <row r="19" spans="1:5" x14ac:dyDescent="0.3">
      <c r="A19">
        <v>950</v>
      </c>
      <c r="B19">
        <v>20.79</v>
      </c>
      <c r="C19">
        <v>13.55</v>
      </c>
      <c r="D19">
        <v>138.69</v>
      </c>
      <c r="E19">
        <v>12.63</v>
      </c>
    </row>
    <row r="20" spans="1:5" x14ac:dyDescent="0.3">
      <c r="A20" s="1">
        <v>1000</v>
      </c>
      <c r="B20">
        <v>20.79</v>
      </c>
      <c r="C20">
        <v>14.59</v>
      </c>
      <c r="D20">
        <v>139.75</v>
      </c>
      <c r="E20">
        <v>11.16</v>
      </c>
    </row>
    <row r="21" spans="1:5" x14ac:dyDescent="0.3">
      <c r="A21" s="1">
        <v>1050</v>
      </c>
      <c r="B21">
        <v>20.79</v>
      </c>
      <c r="C21">
        <v>15.63</v>
      </c>
      <c r="D21">
        <v>140.77000000000001</v>
      </c>
      <c r="E21">
        <v>9.83</v>
      </c>
    </row>
    <row r="22" spans="1:5" x14ac:dyDescent="0.3">
      <c r="A22" s="1">
        <v>1100</v>
      </c>
      <c r="B22">
        <v>20.79</v>
      </c>
      <c r="C22">
        <v>16.670000000000002</v>
      </c>
      <c r="D22">
        <v>141.72999999999999</v>
      </c>
      <c r="E22">
        <v>8.61</v>
      </c>
    </row>
    <row r="23" spans="1:5" x14ac:dyDescent="0.3">
      <c r="A23" s="1">
        <v>1150</v>
      </c>
      <c r="B23">
        <v>20.79</v>
      </c>
      <c r="C23">
        <v>17.71</v>
      </c>
      <c r="D23">
        <v>142.66</v>
      </c>
      <c r="E23">
        <v>7.49</v>
      </c>
    </row>
    <row r="24" spans="1:5" x14ac:dyDescent="0.3">
      <c r="A24" s="1">
        <v>1200</v>
      </c>
      <c r="B24">
        <v>20.79</v>
      </c>
      <c r="C24">
        <v>18.739999999999998</v>
      </c>
      <c r="D24">
        <v>143.54</v>
      </c>
      <c r="E24">
        <v>6.46</v>
      </c>
    </row>
    <row r="25" spans="1:5" x14ac:dyDescent="0.3">
      <c r="A25" s="1">
        <v>1250</v>
      </c>
      <c r="B25">
        <v>20.79</v>
      </c>
      <c r="C25">
        <v>19.78</v>
      </c>
      <c r="D25">
        <v>144.38999999999999</v>
      </c>
      <c r="E25">
        <v>5.51</v>
      </c>
    </row>
    <row r="26" spans="1:5" x14ac:dyDescent="0.3">
      <c r="A26" s="1">
        <v>1300</v>
      </c>
      <c r="B26">
        <v>20.79</v>
      </c>
      <c r="C26">
        <v>20.82</v>
      </c>
      <c r="D26">
        <v>145.21</v>
      </c>
      <c r="E26">
        <v>4.63</v>
      </c>
    </row>
    <row r="27" spans="1:5" x14ac:dyDescent="0.3">
      <c r="A27" s="1">
        <v>1350</v>
      </c>
      <c r="B27">
        <v>20.79</v>
      </c>
      <c r="C27">
        <v>21.86</v>
      </c>
      <c r="D27">
        <v>145.99</v>
      </c>
      <c r="E27">
        <v>3.81</v>
      </c>
    </row>
    <row r="28" spans="1:5" x14ac:dyDescent="0.3">
      <c r="A28" s="1">
        <v>1400</v>
      </c>
      <c r="B28">
        <v>20.79</v>
      </c>
      <c r="C28">
        <v>22.9</v>
      </c>
      <c r="D28">
        <v>146.75</v>
      </c>
      <c r="E28">
        <v>3.04</v>
      </c>
    </row>
    <row r="29" spans="1:5" x14ac:dyDescent="0.3">
      <c r="A29" s="1">
        <v>1450</v>
      </c>
      <c r="B29">
        <v>20.79</v>
      </c>
      <c r="C29">
        <v>23.94</v>
      </c>
      <c r="D29">
        <v>147.47999999999999</v>
      </c>
      <c r="E29">
        <v>2.33</v>
      </c>
    </row>
    <row r="30" spans="1:5" x14ac:dyDescent="0.3">
      <c r="A30" s="1">
        <v>1500</v>
      </c>
      <c r="B30">
        <v>20.79</v>
      </c>
      <c r="C30">
        <v>24.98</v>
      </c>
      <c r="D30">
        <v>148.18</v>
      </c>
      <c r="E30">
        <v>1.66</v>
      </c>
    </row>
    <row r="31" spans="1:5" x14ac:dyDescent="0.3">
      <c r="A31" s="1">
        <v>1550</v>
      </c>
      <c r="B31">
        <v>20.79</v>
      </c>
      <c r="C31">
        <v>26.02</v>
      </c>
      <c r="D31">
        <v>148.86000000000001</v>
      </c>
      <c r="E31">
        <v>1.03</v>
      </c>
    </row>
    <row r="32" spans="1:5" x14ac:dyDescent="0.3">
      <c r="A32" s="1">
        <v>1600</v>
      </c>
      <c r="B32">
        <v>20.79</v>
      </c>
      <c r="C32">
        <v>27.06</v>
      </c>
      <c r="D32">
        <v>149.52000000000001</v>
      </c>
      <c r="E32">
        <v>0.44</v>
      </c>
    </row>
    <row r="33" spans="1:5" x14ac:dyDescent="0.3">
      <c r="A33" s="1">
        <v>1650</v>
      </c>
      <c r="B33">
        <v>20.79</v>
      </c>
      <c r="C33">
        <v>28.1</v>
      </c>
      <c r="D33">
        <v>150.16</v>
      </c>
      <c r="E33">
        <v>0.12</v>
      </c>
    </row>
    <row r="34" spans="1:5" x14ac:dyDescent="0.3">
      <c r="A34" s="1">
        <v>1700</v>
      </c>
      <c r="B34">
        <v>20.79</v>
      </c>
      <c r="C34">
        <v>29.14</v>
      </c>
      <c r="D34">
        <v>150.78</v>
      </c>
      <c r="E34">
        <v>0.65</v>
      </c>
    </row>
    <row r="35" spans="1:5" x14ac:dyDescent="0.3">
      <c r="A35" s="1">
        <v>1750</v>
      </c>
      <c r="B35">
        <v>20.79</v>
      </c>
      <c r="C35">
        <v>30.18</v>
      </c>
      <c r="D35">
        <v>151.38</v>
      </c>
      <c r="E35">
        <v>1.1499999999999999</v>
      </c>
    </row>
    <row r="36" spans="1:5" x14ac:dyDescent="0.3">
      <c r="A36" s="1">
        <v>1800</v>
      </c>
      <c r="B36">
        <v>20.79</v>
      </c>
      <c r="C36">
        <v>31.22</v>
      </c>
      <c r="D36">
        <v>151.97</v>
      </c>
      <c r="E36">
        <v>1.63</v>
      </c>
    </row>
    <row r="37" spans="1:5" x14ac:dyDescent="0.3">
      <c r="A37" s="1">
        <v>1850</v>
      </c>
      <c r="B37">
        <v>20.79</v>
      </c>
      <c r="C37">
        <v>32.26</v>
      </c>
      <c r="D37">
        <v>152.54</v>
      </c>
      <c r="E37">
        <v>2.08</v>
      </c>
    </row>
    <row r="38" spans="1:5" x14ac:dyDescent="0.3">
      <c r="A38" s="1">
        <v>1900</v>
      </c>
      <c r="B38">
        <v>20.79</v>
      </c>
      <c r="C38">
        <v>33.29</v>
      </c>
      <c r="D38">
        <v>153.09</v>
      </c>
      <c r="E38">
        <v>2.5099999999999998</v>
      </c>
    </row>
    <row r="39" spans="1:5" x14ac:dyDescent="0.3">
      <c r="A39" s="1">
        <v>1950</v>
      </c>
      <c r="B39">
        <v>20.79</v>
      </c>
      <c r="C39">
        <v>34.33</v>
      </c>
      <c r="D39">
        <v>153.63</v>
      </c>
      <c r="E39">
        <v>2.92</v>
      </c>
    </row>
    <row r="40" spans="1:5" x14ac:dyDescent="0.3">
      <c r="A40" s="1">
        <v>2000</v>
      </c>
      <c r="B40">
        <v>20.79</v>
      </c>
      <c r="C40">
        <v>35.369999999999997</v>
      </c>
      <c r="D40">
        <v>154.16</v>
      </c>
      <c r="E40">
        <v>3.31</v>
      </c>
    </row>
    <row r="41" spans="1:5" x14ac:dyDescent="0.3">
      <c r="A41" s="1">
        <v>2050</v>
      </c>
      <c r="B41">
        <v>20.79</v>
      </c>
      <c r="C41">
        <v>36.409999999999997</v>
      </c>
      <c r="D41">
        <v>154.66999999999999</v>
      </c>
      <c r="E41">
        <v>3.68</v>
      </c>
    </row>
    <row r="42" spans="1:5" x14ac:dyDescent="0.3">
      <c r="A42" s="1">
        <v>2100</v>
      </c>
      <c r="B42">
        <v>20.79</v>
      </c>
      <c r="C42">
        <v>37.450000000000003</v>
      </c>
      <c r="D42">
        <v>155.16999999999999</v>
      </c>
      <c r="E42">
        <v>4.03</v>
      </c>
    </row>
    <row r="43" spans="1:5" x14ac:dyDescent="0.3">
      <c r="A43" s="1">
        <v>2150</v>
      </c>
      <c r="B43">
        <v>20.79</v>
      </c>
      <c r="C43">
        <v>38.49</v>
      </c>
      <c r="D43">
        <v>155.66</v>
      </c>
      <c r="E43">
        <v>4.38</v>
      </c>
    </row>
    <row r="44" spans="1:5" x14ac:dyDescent="0.3">
      <c r="A44" s="1">
        <v>2200</v>
      </c>
      <c r="B44">
        <v>20.79</v>
      </c>
      <c r="C44">
        <v>39.53</v>
      </c>
      <c r="D44">
        <v>156.13999999999999</v>
      </c>
      <c r="E44">
        <v>4.7</v>
      </c>
    </row>
    <row r="45" spans="1:5" x14ac:dyDescent="0.3">
      <c r="A45" s="1">
        <v>2250</v>
      </c>
      <c r="B45">
        <v>20.79</v>
      </c>
      <c r="C45">
        <v>40.57</v>
      </c>
      <c r="D45">
        <v>156.61000000000001</v>
      </c>
      <c r="E45">
        <v>5.0199999999999996</v>
      </c>
    </row>
    <row r="46" spans="1:5" x14ac:dyDescent="0.3">
      <c r="A46" s="1">
        <v>2300</v>
      </c>
      <c r="B46">
        <v>20.79</v>
      </c>
      <c r="C46">
        <v>41.61</v>
      </c>
      <c r="D46">
        <v>157.06</v>
      </c>
      <c r="E46">
        <v>5.32</v>
      </c>
    </row>
    <row r="47" spans="1:5" x14ac:dyDescent="0.3">
      <c r="A47" s="1">
        <v>2350</v>
      </c>
      <c r="B47">
        <v>20.79</v>
      </c>
      <c r="C47">
        <v>42.65</v>
      </c>
      <c r="D47">
        <v>157.51</v>
      </c>
      <c r="E47">
        <v>5.61</v>
      </c>
    </row>
    <row r="48" spans="1:5" x14ac:dyDescent="0.3">
      <c r="A48" s="1">
        <v>2400</v>
      </c>
      <c r="B48">
        <v>20.79</v>
      </c>
      <c r="C48">
        <v>43.69</v>
      </c>
      <c r="D48">
        <v>157.94999999999999</v>
      </c>
      <c r="E48">
        <v>5.88</v>
      </c>
    </row>
    <row r="49" spans="1:5" x14ac:dyDescent="0.3">
      <c r="A49" s="1">
        <v>2450</v>
      </c>
      <c r="B49">
        <v>20.79</v>
      </c>
      <c r="C49">
        <v>44.73</v>
      </c>
      <c r="D49">
        <v>158.38</v>
      </c>
      <c r="E49">
        <v>6.15</v>
      </c>
    </row>
    <row r="50" spans="1:5" x14ac:dyDescent="0.3">
      <c r="A50" s="1">
        <v>2500</v>
      </c>
      <c r="B50">
        <v>20.79</v>
      </c>
      <c r="C50">
        <v>45.77</v>
      </c>
      <c r="D50">
        <v>158.80000000000001</v>
      </c>
      <c r="E50">
        <v>6.41</v>
      </c>
    </row>
    <row r="51" spans="1:5" x14ac:dyDescent="0.3">
      <c r="A51" s="1">
        <v>2550</v>
      </c>
      <c r="B51">
        <v>20.79</v>
      </c>
      <c r="C51">
        <v>46.8</v>
      </c>
      <c r="D51">
        <v>159.21</v>
      </c>
      <c r="E51">
        <v>6.66</v>
      </c>
    </row>
    <row r="52" spans="1:5" x14ac:dyDescent="0.3">
      <c r="A52" s="1">
        <v>2600</v>
      </c>
      <c r="B52">
        <v>20.79</v>
      </c>
      <c r="C52">
        <v>47.84</v>
      </c>
      <c r="D52">
        <v>159.61000000000001</v>
      </c>
      <c r="E52">
        <v>6.9</v>
      </c>
    </row>
    <row r="53" spans="1:5" x14ac:dyDescent="0.3">
      <c r="A53" s="1">
        <v>2650</v>
      </c>
      <c r="B53">
        <v>20.79</v>
      </c>
      <c r="C53">
        <v>48.88</v>
      </c>
      <c r="D53">
        <v>160.01</v>
      </c>
      <c r="E53">
        <v>7.13</v>
      </c>
    </row>
    <row r="54" spans="1:5" x14ac:dyDescent="0.3">
      <c r="A54" s="1">
        <v>2700</v>
      </c>
      <c r="B54">
        <v>20.79</v>
      </c>
      <c r="C54">
        <v>49.92</v>
      </c>
      <c r="D54">
        <v>160.4</v>
      </c>
      <c r="E54">
        <v>7.36</v>
      </c>
    </row>
    <row r="55" spans="1:5" x14ac:dyDescent="0.3">
      <c r="A55" s="1">
        <v>2750</v>
      </c>
      <c r="B55">
        <v>20.79</v>
      </c>
      <c r="C55">
        <v>50.96</v>
      </c>
      <c r="D55">
        <v>160.78</v>
      </c>
      <c r="E55">
        <v>7.58</v>
      </c>
    </row>
    <row r="56" spans="1:5" x14ac:dyDescent="0.3">
      <c r="A56" s="1">
        <v>2800</v>
      </c>
      <c r="B56">
        <v>20.79</v>
      </c>
      <c r="C56">
        <v>52</v>
      </c>
      <c r="D56">
        <v>161.15</v>
      </c>
      <c r="E56">
        <v>7.79</v>
      </c>
    </row>
    <row r="57" spans="1:5" x14ac:dyDescent="0.3">
      <c r="A57" s="1">
        <v>2850</v>
      </c>
      <c r="B57">
        <v>20.79</v>
      </c>
      <c r="C57">
        <v>53.04</v>
      </c>
      <c r="D57">
        <v>161.52000000000001</v>
      </c>
      <c r="E57">
        <v>7.99</v>
      </c>
    </row>
    <row r="58" spans="1:5" x14ac:dyDescent="0.3">
      <c r="A58" s="1">
        <v>2900</v>
      </c>
      <c r="B58">
        <v>20.79</v>
      </c>
      <c r="C58">
        <v>54.08</v>
      </c>
      <c r="D58">
        <v>161.88</v>
      </c>
      <c r="E58">
        <v>8.19</v>
      </c>
    </row>
    <row r="59" spans="1:5" x14ac:dyDescent="0.3">
      <c r="A59" s="1">
        <v>2950</v>
      </c>
      <c r="B59">
        <v>20.79</v>
      </c>
      <c r="C59">
        <v>55.12</v>
      </c>
      <c r="D59">
        <v>162.24</v>
      </c>
      <c r="E59">
        <v>8.3800000000000008</v>
      </c>
    </row>
    <row r="60" spans="1:5" x14ac:dyDescent="0.3">
      <c r="A60" s="1">
        <v>3000</v>
      </c>
      <c r="B60">
        <v>20.79</v>
      </c>
      <c r="C60">
        <v>56.16</v>
      </c>
      <c r="D60">
        <v>162.59</v>
      </c>
      <c r="E60">
        <v>8.57</v>
      </c>
    </row>
    <row r="61" spans="1:5" x14ac:dyDescent="0.3">
      <c r="A61" s="1">
        <v>3050</v>
      </c>
      <c r="B61">
        <v>20.79</v>
      </c>
      <c r="C61">
        <v>57.2</v>
      </c>
      <c r="D61">
        <v>162.93</v>
      </c>
      <c r="E61">
        <v>8.75</v>
      </c>
    </row>
    <row r="62" spans="1:5" x14ac:dyDescent="0.3">
      <c r="A62" s="1">
        <v>3100</v>
      </c>
      <c r="B62">
        <v>20.79</v>
      </c>
      <c r="C62">
        <v>58.24</v>
      </c>
      <c r="D62">
        <v>163.27000000000001</v>
      </c>
      <c r="E62">
        <v>8.92</v>
      </c>
    </row>
    <row r="63" spans="1:5" x14ac:dyDescent="0.3">
      <c r="A63" s="1">
        <v>3150</v>
      </c>
      <c r="B63">
        <v>20.79</v>
      </c>
      <c r="C63">
        <v>59.28</v>
      </c>
      <c r="D63">
        <v>163.6</v>
      </c>
      <c r="E63">
        <v>9.09</v>
      </c>
    </row>
    <row r="64" spans="1:5" x14ac:dyDescent="0.3">
      <c r="A64" s="1">
        <v>3200</v>
      </c>
      <c r="B64">
        <v>20.79</v>
      </c>
      <c r="C64">
        <v>60.31</v>
      </c>
      <c r="D64">
        <v>163.93</v>
      </c>
      <c r="E64">
        <v>9.26</v>
      </c>
    </row>
    <row r="65" spans="1:5" x14ac:dyDescent="0.3">
      <c r="A65" s="1">
        <v>3250</v>
      </c>
      <c r="B65">
        <v>20.79</v>
      </c>
      <c r="C65">
        <v>61.35</v>
      </c>
      <c r="D65">
        <v>164.25</v>
      </c>
      <c r="E65">
        <v>9.42</v>
      </c>
    </row>
    <row r="66" spans="1:5" x14ac:dyDescent="0.3">
      <c r="A66" s="1">
        <v>3300</v>
      </c>
      <c r="B66">
        <v>20.79</v>
      </c>
      <c r="C66">
        <v>62.39</v>
      </c>
      <c r="D66">
        <v>164.57</v>
      </c>
      <c r="E66">
        <v>9.58</v>
      </c>
    </row>
    <row r="67" spans="1:5" x14ac:dyDescent="0.3">
      <c r="A67" s="1">
        <v>3350</v>
      </c>
      <c r="B67">
        <v>20.79</v>
      </c>
      <c r="C67">
        <v>63.43</v>
      </c>
      <c r="D67">
        <v>164.88</v>
      </c>
      <c r="E67">
        <v>9.73</v>
      </c>
    </row>
    <row r="68" spans="1:5" x14ac:dyDescent="0.3">
      <c r="A68" s="1">
        <v>3400</v>
      </c>
      <c r="B68">
        <v>20.79</v>
      </c>
      <c r="C68">
        <v>64.47</v>
      </c>
      <c r="D68">
        <v>165.19</v>
      </c>
      <c r="E68">
        <v>9.8800000000000008</v>
      </c>
    </row>
    <row r="69" spans="1:5" x14ac:dyDescent="0.3">
      <c r="A69" s="1">
        <v>3450</v>
      </c>
      <c r="B69">
        <v>20.79</v>
      </c>
      <c r="C69">
        <v>65.510000000000005</v>
      </c>
      <c r="D69">
        <v>165.49</v>
      </c>
      <c r="E69">
        <v>10.02</v>
      </c>
    </row>
    <row r="70" spans="1:5" x14ac:dyDescent="0.3">
      <c r="A70" s="1">
        <v>3500</v>
      </c>
      <c r="B70">
        <v>20.79</v>
      </c>
      <c r="C70">
        <v>66.55</v>
      </c>
      <c r="D70">
        <v>165.79</v>
      </c>
      <c r="E70">
        <v>10.16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18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22.48</v>
      </c>
      <c r="C3">
        <v>2.1800000000000002</v>
      </c>
      <c r="D3">
        <v>152.08000000000001</v>
      </c>
      <c r="E3">
        <v>130.26</v>
      </c>
    </row>
    <row r="4" spans="1:5" x14ac:dyDescent="0.3">
      <c r="A4">
        <v>250</v>
      </c>
      <c r="B4">
        <v>22.15</v>
      </c>
      <c r="C4">
        <v>1.06</v>
      </c>
      <c r="D4">
        <v>157.06</v>
      </c>
      <c r="E4">
        <v>100.49</v>
      </c>
    </row>
    <row r="5" spans="1:5" x14ac:dyDescent="0.3">
      <c r="A5">
        <v>298</v>
      </c>
      <c r="B5">
        <v>21.9</v>
      </c>
      <c r="C5">
        <v>0</v>
      </c>
      <c r="D5">
        <v>160.94</v>
      </c>
      <c r="E5">
        <v>81.17</v>
      </c>
    </row>
    <row r="6" spans="1:5" x14ac:dyDescent="0.3">
      <c r="A6">
        <v>300</v>
      </c>
      <c r="B6">
        <v>21.89</v>
      </c>
      <c r="C6">
        <v>0.04</v>
      </c>
      <c r="D6">
        <v>161.07</v>
      </c>
      <c r="E6">
        <v>80.55</v>
      </c>
    </row>
    <row r="7" spans="1:5" x14ac:dyDescent="0.3">
      <c r="A7">
        <v>350</v>
      </c>
      <c r="B7">
        <v>21.67</v>
      </c>
      <c r="C7">
        <v>1.1299999999999999</v>
      </c>
      <c r="D7">
        <v>164.43</v>
      </c>
      <c r="E7">
        <v>66.239999999999995</v>
      </c>
    </row>
    <row r="8" spans="1:5" x14ac:dyDescent="0.3">
      <c r="A8">
        <v>400</v>
      </c>
      <c r="B8">
        <v>21.5</v>
      </c>
      <c r="C8">
        <v>2.21</v>
      </c>
      <c r="D8">
        <v>167.31</v>
      </c>
      <c r="E8">
        <v>55.47</v>
      </c>
    </row>
    <row r="9" spans="1:5" x14ac:dyDescent="0.3">
      <c r="A9">
        <v>450</v>
      </c>
      <c r="B9">
        <v>21.36</v>
      </c>
      <c r="C9">
        <v>3.28</v>
      </c>
      <c r="D9">
        <v>169.84</v>
      </c>
      <c r="E9">
        <v>47.05</v>
      </c>
    </row>
    <row r="10" spans="1:5" x14ac:dyDescent="0.3">
      <c r="A10">
        <v>500</v>
      </c>
      <c r="B10">
        <v>21.26</v>
      </c>
      <c r="C10">
        <v>4.3499999999999996</v>
      </c>
      <c r="D10">
        <v>172.08</v>
      </c>
      <c r="E10">
        <v>40.29</v>
      </c>
    </row>
    <row r="11" spans="1:5" x14ac:dyDescent="0.3">
      <c r="A11">
        <v>550</v>
      </c>
      <c r="B11">
        <v>21.17</v>
      </c>
      <c r="C11">
        <v>5.41</v>
      </c>
      <c r="D11">
        <v>174.1</v>
      </c>
      <c r="E11">
        <v>34.74</v>
      </c>
    </row>
    <row r="12" spans="1:5" x14ac:dyDescent="0.3">
      <c r="A12">
        <v>600</v>
      </c>
      <c r="B12">
        <v>21.11</v>
      </c>
      <c r="C12">
        <v>6.46</v>
      </c>
      <c r="D12">
        <v>175.94</v>
      </c>
      <c r="E12">
        <v>30.09</v>
      </c>
    </row>
    <row r="13" spans="1:5" x14ac:dyDescent="0.3">
      <c r="A13">
        <v>650</v>
      </c>
      <c r="B13">
        <v>21.07</v>
      </c>
      <c r="C13">
        <v>7.52</v>
      </c>
      <c r="D13">
        <v>177.63</v>
      </c>
      <c r="E13">
        <v>26.14</v>
      </c>
    </row>
    <row r="14" spans="1:5" x14ac:dyDescent="0.3">
      <c r="A14">
        <v>700</v>
      </c>
      <c r="B14">
        <v>21.03</v>
      </c>
      <c r="C14">
        <v>8.57</v>
      </c>
      <c r="D14">
        <v>179.19</v>
      </c>
      <c r="E14">
        <v>22.74</v>
      </c>
    </row>
    <row r="15" spans="1:5" x14ac:dyDescent="0.3">
      <c r="A15">
        <v>750</v>
      </c>
      <c r="B15">
        <v>21.01</v>
      </c>
      <c r="C15">
        <v>9.6199999999999992</v>
      </c>
      <c r="D15">
        <v>180.64</v>
      </c>
      <c r="E15">
        <v>19.78</v>
      </c>
    </row>
    <row r="16" spans="1:5" x14ac:dyDescent="0.3">
      <c r="A16">
        <v>800</v>
      </c>
      <c r="B16">
        <v>20.99</v>
      </c>
      <c r="C16">
        <v>10.67</v>
      </c>
      <c r="D16">
        <v>182</v>
      </c>
      <c r="E16">
        <v>17.18</v>
      </c>
    </row>
    <row r="17" spans="1:5" x14ac:dyDescent="0.3">
      <c r="A17">
        <v>850</v>
      </c>
      <c r="B17">
        <v>20.97</v>
      </c>
      <c r="C17">
        <v>11.72</v>
      </c>
      <c r="D17">
        <v>183.27</v>
      </c>
      <c r="E17">
        <v>14.88</v>
      </c>
    </row>
    <row r="18" spans="1:5" x14ac:dyDescent="0.3">
      <c r="A18">
        <v>900</v>
      </c>
      <c r="B18">
        <v>20.95</v>
      </c>
      <c r="C18">
        <v>12.77</v>
      </c>
      <c r="D18">
        <v>184.46</v>
      </c>
      <c r="E18">
        <v>12.82</v>
      </c>
    </row>
    <row r="19" spans="1:5" x14ac:dyDescent="0.3">
      <c r="A19">
        <v>950</v>
      </c>
      <c r="B19">
        <v>20.93</v>
      </c>
      <c r="C19">
        <v>13.81</v>
      </c>
      <c r="D19">
        <v>185.6</v>
      </c>
      <c r="E19">
        <v>10.97</v>
      </c>
    </row>
    <row r="20" spans="1:5" x14ac:dyDescent="0.3">
      <c r="A20" s="1">
        <v>1000</v>
      </c>
      <c r="B20">
        <v>20.91</v>
      </c>
      <c r="C20">
        <v>14.86</v>
      </c>
      <c r="D20">
        <v>186.67</v>
      </c>
      <c r="E20">
        <v>9.31</v>
      </c>
    </row>
    <row r="21" spans="1:5" x14ac:dyDescent="0.3">
      <c r="A21" s="1">
        <v>1050</v>
      </c>
      <c r="B21">
        <v>20.91</v>
      </c>
      <c r="C21">
        <v>15.91</v>
      </c>
      <c r="D21">
        <v>187.69</v>
      </c>
      <c r="E21">
        <v>7.79</v>
      </c>
    </row>
    <row r="22" spans="1:5" x14ac:dyDescent="0.3">
      <c r="A22" s="1">
        <v>1100</v>
      </c>
      <c r="B22">
        <v>20.9</v>
      </c>
      <c r="C22">
        <v>16.95</v>
      </c>
      <c r="D22">
        <v>188.66</v>
      </c>
      <c r="E22">
        <v>6.41</v>
      </c>
    </row>
    <row r="23" spans="1:5" x14ac:dyDescent="0.3">
      <c r="A23" s="1">
        <v>1150</v>
      </c>
      <c r="B23">
        <v>20.89</v>
      </c>
      <c r="C23">
        <v>18</v>
      </c>
      <c r="D23">
        <v>189.59</v>
      </c>
      <c r="E23">
        <v>5.14</v>
      </c>
    </row>
    <row r="24" spans="1:5" x14ac:dyDescent="0.3">
      <c r="A24" s="1">
        <v>1200</v>
      </c>
      <c r="B24">
        <v>20.88</v>
      </c>
      <c r="C24">
        <v>19.04</v>
      </c>
      <c r="D24">
        <v>190.48</v>
      </c>
      <c r="E24">
        <v>3.97</v>
      </c>
    </row>
    <row r="25" spans="1:5" x14ac:dyDescent="0.3">
      <c r="A25" s="1">
        <v>1250</v>
      </c>
      <c r="B25">
        <v>20.87</v>
      </c>
      <c r="C25">
        <v>20.079999999999998</v>
      </c>
      <c r="D25">
        <v>191.33</v>
      </c>
      <c r="E25">
        <v>2.9</v>
      </c>
    </row>
    <row r="26" spans="1:5" x14ac:dyDescent="0.3">
      <c r="A26" s="1">
        <v>1300</v>
      </c>
      <c r="B26">
        <v>20.87</v>
      </c>
      <c r="C26">
        <v>21.13</v>
      </c>
      <c r="D26">
        <v>192.15</v>
      </c>
      <c r="E26">
        <v>1.9</v>
      </c>
    </row>
    <row r="27" spans="1:5" x14ac:dyDescent="0.3">
      <c r="A27" s="1">
        <v>1350</v>
      </c>
      <c r="B27">
        <v>20.86</v>
      </c>
      <c r="C27">
        <v>22.17</v>
      </c>
      <c r="D27">
        <v>192.94</v>
      </c>
      <c r="E27">
        <v>0.97</v>
      </c>
    </row>
    <row r="28" spans="1:5" x14ac:dyDescent="0.3">
      <c r="A28" s="1">
        <v>1400</v>
      </c>
      <c r="B28">
        <v>20.85</v>
      </c>
      <c r="C28">
        <v>23.21</v>
      </c>
      <c r="D28">
        <v>193.7</v>
      </c>
      <c r="E28">
        <v>0.1</v>
      </c>
    </row>
    <row r="29" spans="1:5" x14ac:dyDescent="0.3">
      <c r="A29" s="1">
        <v>1450</v>
      </c>
      <c r="B29">
        <v>20.85</v>
      </c>
      <c r="C29">
        <v>24.26</v>
      </c>
      <c r="D29">
        <v>194.43</v>
      </c>
      <c r="E29">
        <v>0.7</v>
      </c>
    </row>
    <row r="30" spans="1:5" x14ac:dyDescent="0.3">
      <c r="A30" s="1">
        <v>1500</v>
      </c>
      <c r="B30">
        <v>20.84</v>
      </c>
      <c r="C30">
        <v>25.3</v>
      </c>
      <c r="D30">
        <v>195.14</v>
      </c>
      <c r="E30">
        <v>1.46</v>
      </c>
    </row>
    <row r="31" spans="1:5" x14ac:dyDescent="0.3">
      <c r="A31" s="1">
        <v>1550</v>
      </c>
      <c r="B31">
        <v>20.84</v>
      </c>
      <c r="C31">
        <v>26.34</v>
      </c>
      <c r="D31">
        <v>195.82</v>
      </c>
      <c r="E31">
        <v>2.17</v>
      </c>
    </row>
    <row r="32" spans="1:5" x14ac:dyDescent="0.3">
      <c r="A32" s="1">
        <v>1600</v>
      </c>
      <c r="B32">
        <v>20.83</v>
      </c>
      <c r="C32">
        <v>27.38</v>
      </c>
      <c r="D32">
        <v>196.48</v>
      </c>
      <c r="E32">
        <v>2.84</v>
      </c>
    </row>
    <row r="33" spans="1:5" x14ac:dyDescent="0.3">
      <c r="A33" s="1">
        <v>1650</v>
      </c>
      <c r="B33">
        <v>20.83</v>
      </c>
      <c r="C33">
        <v>28.42</v>
      </c>
      <c r="D33">
        <v>197.12</v>
      </c>
      <c r="E33">
        <v>3.47</v>
      </c>
    </row>
    <row r="34" spans="1:5" x14ac:dyDescent="0.3">
      <c r="A34" s="1">
        <v>1700</v>
      </c>
      <c r="B34">
        <v>20.83</v>
      </c>
      <c r="C34">
        <v>29.46</v>
      </c>
      <c r="D34">
        <v>197.74</v>
      </c>
      <c r="E34">
        <v>4.07</v>
      </c>
    </row>
    <row r="35" spans="1:5" x14ac:dyDescent="0.3">
      <c r="A35" s="1">
        <v>1750</v>
      </c>
      <c r="B35">
        <v>20.82</v>
      </c>
      <c r="C35">
        <v>30.51</v>
      </c>
      <c r="D35">
        <v>198.35</v>
      </c>
      <c r="E35">
        <v>4.63</v>
      </c>
    </row>
    <row r="36" spans="1:5" x14ac:dyDescent="0.3">
      <c r="A36" s="1">
        <v>1800</v>
      </c>
      <c r="B36">
        <v>20.82</v>
      </c>
      <c r="C36">
        <v>31.55</v>
      </c>
      <c r="D36">
        <v>198.93</v>
      </c>
      <c r="E36">
        <v>5.17</v>
      </c>
    </row>
    <row r="37" spans="1:5" x14ac:dyDescent="0.3">
      <c r="A37" s="1">
        <v>1850</v>
      </c>
      <c r="B37">
        <v>20.82</v>
      </c>
      <c r="C37">
        <v>32.590000000000003</v>
      </c>
      <c r="D37">
        <v>199.5</v>
      </c>
      <c r="E37">
        <v>5.68</v>
      </c>
    </row>
    <row r="38" spans="1:5" x14ac:dyDescent="0.3">
      <c r="A38" s="1">
        <v>1900</v>
      </c>
      <c r="B38">
        <v>20.82</v>
      </c>
      <c r="C38">
        <v>33.630000000000003</v>
      </c>
      <c r="D38">
        <v>200.06</v>
      </c>
      <c r="E38">
        <v>6.16</v>
      </c>
    </row>
    <row r="39" spans="1:5" x14ac:dyDescent="0.3">
      <c r="A39" s="1">
        <v>1950</v>
      </c>
      <c r="B39">
        <v>20.82</v>
      </c>
      <c r="C39">
        <v>34.67</v>
      </c>
      <c r="D39">
        <v>200.6</v>
      </c>
      <c r="E39">
        <v>6.62</v>
      </c>
    </row>
    <row r="40" spans="1:5" x14ac:dyDescent="0.3">
      <c r="A40" s="1">
        <v>2000</v>
      </c>
      <c r="B40">
        <v>20.82</v>
      </c>
      <c r="C40">
        <v>35.71</v>
      </c>
      <c r="D40">
        <v>201.13</v>
      </c>
      <c r="E40">
        <v>7.06</v>
      </c>
    </row>
    <row r="41" spans="1:5" x14ac:dyDescent="0.3">
      <c r="A41" s="1">
        <v>2050</v>
      </c>
      <c r="B41">
        <v>20.82</v>
      </c>
      <c r="C41">
        <v>36.75</v>
      </c>
      <c r="D41">
        <v>201.64</v>
      </c>
      <c r="E41">
        <v>7.48</v>
      </c>
    </row>
    <row r="42" spans="1:5" x14ac:dyDescent="0.3">
      <c r="A42" s="1">
        <v>2100</v>
      </c>
      <c r="B42">
        <v>20.82</v>
      </c>
      <c r="C42">
        <v>37.79</v>
      </c>
      <c r="D42">
        <v>202.14</v>
      </c>
      <c r="E42">
        <v>7.88</v>
      </c>
    </row>
    <row r="43" spans="1:5" x14ac:dyDescent="0.3">
      <c r="A43" s="1">
        <v>2150</v>
      </c>
      <c r="B43">
        <v>20.82</v>
      </c>
      <c r="C43">
        <v>38.83</v>
      </c>
      <c r="D43">
        <v>202.63</v>
      </c>
      <c r="E43">
        <v>8.26</v>
      </c>
    </row>
    <row r="44" spans="1:5" x14ac:dyDescent="0.3">
      <c r="A44" s="1">
        <v>2200</v>
      </c>
      <c r="B44">
        <v>20.82</v>
      </c>
      <c r="C44">
        <v>39.869999999999997</v>
      </c>
      <c r="D44">
        <v>203.11</v>
      </c>
      <c r="E44">
        <v>8.6300000000000008</v>
      </c>
    </row>
    <row r="45" spans="1:5" x14ac:dyDescent="0.3">
      <c r="A45" s="1">
        <v>2250</v>
      </c>
      <c r="B45">
        <v>20.83</v>
      </c>
      <c r="C45">
        <v>40.92</v>
      </c>
      <c r="D45">
        <v>203.58</v>
      </c>
      <c r="E45">
        <v>8.98</v>
      </c>
    </row>
    <row r="46" spans="1:5" x14ac:dyDescent="0.3">
      <c r="A46" s="1">
        <v>2300</v>
      </c>
      <c r="B46">
        <v>20.83</v>
      </c>
      <c r="C46">
        <v>41.96</v>
      </c>
      <c r="D46">
        <v>204.04</v>
      </c>
      <c r="E46">
        <v>9.32</v>
      </c>
    </row>
    <row r="47" spans="1:5" x14ac:dyDescent="0.3">
      <c r="A47" s="1">
        <v>2350</v>
      </c>
      <c r="B47">
        <v>20.83</v>
      </c>
      <c r="C47">
        <v>43</v>
      </c>
      <c r="D47">
        <v>204.48</v>
      </c>
      <c r="E47">
        <v>9.64</v>
      </c>
    </row>
    <row r="48" spans="1:5" x14ac:dyDescent="0.3">
      <c r="A48" s="1">
        <v>2400</v>
      </c>
      <c r="B48">
        <v>20.84</v>
      </c>
      <c r="C48">
        <v>44.04</v>
      </c>
      <c r="D48">
        <v>204.92</v>
      </c>
      <c r="E48">
        <v>9.9499999999999993</v>
      </c>
    </row>
    <row r="49" spans="1:5" x14ac:dyDescent="0.3">
      <c r="A49" s="1">
        <v>2450</v>
      </c>
      <c r="B49">
        <v>20.84</v>
      </c>
      <c r="C49">
        <v>45.08</v>
      </c>
      <c r="D49">
        <v>205.35</v>
      </c>
      <c r="E49">
        <v>10.25</v>
      </c>
    </row>
    <row r="50" spans="1:5" x14ac:dyDescent="0.3">
      <c r="A50" s="1">
        <v>2500</v>
      </c>
      <c r="B50">
        <v>20.85</v>
      </c>
      <c r="C50">
        <v>46.13</v>
      </c>
      <c r="D50">
        <v>205.77</v>
      </c>
      <c r="E50">
        <v>10.54</v>
      </c>
    </row>
    <row r="51" spans="1:5" x14ac:dyDescent="0.3">
      <c r="A51" s="1">
        <v>2550</v>
      </c>
      <c r="B51">
        <v>20.86</v>
      </c>
      <c r="C51">
        <v>47.17</v>
      </c>
      <c r="D51">
        <v>206.19</v>
      </c>
      <c r="E51">
        <v>10.82</v>
      </c>
    </row>
    <row r="52" spans="1:5" x14ac:dyDescent="0.3">
      <c r="A52" s="1">
        <v>2600</v>
      </c>
      <c r="B52">
        <v>20.86</v>
      </c>
      <c r="C52">
        <v>48.21</v>
      </c>
      <c r="D52">
        <v>206.59</v>
      </c>
      <c r="E52">
        <v>11.09</v>
      </c>
    </row>
    <row r="53" spans="1:5" x14ac:dyDescent="0.3">
      <c r="A53" s="1">
        <v>2650</v>
      </c>
      <c r="B53">
        <v>20.87</v>
      </c>
      <c r="C53">
        <v>49.25</v>
      </c>
      <c r="D53">
        <v>206.99</v>
      </c>
      <c r="E53">
        <v>11.35</v>
      </c>
    </row>
    <row r="54" spans="1:5" x14ac:dyDescent="0.3">
      <c r="A54" s="1">
        <v>2700</v>
      </c>
      <c r="B54">
        <v>20.88</v>
      </c>
      <c r="C54">
        <v>50.3</v>
      </c>
      <c r="D54">
        <v>207.38</v>
      </c>
      <c r="E54">
        <v>11.6</v>
      </c>
    </row>
    <row r="55" spans="1:5" x14ac:dyDescent="0.3">
      <c r="A55" s="1">
        <v>2750</v>
      </c>
      <c r="B55">
        <v>20.89</v>
      </c>
      <c r="C55">
        <v>51.34</v>
      </c>
      <c r="D55">
        <v>207.76</v>
      </c>
      <c r="E55">
        <v>11.85</v>
      </c>
    </row>
    <row r="56" spans="1:5" x14ac:dyDescent="0.3">
      <c r="A56" s="1">
        <v>2800</v>
      </c>
      <c r="B56">
        <v>20.9</v>
      </c>
      <c r="C56">
        <v>52.39</v>
      </c>
      <c r="D56">
        <v>208.14</v>
      </c>
      <c r="E56">
        <v>12.08</v>
      </c>
    </row>
    <row r="57" spans="1:5" x14ac:dyDescent="0.3">
      <c r="A57" s="1">
        <v>2850</v>
      </c>
      <c r="B57">
        <v>20.91</v>
      </c>
      <c r="C57">
        <v>53.43</v>
      </c>
      <c r="D57">
        <v>208.51</v>
      </c>
      <c r="E57">
        <v>12.31</v>
      </c>
    </row>
    <row r="58" spans="1:5" x14ac:dyDescent="0.3">
      <c r="A58" s="1">
        <v>2900</v>
      </c>
      <c r="B58">
        <v>20.92</v>
      </c>
      <c r="C58">
        <v>54.48</v>
      </c>
      <c r="D58">
        <v>208.87</v>
      </c>
      <c r="E58">
        <v>12.53</v>
      </c>
    </row>
    <row r="59" spans="1:5" x14ac:dyDescent="0.3">
      <c r="A59" s="1">
        <v>2950</v>
      </c>
      <c r="B59">
        <v>20.93</v>
      </c>
      <c r="C59">
        <v>55.52</v>
      </c>
      <c r="D59">
        <v>209.23</v>
      </c>
      <c r="E59">
        <v>12.74</v>
      </c>
    </row>
    <row r="60" spans="1:5" x14ac:dyDescent="0.3">
      <c r="A60" s="1">
        <v>3000</v>
      </c>
      <c r="B60">
        <v>20.94</v>
      </c>
      <c r="C60">
        <v>56.57</v>
      </c>
      <c r="D60">
        <v>209.58</v>
      </c>
      <c r="E60">
        <v>12.95</v>
      </c>
    </row>
    <row r="61" spans="1:5" x14ac:dyDescent="0.3">
      <c r="A61" s="1">
        <v>3050</v>
      </c>
      <c r="B61">
        <v>20.96</v>
      </c>
      <c r="C61">
        <v>57.62</v>
      </c>
      <c r="D61">
        <v>209.93</v>
      </c>
      <c r="E61">
        <v>13.15</v>
      </c>
    </row>
    <row r="62" spans="1:5" x14ac:dyDescent="0.3">
      <c r="A62" s="1">
        <v>3100</v>
      </c>
      <c r="B62">
        <v>20.97</v>
      </c>
      <c r="C62">
        <v>58.67</v>
      </c>
      <c r="D62">
        <v>210.27</v>
      </c>
      <c r="E62">
        <v>13.35</v>
      </c>
    </row>
    <row r="63" spans="1:5" x14ac:dyDescent="0.3">
      <c r="A63" s="1">
        <v>3150</v>
      </c>
      <c r="B63">
        <v>20.98</v>
      </c>
      <c r="C63">
        <v>59.72</v>
      </c>
      <c r="D63">
        <v>210.61</v>
      </c>
      <c r="E63">
        <v>13.54</v>
      </c>
    </row>
    <row r="64" spans="1:5" x14ac:dyDescent="0.3">
      <c r="A64" s="1">
        <v>3200</v>
      </c>
      <c r="B64">
        <v>21</v>
      </c>
      <c r="C64">
        <v>60.76</v>
      </c>
      <c r="D64">
        <v>210.94</v>
      </c>
      <c r="E64">
        <v>13.72</v>
      </c>
    </row>
    <row r="65" spans="1:5" x14ac:dyDescent="0.3">
      <c r="A65" s="1">
        <v>3250</v>
      </c>
      <c r="B65">
        <v>21.01</v>
      </c>
      <c r="C65">
        <v>61.81</v>
      </c>
      <c r="D65">
        <v>211.26</v>
      </c>
      <c r="E65">
        <v>13.9</v>
      </c>
    </row>
    <row r="66" spans="1:5" x14ac:dyDescent="0.3">
      <c r="A66" s="1">
        <v>3300</v>
      </c>
      <c r="B66">
        <v>21.03</v>
      </c>
      <c r="C66">
        <v>62.87</v>
      </c>
      <c r="D66">
        <v>211.58</v>
      </c>
      <c r="E66">
        <v>14.08</v>
      </c>
    </row>
    <row r="67" spans="1:5" x14ac:dyDescent="0.3">
      <c r="A67" s="1">
        <v>3350</v>
      </c>
      <c r="B67">
        <v>21.04</v>
      </c>
      <c r="C67">
        <v>63.92</v>
      </c>
      <c r="D67">
        <v>211.9</v>
      </c>
      <c r="E67">
        <v>14.25</v>
      </c>
    </row>
    <row r="68" spans="1:5" x14ac:dyDescent="0.3">
      <c r="A68" s="1">
        <v>3400</v>
      </c>
      <c r="B68">
        <v>21.06</v>
      </c>
      <c r="C68">
        <v>64.97</v>
      </c>
      <c r="D68">
        <v>212.21</v>
      </c>
      <c r="E68">
        <v>14.41</v>
      </c>
    </row>
    <row r="69" spans="1:5" x14ac:dyDescent="0.3">
      <c r="A69" s="1">
        <v>3450</v>
      </c>
      <c r="B69">
        <v>21.08</v>
      </c>
      <c r="C69">
        <v>66.02</v>
      </c>
      <c r="D69">
        <v>212.52</v>
      </c>
      <c r="E69">
        <v>14.57</v>
      </c>
    </row>
    <row r="70" spans="1:5" x14ac:dyDescent="0.3">
      <c r="A70" s="1">
        <v>3500</v>
      </c>
      <c r="B70">
        <v>21.09</v>
      </c>
      <c r="C70">
        <v>67.08</v>
      </c>
      <c r="D70">
        <v>212.82</v>
      </c>
      <c r="E70">
        <v>14.73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19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30.14</v>
      </c>
      <c r="C3">
        <v>2.95</v>
      </c>
      <c r="D3">
        <v>171.6</v>
      </c>
      <c r="E3">
        <v>1.03</v>
      </c>
    </row>
    <row r="4" spans="1:5" x14ac:dyDescent="0.3">
      <c r="A4">
        <v>250</v>
      </c>
      <c r="B4">
        <v>30.04</v>
      </c>
      <c r="C4">
        <v>1.44</v>
      </c>
      <c r="D4">
        <v>178.31</v>
      </c>
      <c r="E4">
        <v>3.39</v>
      </c>
    </row>
    <row r="5" spans="1:5" x14ac:dyDescent="0.3">
      <c r="A5">
        <v>298</v>
      </c>
      <c r="B5">
        <v>29.93</v>
      </c>
      <c r="C5">
        <v>0</v>
      </c>
      <c r="D5">
        <v>183.6</v>
      </c>
      <c r="E5">
        <v>6.36</v>
      </c>
    </row>
    <row r="6" spans="1:5" x14ac:dyDescent="0.3">
      <c r="A6">
        <v>300</v>
      </c>
      <c r="B6">
        <v>29.93</v>
      </c>
      <c r="C6">
        <v>0.06</v>
      </c>
      <c r="D6">
        <v>183.78</v>
      </c>
      <c r="E6">
        <v>6.45</v>
      </c>
    </row>
    <row r="7" spans="1:5" x14ac:dyDescent="0.3">
      <c r="A7">
        <v>350</v>
      </c>
      <c r="B7">
        <v>29.82</v>
      </c>
      <c r="C7">
        <v>1.55</v>
      </c>
      <c r="D7">
        <v>188.39</v>
      </c>
      <c r="E7">
        <v>8.73</v>
      </c>
    </row>
    <row r="8" spans="1:5" x14ac:dyDescent="0.3">
      <c r="A8">
        <v>400</v>
      </c>
      <c r="B8">
        <v>29.72</v>
      </c>
      <c r="C8">
        <v>3.04</v>
      </c>
      <c r="D8">
        <v>192.36</v>
      </c>
      <c r="E8">
        <v>10.5</v>
      </c>
    </row>
    <row r="9" spans="1:5" x14ac:dyDescent="0.3">
      <c r="A9">
        <v>450</v>
      </c>
      <c r="B9">
        <v>29.63</v>
      </c>
      <c r="C9">
        <v>4.5199999999999996</v>
      </c>
      <c r="D9">
        <v>195.86</v>
      </c>
      <c r="E9">
        <v>11.93</v>
      </c>
    </row>
    <row r="10" spans="1:5" x14ac:dyDescent="0.3">
      <c r="A10">
        <v>500</v>
      </c>
      <c r="B10">
        <v>29.57</v>
      </c>
      <c r="C10">
        <v>6</v>
      </c>
      <c r="D10">
        <v>198.97</v>
      </c>
      <c r="E10">
        <v>13.11</v>
      </c>
    </row>
    <row r="11" spans="1:5" x14ac:dyDescent="0.3">
      <c r="A11">
        <v>550</v>
      </c>
      <c r="B11">
        <v>29.53</v>
      </c>
      <c r="C11">
        <v>7.48</v>
      </c>
      <c r="D11">
        <v>201.79</v>
      </c>
      <c r="E11">
        <v>14.11</v>
      </c>
    </row>
    <row r="12" spans="1:5" x14ac:dyDescent="0.3">
      <c r="A12">
        <v>600</v>
      </c>
      <c r="B12">
        <v>29.53</v>
      </c>
      <c r="C12">
        <v>8.9499999999999993</v>
      </c>
      <c r="D12">
        <v>204.36</v>
      </c>
      <c r="E12">
        <v>14.97</v>
      </c>
    </row>
    <row r="13" spans="1:5" x14ac:dyDescent="0.3">
      <c r="A13">
        <v>650</v>
      </c>
      <c r="B13">
        <v>29.55</v>
      </c>
      <c r="C13">
        <v>10.43</v>
      </c>
      <c r="D13">
        <v>206.72</v>
      </c>
      <c r="E13">
        <v>15.72</v>
      </c>
    </row>
    <row r="14" spans="1:5" x14ac:dyDescent="0.3">
      <c r="A14">
        <v>700</v>
      </c>
      <c r="B14">
        <v>29.61</v>
      </c>
      <c r="C14">
        <v>11.91</v>
      </c>
      <c r="D14">
        <v>208.92</v>
      </c>
      <c r="E14">
        <v>16.38</v>
      </c>
    </row>
    <row r="15" spans="1:5" x14ac:dyDescent="0.3">
      <c r="A15">
        <v>750</v>
      </c>
      <c r="B15">
        <v>29.71</v>
      </c>
      <c r="C15">
        <v>13.39</v>
      </c>
      <c r="D15">
        <v>210.96</v>
      </c>
      <c r="E15">
        <v>16.97</v>
      </c>
    </row>
    <row r="16" spans="1:5" x14ac:dyDescent="0.3">
      <c r="A16">
        <v>800</v>
      </c>
      <c r="B16">
        <v>29.84</v>
      </c>
      <c r="C16">
        <v>14.88</v>
      </c>
      <c r="D16">
        <v>212.88</v>
      </c>
      <c r="E16">
        <v>17.510000000000002</v>
      </c>
    </row>
    <row r="17" spans="1:5" x14ac:dyDescent="0.3">
      <c r="A17">
        <v>850</v>
      </c>
      <c r="B17">
        <v>30.01</v>
      </c>
      <c r="C17">
        <v>16.38</v>
      </c>
      <c r="D17">
        <v>214.7</v>
      </c>
      <c r="E17">
        <v>17.989999999999998</v>
      </c>
    </row>
    <row r="18" spans="1:5" x14ac:dyDescent="0.3">
      <c r="A18">
        <v>900</v>
      </c>
      <c r="B18">
        <v>30.21</v>
      </c>
      <c r="C18">
        <v>17.88</v>
      </c>
      <c r="D18">
        <v>216.42</v>
      </c>
      <c r="E18">
        <v>18.43</v>
      </c>
    </row>
    <row r="19" spans="1:5" x14ac:dyDescent="0.3">
      <c r="A19">
        <v>950</v>
      </c>
      <c r="B19">
        <v>30.43</v>
      </c>
      <c r="C19">
        <v>19.399999999999999</v>
      </c>
      <c r="D19">
        <v>218.06</v>
      </c>
      <c r="E19">
        <v>18.84</v>
      </c>
    </row>
    <row r="20" spans="1:5" x14ac:dyDescent="0.3">
      <c r="A20" s="1">
        <v>1000</v>
      </c>
      <c r="B20">
        <v>30.68</v>
      </c>
      <c r="C20">
        <v>20.93</v>
      </c>
      <c r="D20">
        <v>219.62</v>
      </c>
      <c r="E20">
        <v>19.21</v>
      </c>
    </row>
    <row r="21" spans="1:5" x14ac:dyDescent="0.3">
      <c r="A21" s="1">
        <v>1050</v>
      </c>
      <c r="B21">
        <v>30.94</v>
      </c>
      <c r="C21">
        <v>22.47</v>
      </c>
      <c r="D21">
        <v>221.13</v>
      </c>
      <c r="E21">
        <v>19.559999999999999</v>
      </c>
    </row>
    <row r="22" spans="1:5" x14ac:dyDescent="0.3">
      <c r="A22" s="1">
        <v>1100</v>
      </c>
      <c r="B22">
        <v>31.18</v>
      </c>
      <c r="C22">
        <v>24.02</v>
      </c>
      <c r="D22">
        <v>222.57</v>
      </c>
      <c r="E22">
        <v>19.88</v>
      </c>
    </row>
    <row r="23" spans="1:5" x14ac:dyDescent="0.3">
      <c r="A23" s="1">
        <v>1150</v>
      </c>
      <c r="B23">
        <v>31.43</v>
      </c>
      <c r="C23">
        <v>25.59</v>
      </c>
      <c r="D23">
        <v>223.96</v>
      </c>
      <c r="E23">
        <v>20.18</v>
      </c>
    </row>
    <row r="24" spans="1:5" x14ac:dyDescent="0.3">
      <c r="A24" s="1">
        <v>1200</v>
      </c>
      <c r="B24">
        <v>31.66</v>
      </c>
      <c r="C24">
        <v>27.16</v>
      </c>
      <c r="D24">
        <v>225.31</v>
      </c>
      <c r="E24">
        <v>20.47</v>
      </c>
    </row>
    <row r="25" spans="1:5" x14ac:dyDescent="0.3">
      <c r="A25" s="1">
        <v>1250</v>
      </c>
      <c r="B25">
        <v>31.89</v>
      </c>
      <c r="C25">
        <v>28.75</v>
      </c>
      <c r="D25">
        <v>226.6</v>
      </c>
      <c r="E25">
        <v>20.74</v>
      </c>
    </row>
    <row r="26" spans="1:5" x14ac:dyDescent="0.3">
      <c r="A26" s="1">
        <v>1300</v>
      </c>
      <c r="B26">
        <v>32.11</v>
      </c>
      <c r="C26">
        <v>30.35</v>
      </c>
      <c r="D26">
        <v>227.86</v>
      </c>
      <c r="E26">
        <v>20.99</v>
      </c>
    </row>
    <row r="27" spans="1:5" x14ac:dyDescent="0.3">
      <c r="A27" s="1">
        <v>1350</v>
      </c>
      <c r="B27">
        <v>32.33</v>
      </c>
      <c r="C27">
        <v>31.96</v>
      </c>
      <c r="D27">
        <v>229.07</v>
      </c>
      <c r="E27">
        <v>21.23</v>
      </c>
    </row>
    <row r="28" spans="1:5" x14ac:dyDescent="0.3">
      <c r="A28" s="1">
        <v>1400</v>
      </c>
      <c r="B28">
        <v>32.54</v>
      </c>
      <c r="C28">
        <v>33.58</v>
      </c>
      <c r="D28">
        <v>230.25</v>
      </c>
      <c r="E28">
        <v>21.46</v>
      </c>
    </row>
    <row r="29" spans="1:5" x14ac:dyDescent="0.3">
      <c r="A29" s="1">
        <v>1450</v>
      </c>
      <c r="B29">
        <v>32.74</v>
      </c>
      <c r="C29">
        <v>35.22</v>
      </c>
      <c r="D29">
        <v>231.4</v>
      </c>
      <c r="E29">
        <v>21.68</v>
      </c>
    </row>
    <row r="30" spans="1:5" x14ac:dyDescent="0.3">
      <c r="A30" s="1">
        <v>1500</v>
      </c>
      <c r="B30">
        <v>32.94</v>
      </c>
      <c r="C30">
        <v>36.86</v>
      </c>
      <c r="D30">
        <v>232.51</v>
      </c>
      <c r="E30">
        <v>21.88</v>
      </c>
    </row>
    <row r="31" spans="1:5" x14ac:dyDescent="0.3">
      <c r="A31" s="1">
        <v>1550</v>
      </c>
      <c r="B31">
        <v>33.130000000000003</v>
      </c>
      <c r="C31">
        <v>38.51</v>
      </c>
      <c r="D31">
        <v>233.6</v>
      </c>
      <c r="E31">
        <v>22.08</v>
      </c>
    </row>
    <row r="32" spans="1:5" x14ac:dyDescent="0.3">
      <c r="A32" s="1">
        <v>1600</v>
      </c>
      <c r="B32">
        <v>33.32</v>
      </c>
      <c r="C32">
        <v>40.17</v>
      </c>
      <c r="D32">
        <v>234.65</v>
      </c>
      <c r="E32">
        <v>22.27</v>
      </c>
    </row>
    <row r="33" spans="1:5" x14ac:dyDescent="0.3">
      <c r="A33" s="1">
        <v>1650</v>
      </c>
      <c r="B33">
        <v>33.5</v>
      </c>
      <c r="C33">
        <v>41.84</v>
      </c>
      <c r="D33">
        <v>235.68</v>
      </c>
      <c r="E33">
        <v>22.46</v>
      </c>
    </row>
    <row r="34" spans="1:5" x14ac:dyDescent="0.3">
      <c r="A34" s="1">
        <v>1700</v>
      </c>
      <c r="B34">
        <v>33.68</v>
      </c>
      <c r="C34">
        <v>43.52</v>
      </c>
      <c r="D34">
        <v>236.68</v>
      </c>
      <c r="E34">
        <v>22.63</v>
      </c>
    </row>
    <row r="35" spans="1:5" x14ac:dyDescent="0.3">
      <c r="A35" s="1">
        <v>1750</v>
      </c>
      <c r="B35">
        <v>33.85</v>
      </c>
      <c r="C35">
        <v>45.21</v>
      </c>
      <c r="D35">
        <v>237.66</v>
      </c>
      <c r="E35">
        <v>22.8</v>
      </c>
    </row>
    <row r="36" spans="1:5" x14ac:dyDescent="0.3">
      <c r="A36" s="1">
        <v>1800</v>
      </c>
      <c r="B36">
        <v>34.020000000000003</v>
      </c>
      <c r="C36">
        <v>46.91</v>
      </c>
      <c r="D36">
        <v>238.62</v>
      </c>
      <c r="E36">
        <v>22.96</v>
      </c>
    </row>
    <row r="37" spans="1:5" x14ac:dyDescent="0.3">
      <c r="A37" s="1">
        <v>1850</v>
      </c>
      <c r="B37">
        <v>34.18</v>
      </c>
      <c r="C37">
        <v>48.61</v>
      </c>
      <c r="D37">
        <v>239.55</v>
      </c>
      <c r="E37">
        <v>23.12</v>
      </c>
    </row>
    <row r="38" spans="1:5" x14ac:dyDescent="0.3">
      <c r="A38" s="1">
        <v>1900</v>
      </c>
      <c r="B38">
        <v>34.340000000000003</v>
      </c>
      <c r="C38">
        <v>50.33</v>
      </c>
      <c r="D38">
        <v>240.46</v>
      </c>
      <c r="E38">
        <v>23.27</v>
      </c>
    </row>
    <row r="39" spans="1:5" x14ac:dyDescent="0.3">
      <c r="A39" s="1">
        <v>1950</v>
      </c>
      <c r="B39">
        <v>34.49</v>
      </c>
      <c r="C39">
        <v>52.05</v>
      </c>
      <c r="D39">
        <v>241.36</v>
      </c>
      <c r="E39">
        <v>23.42</v>
      </c>
    </row>
    <row r="40" spans="1:5" x14ac:dyDescent="0.3">
      <c r="A40" s="1">
        <v>2000</v>
      </c>
      <c r="B40">
        <v>34.630000000000003</v>
      </c>
      <c r="C40">
        <v>53.77</v>
      </c>
      <c r="D40">
        <v>242.23</v>
      </c>
      <c r="E40">
        <v>23.56</v>
      </c>
    </row>
    <row r="41" spans="1:5" x14ac:dyDescent="0.3">
      <c r="A41" s="1">
        <v>2050</v>
      </c>
      <c r="B41">
        <v>34.78</v>
      </c>
      <c r="C41">
        <v>55.51</v>
      </c>
      <c r="D41">
        <v>243.09</v>
      </c>
      <c r="E41">
        <v>23.69</v>
      </c>
    </row>
    <row r="42" spans="1:5" x14ac:dyDescent="0.3">
      <c r="A42" s="1">
        <v>2100</v>
      </c>
      <c r="B42">
        <v>34.909999999999997</v>
      </c>
      <c r="C42">
        <v>57.25</v>
      </c>
      <c r="D42">
        <v>243.93</v>
      </c>
      <c r="E42">
        <v>23.83</v>
      </c>
    </row>
    <row r="43" spans="1:5" x14ac:dyDescent="0.3">
      <c r="A43" s="1">
        <v>2150</v>
      </c>
      <c r="B43">
        <v>35.049999999999997</v>
      </c>
      <c r="C43">
        <v>59</v>
      </c>
      <c r="D43">
        <v>244.75</v>
      </c>
      <c r="E43">
        <v>23.96</v>
      </c>
    </row>
    <row r="44" spans="1:5" x14ac:dyDescent="0.3">
      <c r="A44" s="1">
        <v>2200</v>
      </c>
      <c r="B44">
        <v>35.18</v>
      </c>
      <c r="C44">
        <v>60.76</v>
      </c>
      <c r="D44">
        <v>245.56</v>
      </c>
      <c r="E44">
        <v>24.08</v>
      </c>
    </row>
    <row r="45" spans="1:5" x14ac:dyDescent="0.3">
      <c r="A45" s="1">
        <v>2250</v>
      </c>
      <c r="B45">
        <v>35.299999999999997</v>
      </c>
      <c r="C45">
        <v>62.52</v>
      </c>
      <c r="D45">
        <v>246.35</v>
      </c>
      <c r="E45">
        <v>24.2</v>
      </c>
    </row>
    <row r="46" spans="1:5" x14ac:dyDescent="0.3">
      <c r="A46" s="1">
        <v>2300</v>
      </c>
      <c r="B46">
        <v>35.42</v>
      </c>
      <c r="C46">
        <v>64.290000000000006</v>
      </c>
      <c r="D46">
        <v>247.13</v>
      </c>
      <c r="E46">
        <v>24.32</v>
      </c>
    </row>
    <row r="47" spans="1:5" x14ac:dyDescent="0.3">
      <c r="A47" s="1">
        <v>2350</v>
      </c>
      <c r="B47">
        <v>35.54</v>
      </c>
      <c r="C47">
        <v>66.06</v>
      </c>
      <c r="D47">
        <v>247.89</v>
      </c>
      <c r="E47">
        <v>24.44</v>
      </c>
    </row>
    <row r="48" spans="1:5" x14ac:dyDescent="0.3">
      <c r="A48" s="1">
        <v>2400</v>
      </c>
      <c r="B48">
        <v>35.65</v>
      </c>
      <c r="C48">
        <v>67.84</v>
      </c>
      <c r="D48">
        <v>248.64</v>
      </c>
      <c r="E48">
        <v>24.55</v>
      </c>
    </row>
    <row r="49" spans="1:5" x14ac:dyDescent="0.3">
      <c r="A49" s="1">
        <v>2450</v>
      </c>
      <c r="B49">
        <v>35.76</v>
      </c>
      <c r="C49">
        <v>69.63</v>
      </c>
      <c r="D49">
        <v>249.38</v>
      </c>
      <c r="E49">
        <v>24.66</v>
      </c>
    </row>
    <row r="50" spans="1:5" x14ac:dyDescent="0.3">
      <c r="A50" s="1">
        <v>2500</v>
      </c>
      <c r="B50">
        <v>35.869999999999997</v>
      </c>
      <c r="C50">
        <v>71.42</v>
      </c>
      <c r="D50">
        <v>250.1</v>
      </c>
      <c r="E50">
        <v>24.77</v>
      </c>
    </row>
    <row r="51" spans="1:5" x14ac:dyDescent="0.3">
      <c r="A51" s="1">
        <v>2550</v>
      </c>
      <c r="B51">
        <v>35.97</v>
      </c>
      <c r="C51">
        <v>73.209999999999994</v>
      </c>
      <c r="D51">
        <v>250.81</v>
      </c>
      <c r="E51">
        <v>24.88</v>
      </c>
    </row>
    <row r="52" spans="1:5" x14ac:dyDescent="0.3">
      <c r="A52" s="1">
        <v>2600</v>
      </c>
      <c r="B52">
        <v>36.07</v>
      </c>
      <c r="C52">
        <v>75.010000000000005</v>
      </c>
      <c r="D52">
        <v>251.51</v>
      </c>
      <c r="E52">
        <v>24.98</v>
      </c>
    </row>
    <row r="53" spans="1:5" x14ac:dyDescent="0.3">
      <c r="A53" s="1">
        <v>2650</v>
      </c>
      <c r="B53">
        <v>36.17</v>
      </c>
      <c r="C53">
        <v>76.819999999999993</v>
      </c>
      <c r="D53">
        <v>252.2</v>
      </c>
      <c r="E53">
        <v>25.08</v>
      </c>
    </row>
    <row r="54" spans="1:5" x14ac:dyDescent="0.3">
      <c r="A54" s="1">
        <v>2700</v>
      </c>
      <c r="B54">
        <v>36.26</v>
      </c>
      <c r="C54">
        <v>78.63</v>
      </c>
      <c r="D54">
        <v>252.88</v>
      </c>
      <c r="E54">
        <v>25.18</v>
      </c>
    </row>
    <row r="55" spans="1:5" x14ac:dyDescent="0.3">
      <c r="A55" s="1">
        <v>2750</v>
      </c>
      <c r="B55">
        <v>36.35</v>
      </c>
      <c r="C55">
        <v>80.45</v>
      </c>
      <c r="D55">
        <v>253.54</v>
      </c>
      <c r="E55">
        <v>25.27</v>
      </c>
    </row>
    <row r="56" spans="1:5" x14ac:dyDescent="0.3">
      <c r="A56" s="1">
        <v>2800</v>
      </c>
      <c r="B56">
        <v>36.44</v>
      </c>
      <c r="C56">
        <v>82.27</v>
      </c>
      <c r="D56">
        <v>254.2</v>
      </c>
      <c r="E56">
        <v>25.37</v>
      </c>
    </row>
    <row r="57" spans="1:5" x14ac:dyDescent="0.3">
      <c r="A57" s="1">
        <v>2850</v>
      </c>
      <c r="B57">
        <v>36.520000000000003</v>
      </c>
      <c r="C57">
        <v>84.09</v>
      </c>
      <c r="D57">
        <v>254.85</v>
      </c>
      <c r="E57">
        <v>25.46</v>
      </c>
    </row>
    <row r="58" spans="1:5" x14ac:dyDescent="0.3">
      <c r="A58" s="1">
        <v>2900</v>
      </c>
      <c r="B58">
        <v>36.6</v>
      </c>
      <c r="C58">
        <v>85.92</v>
      </c>
      <c r="D58">
        <v>255.48</v>
      </c>
      <c r="E58">
        <v>25.55</v>
      </c>
    </row>
    <row r="59" spans="1:5" x14ac:dyDescent="0.3">
      <c r="A59" s="1">
        <v>2950</v>
      </c>
      <c r="B59">
        <v>36.68</v>
      </c>
      <c r="C59">
        <v>87.75</v>
      </c>
      <c r="D59">
        <v>256.11</v>
      </c>
      <c r="E59">
        <v>25.64</v>
      </c>
    </row>
    <row r="60" spans="1:5" x14ac:dyDescent="0.3">
      <c r="A60" s="1">
        <v>3000</v>
      </c>
      <c r="B60">
        <v>36.76</v>
      </c>
      <c r="C60">
        <v>89.59</v>
      </c>
      <c r="D60">
        <v>256.72000000000003</v>
      </c>
      <c r="E60">
        <v>25.72</v>
      </c>
    </row>
    <row r="61" spans="1:5" x14ac:dyDescent="0.3">
      <c r="A61" s="1">
        <v>3050</v>
      </c>
      <c r="B61">
        <v>36.83</v>
      </c>
      <c r="C61">
        <v>91.43</v>
      </c>
      <c r="D61">
        <v>257.33</v>
      </c>
      <c r="E61">
        <v>25.81</v>
      </c>
    </row>
    <row r="62" spans="1:5" x14ac:dyDescent="0.3">
      <c r="A62" s="1">
        <v>3100</v>
      </c>
      <c r="B62">
        <v>36.9</v>
      </c>
      <c r="C62">
        <v>93.27</v>
      </c>
      <c r="D62">
        <v>257.93</v>
      </c>
      <c r="E62">
        <v>25.89</v>
      </c>
    </row>
    <row r="63" spans="1:5" x14ac:dyDescent="0.3">
      <c r="A63" s="1">
        <v>3150</v>
      </c>
      <c r="B63">
        <v>36.97</v>
      </c>
      <c r="C63">
        <v>95.12</v>
      </c>
      <c r="D63">
        <v>258.52</v>
      </c>
      <c r="E63">
        <v>25.97</v>
      </c>
    </row>
    <row r="64" spans="1:5" x14ac:dyDescent="0.3">
      <c r="A64" s="1">
        <v>3200</v>
      </c>
      <c r="B64">
        <v>37.04</v>
      </c>
      <c r="C64">
        <v>96.97</v>
      </c>
      <c r="D64">
        <v>259.11</v>
      </c>
      <c r="E64">
        <v>26.06</v>
      </c>
    </row>
    <row r="65" spans="1:5" x14ac:dyDescent="0.3">
      <c r="A65" s="1">
        <v>3250</v>
      </c>
      <c r="B65">
        <v>37.1</v>
      </c>
      <c r="C65">
        <v>98.82</v>
      </c>
      <c r="D65">
        <v>259.68</v>
      </c>
      <c r="E65">
        <v>26.13</v>
      </c>
    </row>
    <row r="66" spans="1:5" x14ac:dyDescent="0.3">
      <c r="A66" s="1">
        <v>3300</v>
      </c>
      <c r="B66">
        <v>37.159999999999997</v>
      </c>
      <c r="C66">
        <v>100.68</v>
      </c>
      <c r="D66">
        <v>260.25</v>
      </c>
      <c r="E66">
        <v>26.21</v>
      </c>
    </row>
    <row r="67" spans="1:5" x14ac:dyDescent="0.3">
      <c r="A67" s="1">
        <v>3350</v>
      </c>
      <c r="B67">
        <v>37.22</v>
      </c>
      <c r="C67">
        <v>102.54</v>
      </c>
      <c r="D67">
        <v>260.81</v>
      </c>
      <c r="E67">
        <v>26.29</v>
      </c>
    </row>
    <row r="68" spans="1:5" x14ac:dyDescent="0.3">
      <c r="A68" s="1">
        <v>3400</v>
      </c>
      <c r="B68">
        <v>37.28</v>
      </c>
      <c r="C68">
        <v>104.4</v>
      </c>
      <c r="D68">
        <v>261.36</v>
      </c>
      <c r="E68">
        <v>26.36</v>
      </c>
    </row>
    <row r="69" spans="1:5" x14ac:dyDescent="0.3">
      <c r="A69" s="1">
        <v>3450</v>
      </c>
      <c r="B69">
        <v>37.340000000000003</v>
      </c>
      <c r="C69">
        <v>106.26</v>
      </c>
      <c r="D69">
        <v>261.89999999999998</v>
      </c>
      <c r="E69">
        <v>26.44</v>
      </c>
    </row>
    <row r="70" spans="1:5" x14ac:dyDescent="0.3">
      <c r="A70" s="1">
        <v>3500</v>
      </c>
      <c r="B70">
        <v>37.4</v>
      </c>
      <c r="C70">
        <v>108.13</v>
      </c>
      <c r="D70">
        <v>262.44</v>
      </c>
      <c r="E70">
        <v>26.51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20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20.79</v>
      </c>
      <c r="C3">
        <v>2.04</v>
      </c>
      <c r="D3">
        <v>144.88</v>
      </c>
      <c r="E3">
        <v>265.57</v>
      </c>
    </row>
    <row r="4" spans="1:5" x14ac:dyDescent="0.3">
      <c r="A4">
        <v>250</v>
      </c>
      <c r="B4">
        <v>20.79</v>
      </c>
      <c r="C4">
        <v>1</v>
      </c>
      <c r="D4">
        <v>149.52000000000001</v>
      </c>
      <c r="E4">
        <v>208.91</v>
      </c>
    </row>
    <row r="5" spans="1:5" x14ac:dyDescent="0.3">
      <c r="A5">
        <v>298</v>
      </c>
      <c r="B5">
        <v>20.79</v>
      </c>
      <c r="C5">
        <v>0</v>
      </c>
      <c r="D5">
        <v>153.18</v>
      </c>
      <c r="E5">
        <v>172.23</v>
      </c>
    </row>
    <row r="6" spans="1:5" x14ac:dyDescent="0.3">
      <c r="A6">
        <v>300</v>
      </c>
      <c r="B6">
        <v>20.79</v>
      </c>
      <c r="C6">
        <v>0.04</v>
      </c>
      <c r="D6">
        <v>153.31</v>
      </c>
      <c r="E6">
        <v>171.06</v>
      </c>
    </row>
    <row r="7" spans="1:5" x14ac:dyDescent="0.3">
      <c r="A7">
        <v>350</v>
      </c>
      <c r="B7">
        <v>20.78</v>
      </c>
      <c r="C7">
        <v>1.08</v>
      </c>
      <c r="D7">
        <v>156.51</v>
      </c>
      <c r="E7">
        <v>143.96</v>
      </c>
    </row>
    <row r="8" spans="1:5" x14ac:dyDescent="0.3">
      <c r="A8">
        <v>400</v>
      </c>
      <c r="B8">
        <v>20.78</v>
      </c>
      <c r="C8">
        <v>2.12</v>
      </c>
      <c r="D8">
        <v>159.29</v>
      </c>
      <c r="E8">
        <v>123.59</v>
      </c>
    </row>
    <row r="9" spans="1:5" x14ac:dyDescent="0.3">
      <c r="A9">
        <v>450</v>
      </c>
      <c r="B9">
        <v>20.78</v>
      </c>
      <c r="C9">
        <v>3.16</v>
      </c>
      <c r="D9">
        <v>161.74</v>
      </c>
      <c r="E9">
        <v>107.71</v>
      </c>
    </row>
    <row r="10" spans="1:5" x14ac:dyDescent="0.3">
      <c r="A10">
        <v>500</v>
      </c>
      <c r="B10">
        <v>20.78</v>
      </c>
      <c r="C10">
        <v>4.2</v>
      </c>
      <c r="D10">
        <v>163.93</v>
      </c>
      <c r="E10">
        <v>94.98</v>
      </c>
    </row>
    <row r="11" spans="1:5" x14ac:dyDescent="0.3">
      <c r="A11">
        <v>550</v>
      </c>
      <c r="B11">
        <v>20.79</v>
      </c>
      <c r="C11">
        <v>5.23</v>
      </c>
      <c r="D11">
        <v>165.91</v>
      </c>
      <c r="E11">
        <v>84.54</v>
      </c>
    </row>
    <row r="12" spans="1:5" x14ac:dyDescent="0.3">
      <c r="A12">
        <v>600</v>
      </c>
      <c r="B12">
        <v>20.79</v>
      </c>
      <c r="C12">
        <v>6.27</v>
      </c>
      <c r="D12">
        <v>167.72</v>
      </c>
      <c r="E12">
        <v>75.83</v>
      </c>
    </row>
    <row r="13" spans="1:5" x14ac:dyDescent="0.3">
      <c r="A13">
        <v>650</v>
      </c>
      <c r="B13">
        <v>20.79</v>
      </c>
      <c r="C13">
        <v>7.31</v>
      </c>
      <c r="D13">
        <v>169.38</v>
      </c>
      <c r="E13">
        <v>68.430000000000007</v>
      </c>
    </row>
    <row r="14" spans="1:5" x14ac:dyDescent="0.3">
      <c r="A14">
        <v>700</v>
      </c>
      <c r="B14">
        <v>20.79</v>
      </c>
      <c r="C14">
        <v>8.35</v>
      </c>
      <c r="D14">
        <v>170.92</v>
      </c>
      <c r="E14">
        <v>62.08</v>
      </c>
    </row>
    <row r="15" spans="1:5" x14ac:dyDescent="0.3">
      <c r="A15">
        <v>750</v>
      </c>
      <c r="B15">
        <v>20.79</v>
      </c>
      <c r="C15">
        <v>9.39</v>
      </c>
      <c r="D15">
        <v>172.35</v>
      </c>
      <c r="E15">
        <v>56.57</v>
      </c>
    </row>
    <row r="16" spans="1:5" x14ac:dyDescent="0.3">
      <c r="A16">
        <v>800</v>
      </c>
      <c r="B16">
        <v>20.79</v>
      </c>
      <c r="C16">
        <v>10.43</v>
      </c>
      <c r="D16">
        <v>173.7</v>
      </c>
      <c r="E16">
        <v>51.73</v>
      </c>
    </row>
    <row r="17" spans="1:5" x14ac:dyDescent="0.3">
      <c r="A17">
        <v>850</v>
      </c>
      <c r="B17">
        <v>20.78</v>
      </c>
      <c r="C17">
        <v>11.47</v>
      </c>
      <c r="D17">
        <v>174.96</v>
      </c>
      <c r="E17">
        <v>47.46</v>
      </c>
    </row>
    <row r="18" spans="1:5" x14ac:dyDescent="0.3">
      <c r="A18">
        <v>900</v>
      </c>
      <c r="B18">
        <v>20.78</v>
      </c>
      <c r="C18">
        <v>12.51</v>
      </c>
      <c r="D18">
        <v>176.14</v>
      </c>
      <c r="E18">
        <v>43.65</v>
      </c>
    </row>
    <row r="19" spans="1:5" x14ac:dyDescent="0.3">
      <c r="A19">
        <v>950</v>
      </c>
      <c r="B19">
        <v>20.78</v>
      </c>
      <c r="C19">
        <v>13.55</v>
      </c>
      <c r="D19">
        <v>177.27</v>
      </c>
      <c r="E19">
        <v>40.229999999999997</v>
      </c>
    </row>
    <row r="20" spans="1:5" x14ac:dyDescent="0.3">
      <c r="A20" s="1">
        <v>1000</v>
      </c>
      <c r="B20">
        <v>20.78</v>
      </c>
      <c r="C20">
        <v>14.59</v>
      </c>
      <c r="D20">
        <v>178.33</v>
      </c>
      <c r="E20">
        <v>37.15</v>
      </c>
    </row>
    <row r="21" spans="1:5" x14ac:dyDescent="0.3">
      <c r="A21" s="1">
        <v>1050</v>
      </c>
      <c r="B21">
        <v>20.79</v>
      </c>
      <c r="C21">
        <v>15.63</v>
      </c>
      <c r="D21">
        <v>179.35</v>
      </c>
      <c r="E21">
        <v>34.36</v>
      </c>
    </row>
    <row r="22" spans="1:5" x14ac:dyDescent="0.3">
      <c r="A22" s="1">
        <v>1100</v>
      </c>
      <c r="B22">
        <v>20.79</v>
      </c>
      <c r="C22">
        <v>16.670000000000002</v>
      </c>
      <c r="D22">
        <v>180.32</v>
      </c>
      <c r="E22">
        <v>31.81</v>
      </c>
    </row>
    <row r="23" spans="1:5" x14ac:dyDescent="0.3">
      <c r="A23" s="1">
        <v>1150</v>
      </c>
      <c r="B23">
        <v>20.79</v>
      </c>
      <c r="C23">
        <v>17.71</v>
      </c>
      <c r="D23">
        <v>181.24</v>
      </c>
      <c r="E23">
        <v>29.48</v>
      </c>
    </row>
    <row r="24" spans="1:5" x14ac:dyDescent="0.3">
      <c r="A24" s="1">
        <v>1200</v>
      </c>
      <c r="B24">
        <v>20.79</v>
      </c>
      <c r="C24">
        <v>18.75</v>
      </c>
      <c r="D24">
        <v>182.13</v>
      </c>
      <c r="E24">
        <v>27.34</v>
      </c>
    </row>
    <row r="25" spans="1:5" x14ac:dyDescent="0.3">
      <c r="A25" s="1">
        <v>1250</v>
      </c>
      <c r="B25">
        <v>20.79</v>
      </c>
      <c r="C25">
        <v>19.79</v>
      </c>
      <c r="D25">
        <v>182.97</v>
      </c>
      <c r="E25">
        <v>25.37</v>
      </c>
    </row>
    <row r="26" spans="1:5" x14ac:dyDescent="0.3">
      <c r="A26" s="1">
        <v>1300</v>
      </c>
      <c r="B26">
        <v>20.79</v>
      </c>
      <c r="C26">
        <v>20.83</v>
      </c>
      <c r="D26">
        <v>183.79</v>
      </c>
      <c r="E26">
        <v>23.55</v>
      </c>
    </row>
    <row r="27" spans="1:5" x14ac:dyDescent="0.3">
      <c r="A27" s="1">
        <v>1350</v>
      </c>
      <c r="B27">
        <v>20.79</v>
      </c>
      <c r="C27">
        <v>21.87</v>
      </c>
      <c r="D27">
        <v>184.57</v>
      </c>
      <c r="E27">
        <v>21.85</v>
      </c>
    </row>
    <row r="28" spans="1:5" x14ac:dyDescent="0.3">
      <c r="A28" s="1">
        <v>1400</v>
      </c>
      <c r="B28">
        <v>20.79</v>
      </c>
      <c r="C28">
        <v>22.9</v>
      </c>
      <c r="D28">
        <v>185.33</v>
      </c>
      <c r="E28">
        <v>20.28</v>
      </c>
    </row>
    <row r="29" spans="1:5" x14ac:dyDescent="0.3">
      <c r="A29" s="1">
        <v>1450</v>
      </c>
      <c r="B29">
        <v>20.79</v>
      </c>
      <c r="C29">
        <v>23.94</v>
      </c>
      <c r="D29">
        <v>186.06</v>
      </c>
      <c r="E29">
        <v>18.809999999999999</v>
      </c>
    </row>
    <row r="30" spans="1:5" x14ac:dyDescent="0.3">
      <c r="A30" s="1">
        <v>1500</v>
      </c>
      <c r="B30">
        <v>20.79</v>
      </c>
      <c r="C30">
        <v>24.98</v>
      </c>
      <c r="D30">
        <v>186.76</v>
      </c>
      <c r="E30">
        <v>17.440000000000001</v>
      </c>
    </row>
    <row r="31" spans="1:5" x14ac:dyDescent="0.3">
      <c r="A31" s="1">
        <v>1550</v>
      </c>
      <c r="B31">
        <v>20.79</v>
      </c>
      <c r="C31">
        <v>26.02</v>
      </c>
      <c r="D31">
        <v>187.45</v>
      </c>
      <c r="E31">
        <v>16.149999999999999</v>
      </c>
    </row>
    <row r="32" spans="1:5" x14ac:dyDescent="0.3">
      <c r="A32" s="1">
        <v>1600</v>
      </c>
      <c r="B32">
        <v>20.79</v>
      </c>
      <c r="C32">
        <v>27.06</v>
      </c>
      <c r="D32">
        <v>188.11</v>
      </c>
      <c r="E32">
        <v>14.94</v>
      </c>
    </row>
    <row r="33" spans="1:5" x14ac:dyDescent="0.3">
      <c r="A33" s="1">
        <v>1650</v>
      </c>
      <c r="B33">
        <v>20.78</v>
      </c>
      <c r="C33">
        <v>28.1</v>
      </c>
      <c r="D33">
        <v>188.75</v>
      </c>
      <c r="E33">
        <v>13.8</v>
      </c>
    </row>
    <row r="34" spans="1:5" x14ac:dyDescent="0.3">
      <c r="A34" s="1">
        <v>1700</v>
      </c>
      <c r="B34">
        <v>20.78</v>
      </c>
      <c r="C34">
        <v>29.14</v>
      </c>
      <c r="D34">
        <v>189.37</v>
      </c>
      <c r="E34">
        <v>12.72</v>
      </c>
    </row>
    <row r="35" spans="1:5" x14ac:dyDescent="0.3">
      <c r="A35" s="1">
        <v>1750</v>
      </c>
      <c r="B35">
        <v>20.78</v>
      </c>
      <c r="C35">
        <v>30.18</v>
      </c>
      <c r="D35">
        <v>189.97</v>
      </c>
      <c r="E35">
        <v>11.71</v>
      </c>
    </row>
    <row r="36" spans="1:5" x14ac:dyDescent="0.3">
      <c r="A36" s="1">
        <v>1800</v>
      </c>
      <c r="B36">
        <v>20.78</v>
      </c>
      <c r="C36">
        <v>31.22</v>
      </c>
      <c r="D36">
        <v>190.55</v>
      </c>
      <c r="E36">
        <v>10.75</v>
      </c>
    </row>
    <row r="37" spans="1:5" x14ac:dyDescent="0.3">
      <c r="A37" s="1">
        <v>1850</v>
      </c>
      <c r="B37">
        <v>20.78</v>
      </c>
      <c r="C37">
        <v>32.26</v>
      </c>
      <c r="D37">
        <v>191.12</v>
      </c>
      <c r="E37">
        <v>9.84</v>
      </c>
    </row>
    <row r="38" spans="1:5" x14ac:dyDescent="0.3">
      <c r="A38" s="1">
        <v>1900</v>
      </c>
      <c r="B38">
        <v>20.78</v>
      </c>
      <c r="C38">
        <v>33.299999999999997</v>
      </c>
      <c r="D38">
        <v>191.68</v>
      </c>
      <c r="E38">
        <v>8.9700000000000006</v>
      </c>
    </row>
    <row r="39" spans="1:5" x14ac:dyDescent="0.3">
      <c r="A39" s="1">
        <v>1950</v>
      </c>
      <c r="B39">
        <v>20.78</v>
      </c>
      <c r="C39">
        <v>34.340000000000003</v>
      </c>
      <c r="D39">
        <v>192.22</v>
      </c>
      <c r="E39">
        <v>8.15</v>
      </c>
    </row>
    <row r="40" spans="1:5" x14ac:dyDescent="0.3">
      <c r="A40" s="1">
        <v>2000</v>
      </c>
      <c r="B40">
        <v>20.78</v>
      </c>
      <c r="C40">
        <v>35.369999999999997</v>
      </c>
      <c r="D40">
        <v>192.74</v>
      </c>
      <c r="E40">
        <v>7.37</v>
      </c>
    </row>
    <row r="41" spans="1:5" x14ac:dyDescent="0.3">
      <c r="A41" s="1">
        <v>2050</v>
      </c>
      <c r="B41">
        <v>20.78</v>
      </c>
      <c r="C41">
        <v>36.409999999999997</v>
      </c>
      <c r="D41">
        <v>193.26</v>
      </c>
      <c r="E41">
        <v>6.62</v>
      </c>
    </row>
    <row r="42" spans="1:5" x14ac:dyDescent="0.3">
      <c r="A42" s="1">
        <v>2100</v>
      </c>
      <c r="B42">
        <v>20.78</v>
      </c>
      <c r="C42">
        <v>37.450000000000003</v>
      </c>
      <c r="D42">
        <v>193.76</v>
      </c>
      <c r="E42">
        <v>5.91</v>
      </c>
    </row>
    <row r="43" spans="1:5" x14ac:dyDescent="0.3">
      <c r="A43" s="1">
        <v>2150</v>
      </c>
      <c r="B43">
        <v>20.78</v>
      </c>
      <c r="C43">
        <v>38.49</v>
      </c>
      <c r="D43">
        <v>194.25</v>
      </c>
      <c r="E43">
        <v>5.23</v>
      </c>
    </row>
    <row r="44" spans="1:5" x14ac:dyDescent="0.3">
      <c r="A44" s="1">
        <v>2200</v>
      </c>
      <c r="B44">
        <v>20.78</v>
      </c>
      <c r="C44">
        <v>39.53</v>
      </c>
      <c r="D44">
        <v>194.72</v>
      </c>
      <c r="E44">
        <v>4.58</v>
      </c>
    </row>
    <row r="45" spans="1:5" x14ac:dyDescent="0.3">
      <c r="A45" s="1">
        <v>2250</v>
      </c>
      <c r="B45">
        <v>20.79</v>
      </c>
      <c r="C45">
        <v>40.57</v>
      </c>
      <c r="D45">
        <v>195.19</v>
      </c>
      <c r="E45">
        <v>3.96</v>
      </c>
    </row>
    <row r="46" spans="1:5" x14ac:dyDescent="0.3">
      <c r="A46" s="1">
        <v>2300</v>
      </c>
      <c r="B46">
        <v>20.79</v>
      </c>
      <c r="C46">
        <v>41.61</v>
      </c>
      <c r="D46">
        <v>195.65</v>
      </c>
      <c r="E46">
        <v>3.36</v>
      </c>
    </row>
    <row r="47" spans="1:5" x14ac:dyDescent="0.3">
      <c r="A47" s="1">
        <v>2350</v>
      </c>
      <c r="B47">
        <v>20.79</v>
      </c>
      <c r="C47">
        <v>42.65</v>
      </c>
      <c r="D47">
        <v>196.09</v>
      </c>
      <c r="E47">
        <v>2.79</v>
      </c>
    </row>
    <row r="48" spans="1:5" x14ac:dyDescent="0.3">
      <c r="A48" s="1">
        <v>2400</v>
      </c>
      <c r="B48">
        <v>20.8</v>
      </c>
      <c r="C48">
        <v>43.69</v>
      </c>
      <c r="D48">
        <v>196.53</v>
      </c>
      <c r="E48">
        <v>2.2400000000000002</v>
      </c>
    </row>
    <row r="49" spans="1:5" x14ac:dyDescent="0.3">
      <c r="A49" s="1">
        <v>2450</v>
      </c>
      <c r="B49">
        <v>20.81</v>
      </c>
      <c r="C49">
        <v>44.73</v>
      </c>
      <c r="D49">
        <v>196.96</v>
      </c>
      <c r="E49">
        <v>1.71</v>
      </c>
    </row>
    <row r="50" spans="1:5" x14ac:dyDescent="0.3">
      <c r="A50" s="1">
        <v>2500</v>
      </c>
      <c r="B50">
        <v>20.82</v>
      </c>
      <c r="C50">
        <v>45.77</v>
      </c>
      <c r="D50">
        <v>197.38</v>
      </c>
      <c r="E50">
        <v>1.2</v>
      </c>
    </row>
    <row r="51" spans="1:5" x14ac:dyDescent="0.3">
      <c r="A51" s="1">
        <v>2550</v>
      </c>
      <c r="B51">
        <v>20.83</v>
      </c>
      <c r="C51">
        <v>46.81</v>
      </c>
      <c r="D51">
        <v>197.79</v>
      </c>
      <c r="E51">
        <v>0.71</v>
      </c>
    </row>
    <row r="52" spans="1:5" x14ac:dyDescent="0.3">
      <c r="A52" s="1">
        <v>2600</v>
      </c>
      <c r="B52">
        <v>20.84</v>
      </c>
      <c r="C52">
        <v>47.85</v>
      </c>
      <c r="D52">
        <v>198.2</v>
      </c>
      <c r="E52">
        <v>0.24</v>
      </c>
    </row>
    <row r="53" spans="1:5" x14ac:dyDescent="0.3">
      <c r="A53" s="1">
        <v>2650</v>
      </c>
      <c r="B53">
        <v>20.85</v>
      </c>
      <c r="C53">
        <v>48.89</v>
      </c>
      <c r="D53">
        <v>198.6</v>
      </c>
      <c r="E53">
        <v>0.22</v>
      </c>
    </row>
    <row r="54" spans="1:5" x14ac:dyDescent="0.3">
      <c r="A54" s="1">
        <v>2700</v>
      </c>
      <c r="B54">
        <v>20.86</v>
      </c>
      <c r="C54">
        <v>49.94</v>
      </c>
      <c r="D54">
        <v>198.99</v>
      </c>
      <c r="E54">
        <v>0.66</v>
      </c>
    </row>
    <row r="55" spans="1:5" x14ac:dyDescent="0.3">
      <c r="A55" s="1">
        <v>2750</v>
      </c>
      <c r="B55">
        <v>20.88</v>
      </c>
      <c r="C55">
        <v>50.98</v>
      </c>
      <c r="D55">
        <v>199.37</v>
      </c>
      <c r="E55">
        <v>1.08</v>
      </c>
    </row>
    <row r="56" spans="1:5" x14ac:dyDescent="0.3">
      <c r="A56" s="1">
        <v>2800</v>
      </c>
      <c r="B56">
        <v>20.89</v>
      </c>
      <c r="C56">
        <v>52.02</v>
      </c>
      <c r="D56">
        <v>199.74</v>
      </c>
      <c r="E56">
        <v>1.49</v>
      </c>
    </row>
    <row r="57" spans="1:5" x14ac:dyDescent="0.3">
      <c r="A57" s="1">
        <v>2850</v>
      </c>
      <c r="B57">
        <v>20.91</v>
      </c>
      <c r="C57">
        <v>53.07</v>
      </c>
      <c r="D57">
        <v>200.11</v>
      </c>
      <c r="E57">
        <v>1.88</v>
      </c>
    </row>
    <row r="58" spans="1:5" x14ac:dyDescent="0.3">
      <c r="A58" s="1">
        <v>2900</v>
      </c>
      <c r="B58">
        <v>20.93</v>
      </c>
      <c r="C58">
        <v>54.11</v>
      </c>
      <c r="D58">
        <v>200.48</v>
      </c>
      <c r="E58">
        <v>2.27</v>
      </c>
    </row>
    <row r="59" spans="1:5" x14ac:dyDescent="0.3">
      <c r="A59" s="1">
        <v>2950</v>
      </c>
      <c r="B59">
        <v>20.95</v>
      </c>
      <c r="C59">
        <v>55.16</v>
      </c>
      <c r="D59">
        <v>200.84</v>
      </c>
      <c r="E59">
        <v>2.64</v>
      </c>
    </row>
    <row r="60" spans="1:5" x14ac:dyDescent="0.3">
      <c r="A60" s="1">
        <v>3000</v>
      </c>
      <c r="B60">
        <v>20.97</v>
      </c>
      <c r="C60">
        <v>56.21</v>
      </c>
      <c r="D60">
        <v>201.19</v>
      </c>
      <c r="E60">
        <v>3</v>
      </c>
    </row>
    <row r="61" spans="1:5" x14ac:dyDescent="0.3">
      <c r="A61" s="1">
        <v>3050</v>
      </c>
      <c r="B61">
        <v>21</v>
      </c>
      <c r="C61">
        <v>57.26</v>
      </c>
      <c r="D61">
        <v>201.54</v>
      </c>
      <c r="E61">
        <v>3.34</v>
      </c>
    </row>
    <row r="62" spans="1:5" x14ac:dyDescent="0.3">
      <c r="A62" s="1">
        <v>3100</v>
      </c>
      <c r="B62">
        <v>21.02</v>
      </c>
      <c r="C62">
        <v>58.31</v>
      </c>
      <c r="D62">
        <v>201.88</v>
      </c>
      <c r="E62">
        <v>3.68</v>
      </c>
    </row>
    <row r="63" spans="1:5" x14ac:dyDescent="0.3">
      <c r="A63" s="1">
        <v>3150</v>
      </c>
      <c r="B63">
        <v>21.05</v>
      </c>
      <c r="C63">
        <v>59.36</v>
      </c>
      <c r="D63">
        <v>202.21</v>
      </c>
      <c r="E63">
        <v>4.01</v>
      </c>
    </row>
    <row r="64" spans="1:5" x14ac:dyDescent="0.3">
      <c r="A64" s="1">
        <v>3200</v>
      </c>
      <c r="B64">
        <v>21.08</v>
      </c>
      <c r="C64">
        <v>60.41</v>
      </c>
      <c r="D64">
        <v>202.55</v>
      </c>
      <c r="E64">
        <v>4.33</v>
      </c>
    </row>
    <row r="65" spans="1:5" x14ac:dyDescent="0.3">
      <c r="A65" s="1">
        <v>3250</v>
      </c>
      <c r="B65">
        <v>21.11</v>
      </c>
      <c r="C65">
        <v>61.47</v>
      </c>
      <c r="D65">
        <v>202.87</v>
      </c>
      <c r="E65">
        <v>4.6399999999999997</v>
      </c>
    </row>
    <row r="66" spans="1:5" x14ac:dyDescent="0.3">
      <c r="A66" s="1">
        <v>3300</v>
      </c>
      <c r="B66">
        <v>21.14</v>
      </c>
      <c r="C66">
        <v>62.53</v>
      </c>
      <c r="D66">
        <v>203.2</v>
      </c>
      <c r="E66">
        <v>4.9400000000000004</v>
      </c>
    </row>
    <row r="67" spans="1:5" x14ac:dyDescent="0.3">
      <c r="A67" s="1">
        <v>3350</v>
      </c>
      <c r="B67">
        <v>21.18</v>
      </c>
      <c r="C67">
        <v>63.58</v>
      </c>
      <c r="D67">
        <v>203.51</v>
      </c>
      <c r="E67">
        <v>5.23</v>
      </c>
    </row>
    <row r="68" spans="1:5" x14ac:dyDescent="0.3">
      <c r="A68" s="1">
        <v>3400</v>
      </c>
      <c r="B68">
        <v>21.21</v>
      </c>
      <c r="C68">
        <v>64.64</v>
      </c>
      <c r="D68">
        <v>203.83</v>
      </c>
      <c r="E68">
        <v>5.51</v>
      </c>
    </row>
    <row r="69" spans="1:5" x14ac:dyDescent="0.3">
      <c r="A69" s="1">
        <v>3450</v>
      </c>
      <c r="B69">
        <v>21.25</v>
      </c>
      <c r="C69">
        <v>65.709999999999994</v>
      </c>
      <c r="D69">
        <v>204.14</v>
      </c>
      <c r="E69">
        <v>5.79</v>
      </c>
    </row>
    <row r="70" spans="1:5" x14ac:dyDescent="0.3">
      <c r="A70" s="1">
        <v>3500</v>
      </c>
      <c r="B70">
        <v>21.29</v>
      </c>
      <c r="C70">
        <v>66.77</v>
      </c>
      <c r="D70">
        <v>204.44</v>
      </c>
      <c r="E70">
        <v>6.05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21</v>
      </c>
    </row>
    <row r="2" spans="1:5" x14ac:dyDescent="0.3">
      <c r="A2" t="s">
        <v>3</v>
      </c>
      <c r="B2" t="s">
        <v>4</v>
      </c>
      <c r="C2" t="s">
        <v>22</v>
      </c>
      <c r="D2" t="s">
        <v>1</v>
      </c>
      <c r="E2" t="s">
        <v>16</v>
      </c>
    </row>
    <row r="3" spans="1:5" x14ac:dyDescent="0.3">
      <c r="A3">
        <v>200</v>
      </c>
      <c r="B3">
        <v>29.37</v>
      </c>
      <c r="C3">
        <v>2.9</v>
      </c>
      <c r="D3">
        <v>198.85</v>
      </c>
      <c r="E3">
        <v>28.64</v>
      </c>
    </row>
    <row r="4" spans="1:5" x14ac:dyDescent="0.3">
      <c r="A4">
        <v>250</v>
      </c>
      <c r="B4">
        <v>29.56</v>
      </c>
      <c r="C4">
        <v>1.43</v>
      </c>
      <c r="D4">
        <v>205.42</v>
      </c>
      <c r="E4">
        <v>18.05</v>
      </c>
    </row>
    <row r="5" spans="1:5" x14ac:dyDescent="0.3">
      <c r="A5">
        <v>298</v>
      </c>
      <c r="B5">
        <v>29.73</v>
      </c>
      <c r="C5">
        <v>0</v>
      </c>
      <c r="D5">
        <v>210.64</v>
      </c>
      <c r="E5">
        <v>11.09</v>
      </c>
    </row>
    <row r="6" spans="1:5" x14ac:dyDescent="0.3">
      <c r="A6">
        <v>300</v>
      </c>
      <c r="B6">
        <v>29.73</v>
      </c>
      <c r="C6">
        <v>0.06</v>
      </c>
      <c r="D6">
        <v>210.83</v>
      </c>
      <c r="E6">
        <v>10.87</v>
      </c>
    </row>
    <row r="7" spans="1:5" x14ac:dyDescent="0.3">
      <c r="A7">
        <v>350</v>
      </c>
      <c r="B7">
        <v>29.91</v>
      </c>
      <c r="C7">
        <v>1.55</v>
      </c>
      <c r="D7">
        <v>215.42</v>
      </c>
      <c r="E7">
        <v>5.65</v>
      </c>
    </row>
    <row r="8" spans="1:5" x14ac:dyDescent="0.3">
      <c r="A8">
        <v>400</v>
      </c>
      <c r="B8">
        <v>30.1</v>
      </c>
      <c r="C8">
        <v>3.05</v>
      </c>
      <c r="D8">
        <v>219.43</v>
      </c>
      <c r="E8">
        <v>1.67</v>
      </c>
    </row>
    <row r="9" spans="1:5" x14ac:dyDescent="0.3">
      <c r="A9">
        <v>450</v>
      </c>
      <c r="B9">
        <v>30.32</v>
      </c>
      <c r="C9">
        <v>4.5599999999999996</v>
      </c>
      <c r="D9">
        <v>222.99</v>
      </c>
      <c r="E9">
        <v>1.47</v>
      </c>
    </row>
    <row r="10" spans="1:5" x14ac:dyDescent="0.3">
      <c r="A10">
        <v>500</v>
      </c>
      <c r="B10">
        <v>30.57</v>
      </c>
      <c r="C10">
        <v>6.08</v>
      </c>
      <c r="D10">
        <v>226.19</v>
      </c>
      <c r="E10">
        <v>4.0199999999999996</v>
      </c>
    </row>
    <row r="11" spans="1:5" x14ac:dyDescent="0.3">
      <c r="A11">
        <v>550</v>
      </c>
      <c r="B11">
        <v>30.85</v>
      </c>
      <c r="C11">
        <v>7.61</v>
      </c>
      <c r="D11">
        <v>229.12</v>
      </c>
      <c r="E11">
        <v>6.15</v>
      </c>
    </row>
    <row r="12" spans="1:5" x14ac:dyDescent="0.3">
      <c r="A12">
        <v>600</v>
      </c>
      <c r="B12">
        <v>31.17</v>
      </c>
      <c r="C12">
        <v>9.16</v>
      </c>
      <c r="D12">
        <v>231.82</v>
      </c>
      <c r="E12">
        <v>7.95</v>
      </c>
    </row>
    <row r="13" spans="1:5" x14ac:dyDescent="0.3">
      <c r="A13">
        <v>650</v>
      </c>
      <c r="B13">
        <v>31.53</v>
      </c>
      <c r="C13">
        <v>10.73</v>
      </c>
      <c r="D13">
        <v>234.33</v>
      </c>
      <c r="E13">
        <v>9.49</v>
      </c>
    </row>
    <row r="14" spans="1:5" x14ac:dyDescent="0.3">
      <c r="A14">
        <v>700</v>
      </c>
      <c r="B14">
        <v>31.91</v>
      </c>
      <c r="C14">
        <v>12.32</v>
      </c>
      <c r="D14">
        <v>236.68</v>
      </c>
      <c r="E14">
        <v>10.84</v>
      </c>
    </row>
    <row r="15" spans="1:5" x14ac:dyDescent="0.3">
      <c r="A15">
        <v>750</v>
      </c>
      <c r="B15">
        <v>32.31</v>
      </c>
      <c r="C15">
        <v>13.92</v>
      </c>
      <c r="D15">
        <v>238.89</v>
      </c>
      <c r="E15">
        <v>12.02</v>
      </c>
    </row>
    <row r="16" spans="1:5" x14ac:dyDescent="0.3">
      <c r="A16">
        <v>800</v>
      </c>
      <c r="B16">
        <v>32.71</v>
      </c>
      <c r="C16">
        <v>15.55</v>
      </c>
      <c r="D16">
        <v>240.99</v>
      </c>
      <c r="E16">
        <v>13.07</v>
      </c>
    </row>
    <row r="17" spans="1:5" x14ac:dyDescent="0.3">
      <c r="A17">
        <v>850</v>
      </c>
      <c r="B17">
        <v>33.11</v>
      </c>
      <c r="C17">
        <v>17.190000000000001</v>
      </c>
      <c r="D17">
        <v>242.99</v>
      </c>
      <c r="E17">
        <v>14.02</v>
      </c>
    </row>
    <row r="18" spans="1:5" x14ac:dyDescent="0.3">
      <c r="A18">
        <v>900</v>
      </c>
      <c r="B18">
        <v>33.49</v>
      </c>
      <c r="C18">
        <v>18.86</v>
      </c>
      <c r="D18">
        <v>244.89</v>
      </c>
      <c r="E18">
        <v>14.87</v>
      </c>
    </row>
    <row r="19" spans="1:5" x14ac:dyDescent="0.3">
      <c r="A19">
        <v>950</v>
      </c>
      <c r="B19">
        <v>33.82</v>
      </c>
      <c r="C19">
        <v>20.54</v>
      </c>
      <c r="D19">
        <v>246.71</v>
      </c>
      <c r="E19">
        <v>15.64</v>
      </c>
    </row>
    <row r="20" spans="1:5" x14ac:dyDescent="0.3">
      <c r="A20" s="1">
        <v>1000</v>
      </c>
      <c r="B20">
        <v>34.07</v>
      </c>
      <c r="C20">
        <v>22.24</v>
      </c>
      <c r="D20">
        <v>248.45</v>
      </c>
      <c r="E20">
        <v>16.350000000000001</v>
      </c>
    </row>
    <row r="21" spans="1:5" x14ac:dyDescent="0.3">
      <c r="A21" s="1">
        <v>1050</v>
      </c>
      <c r="B21">
        <v>34.28</v>
      </c>
      <c r="C21">
        <v>23.95</v>
      </c>
      <c r="D21">
        <v>250.12</v>
      </c>
      <c r="E21">
        <v>17</v>
      </c>
    </row>
    <row r="22" spans="1:5" x14ac:dyDescent="0.3">
      <c r="A22" s="1">
        <v>1100</v>
      </c>
      <c r="B22">
        <v>34.479999999999997</v>
      </c>
      <c r="C22">
        <v>25.67</v>
      </c>
      <c r="D22">
        <v>251.72</v>
      </c>
      <c r="E22">
        <v>17.600000000000001</v>
      </c>
    </row>
    <row r="23" spans="1:5" x14ac:dyDescent="0.3">
      <c r="A23" s="1">
        <v>1150</v>
      </c>
      <c r="B23">
        <v>34.67</v>
      </c>
      <c r="C23">
        <v>27.4</v>
      </c>
      <c r="D23">
        <v>253.25</v>
      </c>
      <c r="E23">
        <v>18.149999999999999</v>
      </c>
    </row>
    <row r="24" spans="1:5" x14ac:dyDescent="0.3">
      <c r="A24" s="1">
        <v>1200</v>
      </c>
      <c r="B24">
        <v>34.85</v>
      </c>
      <c r="C24">
        <v>29.13</v>
      </c>
      <c r="D24">
        <v>254.73</v>
      </c>
      <c r="E24">
        <v>18.670000000000002</v>
      </c>
    </row>
    <row r="25" spans="1:5" x14ac:dyDescent="0.3">
      <c r="A25" s="1">
        <v>1250</v>
      </c>
      <c r="B25">
        <v>35.020000000000003</v>
      </c>
      <c r="C25">
        <v>30.88</v>
      </c>
      <c r="D25">
        <v>256.16000000000003</v>
      </c>
      <c r="E25">
        <v>19.149999999999999</v>
      </c>
    </row>
    <row r="26" spans="1:5" x14ac:dyDescent="0.3">
      <c r="A26" s="1">
        <v>1300</v>
      </c>
      <c r="B26">
        <v>35.18</v>
      </c>
      <c r="C26">
        <v>32.64</v>
      </c>
      <c r="D26">
        <v>257.54000000000002</v>
      </c>
      <c r="E26">
        <v>19.600000000000001</v>
      </c>
    </row>
    <row r="27" spans="1:5" x14ac:dyDescent="0.3">
      <c r="A27" s="1">
        <v>1350</v>
      </c>
      <c r="B27">
        <v>35.33</v>
      </c>
      <c r="C27">
        <v>34.4</v>
      </c>
      <c r="D27">
        <v>258.87</v>
      </c>
      <c r="E27">
        <v>20.03</v>
      </c>
    </row>
    <row r="28" spans="1:5" x14ac:dyDescent="0.3">
      <c r="A28" s="1">
        <v>1400</v>
      </c>
      <c r="B28">
        <v>35.47</v>
      </c>
      <c r="C28">
        <v>36.17</v>
      </c>
      <c r="D28">
        <v>260.14999999999998</v>
      </c>
      <c r="E28">
        <v>20.43</v>
      </c>
    </row>
    <row r="29" spans="1:5" x14ac:dyDescent="0.3">
      <c r="A29" s="1">
        <v>1450</v>
      </c>
      <c r="B29">
        <v>35.61</v>
      </c>
      <c r="C29">
        <v>37.950000000000003</v>
      </c>
      <c r="D29">
        <v>261.39999999999998</v>
      </c>
      <c r="E29">
        <v>20.8</v>
      </c>
    </row>
    <row r="30" spans="1:5" x14ac:dyDescent="0.3">
      <c r="A30" s="1">
        <v>1500</v>
      </c>
      <c r="B30">
        <v>35.74</v>
      </c>
      <c r="C30">
        <v>39.729999999999997</v>
      </c>
      <c r="D30">
        <v>262.61</v>
      </c>
      <c r="E30">
        <v>21.16</v>
      </c>
    </row>
    <row r="31" spans="1:5" x14ac:dyDescent="0.3">
      <c r="A31" s="1">
        <v>1550</v>
      </c>
      <c r="B31">
        <v>35.86</v>
      </c>
      <c r="C31">
        <v>41.52</v>
      </c>
      <c r="D31">
        <v>263.77999999999997</v>
      </c>
      <c r="E31">
        <v>21.5</v>
      </c>
    </row>
    <row r="32" spans="1:5" x14ac:dyDescent="0.3">
      <c r="A32" s="1">
        <v>1600</v>
      </c>
      <c r="B32">
        <v>35.97</v>
      </c>
      <c r="C32">
        <v>43.32</v>
      </c>
      <c r="D32">
        <v>264.92</v>
      </c>
      <c r="E32">
        <v>21.82</v>
      </c>
    </row>
    <row r="33" spans="1:5" x14ac:dyDescent="0.3">
      <c r="A33" s="1">
        <v>1650</v>
      </c>
      <c r="B33">
        <v>36.08</v>
      </c>
      <c r="C33">
        <v>45.12</v>
      </c>
      <c r="D33">
        <v>266.02999999999997</v>
      </c>
      <c r="E33">
        <v>22.13</v>
      </c>
    </row>
    <row r="34" spans="1:5" x14ac:dyDescent="0.3">
      <c r="A34" s="1">
        <v>1700</v>
      </c>
      <c r="B34">
        <v>36.18</v>
      </c>
      <c r="C34">
        <v>46.92</v>
      </c>
      <c r="D34">
        <v>267.11</v>
      </c>
      <c r="E34">
        <v>22.42</v>
      </c>
    </row>
    <row r="35" spans="1:5" x14ac:dyDescent="0.3">
      <c r="A35" s="1">
        <v>1750</v>
      </c>
      <c r="B35">
        <v>36.270000000000003</v>
      </c>
      <c r="C35">
        <v>48.73</v>
      </c>
      <c r="D35">
        <v>268.16000000000003</v>
      </c>
      <c r="E35">
        <v>22.7</v>
      </c>
    </row>
    <row r="36" spans="1:5" x14ac:dyDescent="0.3">
      <c r="A36" s="1">
        <v>1800</v>
      </c>
      <c r="B36">
        <v>36.36</v>
      </c>
      <c r="C36">
        <v>50.55</v>
      </c>
      <c r="D36">
        <v>269.18</v>
      </c>
      <c r="E36">
        <v>22.97</v>
      </c>
    </row>
    <row r="37" spans="1:5" x14ac:dyDescent="0.3">
      <c r="A37" s="1">
        <v>1850</v>
      </c>
      <c r="B37">
        <v>36.450000000000003</v>
      </c>
      <c r="C37">
        <v>52.37</v>
      </c>
      <c r="D37">
        <v>270.18</v>
      </c>
      <c r="E37">
        <v>23.22</v>
      </c>
    </row>
    <row r="38" spans="1:5" x14ac:dyDescent="0.3">
      <c r="A38" s="1">
        <v>1900</v>
      </c>
      <c r="B38">
        <v>36.53</v>
      </c>
      <c r="C38">
        <v>54.19</v>
      </c>
      <c r="D38">
        <v>271.14999999999998</v>
      </c>
      <c r="E38">
        <v>23.47</v>
      </c>
    </row>
    <row r="39" spans="1:5" x14ac:dyDescent="0.3">
      <c r="A39" s="1">
        <v>1950</v>
      </c>
      <c r="B39">
        <v>36.6</v>
      </c>
      <c r="C39">
        <v>56.02</v>
      </c>
      <c r="D39">
        <v>272.10000000000002</v>
      </c>
      <c r="E39">
        <v>23.7</v>
      </c>
    </row>
    <row r="40" spans="1:5" x14ac:dyDescent="0.3">
      <c r="A40" s="1">
        <v>2000</v>
      </c>
      <c r="B40">
        <v>36.67</v>
      </c>
      <c r="C40">
        <v>57.85</v>
      </c>
      <c r="D40">
        <v>273.02999999999997</v>
      </c>
      <c r="E40">
        <v>23.93</v>
      </c>
    </row>
    <row r="41" spans="1:5" x14ac:dyDescent="0.3">
      <c r="A41" s="1">
        <v>2050</v>
      </c>
      <c r="B41">
        <v>36.729999999999997</v>
      </c>
      <c r="C41">
        <v>59.69</v>
      </c>
      <c r="D41">
        <v>273.94</v>
      </c>
      <c r="E41">
        <v>24.15</v>
      </c>
    </row>
    <row r="42" spans="1:5" x14ac:dyDescent="0.3">
      <c r="A42" s="1">
        <v>2100</v>
      </c>
      <c r="B42">
        <v>36.799999999999997</v>
      </c>
      <c r="C42">
        <v>61.53</v>
      </c>
      <c r="D42">
        <v>274.82</v>
      </c>
      <c r="E42">
        <v>24.36</v>
      </c>
    </row>
    <row r="43" spans="1:5" x14ac:dyDescent="0.3">
      <c r="A43" s="1">
        <v>2150</v>
      </c>
      <c r="B43">
        <v>36.85</v>
      </c>
      <c r="C43">
        <v>63.37</v>
      </c>
      <c r="D43">
        <v>275.69</v>
      </c>
      <c r="E43">
        <v>24.56</v>
      </c>
    </row>
    <row r="44" spans="1:5" x14ac:dyDescent="0.3">
      <c r="A44" s="1">
        <v>2200</v>
      </c>
      <c r="B44">
        <v>36.909999999999997</v>
      </c>
      <c r="C44">
        <v>65.209999999999994</v>
      </c>
      <c r="D44">
        <v>276.54000000000002</v>
      </c>
      <c r="E44">
        <v>24.76</v>
      </c>
    </row>
    <row r="45" spans="1:5" x14ac:dyDescent="0.3">
      <c r="A45" s="1">
        <v>2250</v>
      </c>
      <c r="B45">
        <v>36.96</v>
      </c>
      <c r="C45">
        <v>67.06</v>
      </c>
      <c r="D45">
        <v>277.37</v>
      </c>
      <c r="E45">
        <v>24.95</v>
      </c>
    </row>
    <row r="46" spans="1:5" x14ac:dyDescent="0.3">
      <c r="A46" s="1">
        <v>2300</v>
      </c>
      <c r="B46">
        <v>37.01</v>
      </c>
      <c r="C46">
        <v>68.91</v>
      </c>
      <c r="D46">
        <v>278.18</v>
      </c>
      <c r="E46">
        <v>25.13</v>
      </c>
    </row>
    <row r="47" spans="1:5" x14ac:dyDescent="0.3">
      <c r="A47" s="1">
        <v>2350</v>
      </c>
      <c r="B47">
        <v>37.049999999999997</v>
      </c>
      <c r="C47">
        <v>70.760000000000005</v>
      </c>
      <c r="D47">
        <v>278.98</v>
      </c>
      <c r="E47">
        <v>25.31</v>
      </c>
    </row>
    <row r="48" spans="1:5" x14ac:dyDescent="0.3">
      <c r="A48" s="1">
        <v>2400</v>
      </c>
      <c r="B48">
        <v>37.090000000000003</v>
      </c>
      <c r="C48">
        <v>72.61</v>
      </c>
      <c r="D48">
        <v>279.76</v>
      </c>
      <c r="E48">
        <v>25.48</v>
      </c>
    </row>
    <row r="49" spans="1:5" x14ac:dyDescent="0.3">
      <c r="A49" s="1">
        <v>2450</v>
      </c>
      <c r="B49">
        <v>37.130000000000003</v>
      </c>
      <c r="C49">
        <v>74.47</v>
      </c>
      <c r="D49">
        <v>280.52</v>
      </c>
      <c r="E49">
        <v>25.65</v>
      </c>
    </row>
    <row r="50" spans="1:5" x14ac:dyDescent="0.3">
      <c r="A50" s="1">
        <v>2500</v>
      </c>
      <c r="B50">
        <v>37.17</v>
      </c>
      <c r="C50">
        <v>76.33</v>
      </c>
      <c r="D50">
        <v>281.27</v>
      </c>
      <c r="E50">
        <v>25.82</v>
      </c>
    </row>
    <row r="51" spans="1:5" x14ac:dyDescent="0.3">
      <c r="A51" s="1">
        <v>2550</v>
      </c>
      <c r="B51">
        <v>37.21</v>
      </c>
      <c r="C51">
        <v>78.19</v>
      </c>
      <c r="D51">
        <v>282.01</v>
      </c>
      <c r="E51">
        <v>25.97</v>
      </c>
    </row>
    <row r="52" spans="1:5" x14ac:dyDescent="0.3">
      <c r="A52" s="1">
        <v>2600</v>
      </c>
      <c r="B52">
        <v>37.24</v>
      </c>
      <c r="C52">
        <v>80.05</v>
      </c>
      <c r="D52">
        <v>282.73</v>
      </c>
      <c r="E52">
        <v>26.13</v>
      </c>
    </row>
    <row r="53" spans="1:5" x14ac:dyDescent="0.3">
      <c r="A53" s="1">
        <v>2650</v>
      </c>
      <c r="B53">
        <v>37.270000000000003</v>
      </c>
      <c r="C53">
        <v>81.91</v>
      </c>
      <c r="D53">
        <v>283.44</v>
      </c>
      <c r="E53">
        <v>26.28</v>
      </c>
    </row>
    <row r="54" spans="1:5" x14ac:dyDescent="0.3">
      <c r="A54" s="1">
        <v>2700</v>
      </c>
      <c r="B54">
        <v>37.299999999999997</v>
      </c>
      <c r="C54">
        <v>83.78</v>
      </c>
      <c r="D54">
        <v>284.14</v>
      </c>
      <c r="E54">
        <v>26.42</v>
      </c>
    </row>
    <row r="55" spans="1:5" x14ac:dyDescent="0.3">
      <c r="A55" s="1">
        <v>2750</v>
      </c>
      <c r="B55">
        <v>37.33</v>
      </c>
      <c r="C55">
        <v>85.64</v>
      </c>
      <c r="D55">
        <v>284.82</v>
      </c>
      <c r="E55">
        <v>26.56</v>
      </c>
    </row>
    <row r="56" spans="1:5" x14ac:dyDescent="0.3">
      <c r="A56" s="1">
        <v>2800</v>
      </c>
      <c r="B56">
        <v>37.36</v>
      </c>
      <c r="C56">
        <v>87.51</v>
      </c>
      <c r="D56">
        <v>285.5</v>
      </c>
      <c r="E56">
        <v>26.7</v>
      </c>
    </row>
    <row r="57" spans="1:5" x14ac:dyDescent="0.3">
      <c r="A57" s="1">
        <v>2850</v>
      </c>
      <c r="B57">
        <v>37.39</v>
      </c>
      <c r="C57">
        <v>89.38</v>
      </c>
      <c r="D57">
        <v>286.16000000000003</v>
      </c>
      <c r="E57">
        <v>26.84</v>
      </c>
    </row>
    <row r="58" spans="1:5" x14ac:dyDescent="0.3">
      <c r="A58" s="1">
        <v>2900</v>
      </c>
      <c r="B58">
        <v>37.409999999999997</v>
      </c>
      <c r="C58">
        <v>91.25</v>
      </c>
      <c r="D58">
        <v>286.81</v>
      </c>
      <c r="E58">
        <v>26.97</v>
      </c>
    </row>
    <row r="59" spans="1:5" x14ac:dyDescent="0.3">
      <c r="A59" s="1">
        <v>2950</v>
      </c>
      <c r="B59">
        <v>37.44</v>
      </c>
      <c r="C59">
        <v>93.12</v>
      </c>
      <c r="D59">
        <v>287.45</v>
      </c>
      <c r="E59">
        <v>27.1</v>
      </c>
    </row>
    <row r="60" spans="1:5" x14ac:dyDescent="0.3">
      <c r="A60" s="1">
        <v>3000</v>
      </c>
      <c r="B60">
        <v>37.46</v>
      </c>
      <c r="C60">
        <v>94.99</v>
      </c>
      <c r="D60">
        <v>288.08</v>
      </c>
      <c r="E60">
        <v>27.22</v>
      </c>
    </row>
    <row r="61" spans="1:5" x14ac:dyDescent="0.3">
      <c r="A61" s="1">
        <v>3050</v>
      </c>
      <c r="B61">
        <v>37.49</v>
      </c>
      <c r="C61">
        <v>96.86</v>
      </c>
      <c r="D61">
        <v>288.7</v>
      </c>
      <c r="E61">
        <v>27.34</v>
      </c>
    </row>
    <row r="62" spans="1:5" x14ac:dyDescent="0.3">
      <c r="A62" s="1">
        <v>3100</v>
      </c>
      <c r="B62">
        <v>37.51</v>
      </c>
      <c r="C62">
        <v>98.74</v>
      </c>
      <c r="D62">
        <v>289.31</v>
      </c>
      <c r="E62">
        <v>27.46</v>
      </c>
    </row>
    <row r="63" spans="1:5" x14ac:dyDescent="0.3">
      <c r="A63" s="1">
        <v>3150</v>
      </c>
      <c r="B63">
        <v>37.53</v>
      </c>
      <c r="C63">
        <v>100.62</v>
      </c>
      <c r="D63">
        <v>289.91000000000003</v>
      </c>
      <c r="E63">
        <v>27.58</v>
      </c>
    </row>
    <row r="64" spans="1:5" x14ac:dyDescent="0.3">
      <c r="A64" s="1">
        <v>3200</v>
      </c>
      <c r="B64">
        <v>37.549999999999997</v>
      </c>
      <c r="C64">
        <v>102.49</v>
      </c>
      <c r="D64">
        <v>290.5</v>
      </c>
      <c r="E64">
        <v>27.69</v>
      </c>
    </row>
    <row r="65" spans="1:5" x14ac:dyDescent="0.3">
      <c r="A65" s="1">
        <v>3250</v>
      </c>
      <c r="B65">
        <v>37.58</v>
      </c>
      <c r="C65">
        <v>104.37</v>
      </c>
      <c r="D65">
        <v>291.08</v>
      </c>
      <c r="E65">
        <v>27.81</v>
      </c>
    </row>
    <row r="66" spans="1:5" x14ac:dyDescent="0.3">
      <c r="A66" s="1">
        <v>3300</v>
      </c>
      <c r="B66">
        <v>37.6</v>
      </c>
      <c r="C66">
        <v>106.25</v>
      </c>
      <c r="D66">
        <v>291.66000000000003</v>
      </c>
      <c r="E66">
        <v>27.92</v>
      </c>
    </row>
    <row r="67" spans="1:5" x14ac:dyDescent="0.3">
      <c r="A67" s="1">
        <v>3350</v>
      </c>
      <c r="B67">
        <v>37.619999999999997</v>
      </c>
      <c r="C67">
        <v>108.13</v>
      </c>
      <c r="D67">
        <v>292.22000000000003</v>
      </c>
      <c r="E67">
        <v>28.02</v>
      </c>
    </row>
    <row r="68" spans="1:5" x14ac:dyDescent="0.3">
      <c r="A68" s="1">
        <v>3400</v>
      </c>
      <c r="B68">
        <v>37.64</v>
      </c>
      <c r="C68">
        <v>110.01</v>
      </c>
      <c r="D68">
        <v>292.77999999999997</v>
      </c>
      <c r="E68">
        <v>28.13</v>
      </c>
    </row>
    <row r="69" spans="1:5" x14ac:dyDescent="0.3">
      <c r="A69" s="1">
        <v>3450</v>
      </c>
      <c r="B69">
        <v>37.659999999999997</v>
      </c>
      <c r="C69">
        <v>111.89</v>
      </c>
      <c r="D69">
        <v>293.33</v>
      </c>
      <c r="E69">
        <v>28.23</v>
      </c>
    </row>
    <row r="70" spans="1:5" x14ac:dyDescent="0.3">
      <c r="A70" s="1">
        <v>3500</v>
      </c>
      <c r="B70">
        <v>37.68</v>
      </c>
      <c r="C70">
        <v>113.78</v>
      </c>
      <c r="D70">
        <v>293.87</v>
      </c>
      <c r="E70">
        <v>28.33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23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32.93</v>
      </c>
      <c r="C3">
        <v>3.43</v>
      </c>
      <c r="D3">
        <v>226.01</v>
      </c>
      <c r="E3">
        <v>9.34</v>
      </c>
    </row>
    <row r="4" spans="1:5" x14ac:dyDescent="0.3">
      <c r="A4">
        <v>250</v>
      </c>
      <c r="B4">
        <v>35.03</v>
      </c>
      <c r="C4">
        <v>1.73</v>
      </c>
      <c r="D4">
        <v>233.58</v>
      </c>
      <c r="E4">
        <v>13.01</v>
      </c>
    </row>
    <row r="5" spans="1:5" x14ac:dyDescent="0.3">
      <c r="A5">
        <v>298</v>
      </c>
      <c r="B5">
        <v>36.880000000000003</v>
      </c>
      <c r="C5">
        <v>0</v>
      </c>
      <c r="D5">
        <v>239.91</v>
      </c>
      <c r="E5">
        <v>15.51</v>
      </c>
    </row>
    <row r="6" spans="1:5" x14ac:dyDescent="0.3">
      <c r="A6">
        <v>300</v>
      </c>
      <c r="B6">
        <v>36.950000000000003</v>
      </c>
      <c r="C6">
        <v>7.0000000000000007E-2</v>
      </c>
      <c r="D6">
        <v>240.14</v>
      </c>
      <c r="E6">
        <v>15.59</v>
      </c>
    </row>
    <row r="7" spans="1:5" x14ac:dyDescent="0.3">
      <c r="A7">
        <v>350</v>
      </c>
      <c r="B7">
        <v>38.71</v>
      </c>
      <c r="C7">
        <v>1.96</v>
      </c>
      <c r="D7">
        <v>245.97</v>
      </c>
      <c r="E7">
        <v>17.54</v>
      </c>
    </row>
    <row r="8" spans="1:5" x14ac:dyDescent="0.3">
      <c r="A8">
        <v>400</v>
      </c>
      <c r="B8">
        <v>40.33</v>
      </c>
      <c r="C8">
        <v>3.94</v>
      </c>
      <c r="D8">
        <v>251.25</v>
      </c>
      <c r="E8">
        <v>19.079999999999998</v>
      </c>
    </row>
    <row r="9" spans="1:5" x14ac:dyDescent="0.3">
      <c r="A9">
        <v>450</v>
      </c>
      <c r="B9">
        <v>41.83</v>
      </c>
      <c r="C9">
        <v>5.99</v>
      </c>
      <c r="D9">
        <v>256.08999999999997</v>
      </c>
      <c r="E9">
        <v>20.350000000000001</v>
      </c>
    </row>
    <row r="10" spans="1:5" x14ac:dyDescent="0.3">
      <c r="A10">
        <v>500</v>
      </c>
      <c r="B10">
        <v>43.23</v>
      </c>
      <c r="C10">
        <v>8.1199999999999992</v>
      </c>
      <c r="D10">
        <v>260.57</v>
      </c>
      <c r="E10">
        <v>21.43</v>
      </c>
    </row>
    <row r="11" spans="1:5" x14ac:dyDescent="0.3">
      <c r="A11">
        <v>550</v>
      </c>
      <c r="B11">
        <v>44.52</v>
      </c>
      <c r="C11">
        <v>10.31</v>
      </c>
      <c r="D11">
        <v>264.75</v>
      </c>
      <c r="E11">
        <v>22.35</v>
      </c>
    </row>
    <row r="12" spans="1:5" x14ac:dyDescent="0.3">
      <c r="A12">
        <v>600</v>
      </c>
      <c r="B12">
        <v>45.73</v>
      </c>
      <c r="C12">
        <v>12.57</v>
      </c>
      <c r="D12">
        <v>268.67</v>
      </c>
      <c r="E12">
        <v>23.16</v>
      </c>
    </row>
    <row r="13" spans="1:5" x14ac:dyDescent="0.3">
      <c r="A13">
        <v>650</v>
      </c>
      <c r="B13">
        <v>46.86</v>
      </c>
      <c r="C13">
        <v>14.88</v>
      </c>
      <c r="D13">
        <v>272.38</v>
      </c>
      <c r="E13">
        <v>23.88</v>
      </c>
    </row>
    <row r="14" spans="1:5" x14ac:dyDescent="0.3">
      <c r="A14">
        <v>700</v>
      </c>
      <c r="B14">
        <v>47.91</v>
      </c>
      <c r="C14">
        <v>17.25</v>
      </c>
      <c r="D14">
        <v>275.89</v>
      </c>
      <c r="E14">
        <v>24.53</v>
      </c>
    </row>
    <row r="15" spans="1:5" x14ac:dyDescent="0.3">
      <c r="A15">
        <v>750</v>
      </c>
      <c r="B15">
        <v>48.88</v>
      </c>
      <c r="C15">
        <v>19.670000000000002</v>
      </c>
      <c r="D15">
        <v>279.23</v>
      </c>
      <c r="E15">
        <v>25.12</v>
      </c>
    </row>
    <row r="16" spans="1:5" x14ac:dyDescent="0.3">
      <c r="A16">
        <v>800</v>
      </c>
      <c r="B16">
        <v>49.76</v>
      </c>
      <c r="C16">
        <v>22.14</v>
      </c>
      <c r="D16">
        <v>282.41000000000003</v>
      </c>
      <c r="E16">
        <v>25.66</v>
      </c>
    </row>
    <row r="17" spans="1:5" x14ac:dyDescent="0.3">
      <c r="A17">
        <v>850</v>
      </c>
      <c r="B17">
        <v>50.55</v>
      </c>
      <c r="C17">
        <v>24.65</v>
      </c>
      <c r="D17">
        <v>285.45</v>
      </c>
      <c r="E17">
        <v>26.16</v>
      </c>
    </row>
    <row r="18" spans="1:5" x14ac:dyDescent="0.3">
      <c r="A18">
        <v>900</v>
      </c>
      <c r="B18">
        <v>51.24</v>
      </c>
      <c r="C18">
        <v>27.19</v>
      </c>
      <c r="D18">
        <v>288.36</v>
      </c>
      <c r="E18">
        <v>26.63</v>
      </c>
    </row>
    <row r="19" spans="1:5" x14ac:dyDescent="0.3">
      <c r="A19">
        <v>950</v>
      </c>
      <c r="B19">
        <v>51.82</v>
      </c>
      <c r="C19">
        <v>29.77</v>
      </c>
      <c r="D19">
        <v>291.14999999999998</v>
      </c>
      <c r="E19">
        <v>27.06</v>
      </c>
    </row>
    <row r="20" spans="1:5" x14ac:dyDescent="0.3">
      <c r="A20" s="1">
        <v>1000</v>
      </c>
      <c r="B20">
        <v>52.27</v>
      </c>
      <c r="C20">
        <v>32.369999999999997</v>
      </c>
      <c r="D20">
        <v>293.82</v>
      </c>
      <c r="E20">
        <v>27.47</v>
      </c>
    </row>
    <row r="21" spans="1:5" x14ac:dyDescent="0.3">
      <c r="A21" s="1">
        <v>1050</v>
      </c>
      <c r="B21">
        <v>52.64</v>
      </c>
      <c r="C21">
        <v>35</v>
      </c>
      <c r="D21">
        <v>296.38</v>
      </c>
      <c r="E21">
        <v>27.85</v>
      </c>
    </row>
    <row r="22" spans="1:5" x14ac:dyDescent="0.3">
      <c r="A22" s="1">
        <v>1100</v>
      </c>
      <c r="B22">
        <v>52.99</v>
      </c>
      <c r="C22">
        <v>37.64</v>
      </c>
      <c r="D22">
        <v>298.83999999999997</v>
      </c>
      <c r="E22">
        <v>28.21</v>
      </c>
    </row>
    <row r="23" spans="1:5" x14ac:dyDescent="0.3">
      <c r="A23" s="1">
        <v>1150</v>
      </c>
      <c r="B23">
        <v>53.31</v>
      </c>
      <c r="C23">
        <v>40.29</v>
      </c>
      <c r="D23">
        <v>301.2</v>
      </c>
      <c r="E23">
        <v>28.55</v>
      </c>
    </row>
    <row r="24" spans="1:5" x14ac:dyDescent="0.3">
      <c r="A24" s="1">
        <v>1200</v>
      </c>
      <c r="B24">
        <v>53.62</v>
      </c>
      <c r="C24">
        <v>42.97</v>
      </c>
      <c r="D24">
        <v>303.47000000000003</v>
      </c>
      <c r="E24">
        <v>28.88</v>
      </c>
    </row>
    <row r="25" spans="1:5" x14ac:dyDescent="0.3">
      <c r="A25" s="1">
        <v>1250</v>
      </c>
      <c r="B25">
        <v>53.91</v>
      </c>
      <c r="C25">
        <v>45.66</v>
      </c>
      <c r="D25">
        <v>305.67</v>
      </c>
      <c r="E25">
        <v>29.19</v>
      </c>
    </row>
    <row r="26" spans="1:5" x14ac:dyDescent="0.3">
      <c r="A26" s="1">
        <v>1300</v>
      </c>
      <c r="B26">
        <v>54.18</v>
      </c>
      <c r="C26">
        <v>48.36</v>
      </c>
      <c r="D26">
        <v>307.79000000000002</v>
      </c>
      <c r="E26">
        <v>29.48</v>
      </c>
    </row>
    <row r="27" spans="1:5" x14ac:dyDescent="0.3">
      <c r="A27" s="1">
        <v>1350</v>
      </c>
      <c r="B27">
        <v>54.44</v>
      </c>
      <c r="C27">
        <v>51.07</v>
      </c>
      <c r="D27">
        <v>309.83999999999997</v>
      </c>
      <c r="E27">
        <v>29.77</v>
      </c>
    </row>
    <row r="28" spans="1:5" x14ac:dyDescent="0.3">
      <c r="A28" s="1">
        <v>1400</v>
      </c>
      <c r="B28">
        <v>54.68</v>
      </c>
      <c r="C28">
        <v>53.8</v>
      </c>
      <c r="D28">
        <v>311.82</v>
      </c>
      <c r="E28">
        <v>30.04</v>
      </c>
    </row>
    <row r="29" spans="1:5" x14ac:dyDescent="0.3">
      <c r="A29" s="1">
        <v>1450</v>
      </c>
      <c r="B29">
        <v>54.9</v>
      </c>
      <c r="C29">
        <v>56.54</v>
      </c>
      <c r="D29">
        <v>313.75</v>
      </c>
      <c r="E29">
        <v>30.3</v>
      </c>
    </row>
    <row r="30" spans="1:5" x14ac:dyDescent="0.3">
      <c r="A30" s="1">
        <v>1500</v>
      </c>
      <c r="B30">
        <v>55.11</v>
      </c>
      <c r="C30">
        <v>59.29</v>
      </c>
      <c r="D30">
        <v>315.61</v>
      </c>
      <c r="E30">
        <v>30.55</v>
      </c>
    </row>
    <row r="31" spans="1:5" x14ac:dyDescent="0.3">
      <c r="A31" s="1">
        <v>1550</v>
      </c>
      <c r="B31">
        <v>55.3</v>
      </c>
      <c r="C31">
        <v>62.05</v>
      </c>
      <c r="D31">
        <v>317.42</v>
      </c>
      <c r="E31">
        <v>30.8</v>
      </c>
    </row>
    <row r="32" spans="1:5" x14ac:dyDescent="0.3">
      <c r="A32" s="1">
        <v>1600</v>
      </c>
      <c r="B32">
        <v>55.48</v>
      </c>
      <c r="C32">
        <v>64.819999999999993</v>
      </c>
      <c r="D32">
        <v>319.18</v>
      </c>
      <c r="E32">
        <v>31.03</v>
      </c>
    </row>
    <row r="33" spans="1:5" x14ac:dyDescent="0.3">
      <c r="A33" s="1">
        <v>1650</v>
      </c>
      <c r="B33">
        <v>55.65</v>
      </c>
      <c r="C33">
        <v>67.599999999999994</v>
      </c>
      <c r="D33">
        <v>320.89</v>
      </c>
      <c r="E33">
        <v>31.26</v>
      </c>
    </row>
    <row r="34" spans="1:5" x14ac:dyDescent="0.3">
      <c r="A34" s="1">
        <v>1700</v>
      </c>
      <c r="B34">
        <v>55.8</v>
      </c>
      <c r="C34">
        <v>70.39</v>
      </c>
      <c r="D34">
        <v>322.55</v>
      </c>
      <c r="E34">
        <v>31.47</v>
      </c>
    </row>
    <row r="35" spans="1:5" x14ac:dyDescent="0.3">
      <c r="A35" s="1">
        <v>1750</v>
      </c>
      <c r="B35">
        <v>55.95</v>
      </c>
      <c r="C35">
        <v>73.180000000000007</v>
      </c>
      <c r="D35">
        <v>324.17</v>
      </c>
      <c r="E35">
        <v>31.69</v>
      </c>
    </row>
    <row r="36" spans="1:5" x14ac:dyDescent="0.3">
      <c r="A36" s="1">
        <v>1800</v>
      </c>
      <c r="B36">
        <v>56.08</v>
      </c>
      <c r="C36">
        <v>75.98</v>
      </c>
      <c r="D36">
        <v>325.75</v>
      </c>
      <c r="E36">
        <v>31.89</v>
      </c>
    </row>
    <row r="37" spans="1:5" x14ac:dyDescent="0.3">
      <c r="A37" s="1">
        <v>1850</v>
      </c>
      <c r="B37">
        <v>56.2</v>
      </c>
      <c r="C37">
        <v>78.790000000000006</v>
      </c>
      <c r="D37">
        <v>327.29000000000002</v>
      </c>
      <c r="E37">
        <v>32.090000000000003</v>
      </c>
    </row>
    <row r="38" spans="1:5" x14ac:dyDescent="0.3">
      <c r="A38" s="1">
        <v>1900</v>
      </c>
      <c r="B38">
        <v>56.31</v>
      </c>
      <c r="C38">
        <v>81.599999999999994</v>
      </c>
      <c r="D38">
        <v>328.79</v>
      </c>
      <c r="E38">
        <v>32.29</v>
      </c>
    </row>
    <row r="39" spans="1:5" x14ac:dyDescent="0.3">
      <c r="A39" s="1">
        <v>1950</v>
      </c>
      <c r="B39">
        <v>56.42</v>
      </c>
      <c r="C39">
        <v>84.42</v>
      </c>
      <c r="D39">
        <v>330.25</v>
      </c>
      <c r="E39">
        <v>32.47</v>
      </c>
    </row>
    <row r="40" spans="1:5" x14ac:dyDescent="0.3">
      <c r="A40" s="1">
        <v>2000</v>
      </c>
      <c r="B40">
        <v>56.51</v>
      </c>
      <c r="C40">
        <v>87.24</v>
      </c>
      <c r="D40">
        <v>331.68</v>
      </c>
      <c r="E40">
        <v>32.659999999999997</v>
      </c>
    </row>
    <row r="41" spans="1:5" x14ac:dyDescent="0.3">
      <c r="A41" s="1">
        <v>2050</v>
      </c>
      <c r="B41">
        <v>56.6</v>
      </c>
      <c r="C41">
        <v>90.07</v>
      </c>
      <c r="D41">
        <v>333.08</v>
      </c>
      <c r="E41">
        <v>32.840000000000003</v>
      </c>
    </row>
    <row r="42" spans="1:5" x14ac:dyDescent="0.3">
      <c r="A42" s="1">
        <v>2100</v>
      </c>
      <c r="B42">
        <v>56.68</v>
      </c>
      <c r="C42">
        <v>92.9</v>
      </c>
      <c r="D42">
        <v>334.44</v>
      </c>
      <c r="E42">
        <v>33.01</v>
      </c>
    </row>
    <row r="43" spans="1:5" x14ac:dyDescent="0.3">
      <c r="A43" s="1">
        <v>2150</v>
      </c>
      <c r="B43">
        <v>56.76</v>
      </c>
      <c r="C43">
        <v>95.74</v>
      </c>
      <c r="D43">
        <v>335.78</v>
      </c>
      <c r="E43">
        <v>33.18</v>
      </c>
    </row>
    <row r="44" spans="1:5" x14ac:dyDescent="0.3">
      <c r="A44" s="1">
        <v>2200</v>
      </c>
      <c r="B44">
        <v>56.82</v>
      </c>
      <c r="C44">
        <v>98.58</v>
      </c>
      <c r="D44">
        <v>337.08</v>
      </c>
      <c r="E44">
        <v>33.35</v>
      </c>
    </row>
    <row r="45" spans="1:5" x14ac:dyDescent="0.3">
      <c r="A45" s="1">
        <v>2250</v>
      </c>
      <c r="B45">
        <v>56.88</v>
      </c>
      <c r="C45">
        <v>101.42</v>
      </c>
      <c r="D45">
        <v>338.36</v>
      </c>
      <c r="E45">
        <v>33.51</v>
      </c>
    </row>
    <row r="46" spans="1:5" x14ac:dyDescent="0.3">
      <c r="A46" s="1">
        <v>2300</v>
      </c>
      <c r="B46">
        <v>56.94</v>
      </c>
      <c r="C46">
        <v>104.27</v>
      </c>
      <c r="D46">
        <v>339.61</v>
      </c>
      <c r="E46">
        <v>33.659999999999997</v>
      </c>
    </row>
    <row r="47" spans="1:5" x14ac:dyDescent="0.3">
      <c r="A47" s="1">
        <v>2350</v>
      </c>
      <c r="B47">
        <v>56.99</v>
      </c>
      <c r="C47">
        <v>107.11</v>
      </c>
      <c r="D47">
        <v>340.84</v>
      </c>
      <c r="E47">
        <v>33.82</v>
      </c>
    </row>
    <row r="48" spans="1:5" x14ac:dyDescent="0.3">
      <c r="A48" s="1">
        <v>2400</v>
      </c>
      <c r="B48">
        <v>57.04</v>
      </c>
      <c r="C48">
        <v>109.97</v>
      </c>
      <c r="D48">
        <v>342.04</v>
      </c>
      <c r="E48">
        <v>33.97</v>
      </c>
    </row>
    <row r="49" spans="1:5" x14ac:dyDescent="0.3">
      <c r="A49" s="1">
        <v>2450</v>
      </c>
      <c r="B49">
        <v>57.08</v>
      </c>
      <c r="C49">
        <v>112.82</v>
      </c>
      <c r="D49">
        <v>343.21</v>
      </c>
      <c r="E49">
        <v>34.119999999999997</v>
      </c>
    </row>
    <row r="50" spans="1:5" x14ac:dyDescent="0.3">
      <c r="A50" s="1">
        <v>2500</v>
      </c>
      <c r="B50">
        <v>57.12</v>
      </c>
      <c r="C50">
        <v>115.67</v>
      </c>
      <c r="D50">
        <v>344.37</v>
      </c>
      <c r="E50">
        <v>34.26</v>
      </c>
    </row>
    <row r="51" spans="1:5" x14ac:dyDescent="0.3">
      <c r="A51" s="1">
        <v>2550</v>
      </c>
      <c r="B51">
        <v>57.15</v>
      </c>
      <c r="C51">
        <v>118.53</v>
      </c>
      <c r="D51">
        <v>345.5</v>
      </c>
      <c r="E51">
        <v>34.4</v>
      </c>
    </row>
    <row r="52" spans="1:5" x14ac:dyDescent="0.3">
      <c r="A52" s="1">
        <v>2600</v>
      </c>
      <c r="B52">
        <v>57.18</v>
      </c>
      <c r="C52">
        <v>121.39</v>
      </c>
      <c r="D52">
        <v>346.61</v>
      </c>
      <c r="E52">
        <v>34.54</v>
      </c>
    </row>
    <row r="53" spans="1:5" x14ac:dyDescent="0.3">
      <c r="A53" s="1">
        <v>2650</v>
      </c>
      <c r="B53">
        <v>57.21</v>
      </c>
      <c r="C53">
        <v>124.25</v>
      </c>
      <c r="D53">
        <v>347.7</v>
      </c>
      <c r="E53">
        <v>34.68</v>
      </c>
    </row>
    <row r="54" spans="1:5" x14ac:dyDescent="0.3">
      <c r="A54" s="1">
        <v>2700</v>
      </c>
      <c r="B54">
        <v>57.24</v>
      </c>
      <c r="C54">
        <v>127.11</v>
      </c>
      <c r="D54">
        <v>348.77</v>
      </c>
      <c r="E54">
        <v>34.81</v>
      </c>
    </row>
    <row r="55" spans="1:5" x14ac:dyDescent="0.3">
      <c r="A55" s="1">
        <v>2750</v>
      </c>
      <c r="B55">
        <v>57.27</v>
      </c>
      <c r="C55">
        <v>129.97</v>
      </c>
      <c r="D55">
        <v>349.82</v>
      </c>
      <c r="E55">
        <v>34.94</v>
      </c>
    </row>
    <row r="56" spans="1:5" x14ac:dyDescent="0.3">
      <c r="A56" s="1">
        <v>2800</v>
      </c>
      <c r="B56">
        <v>57.29</v>
      </c>
      <c r="C56">
        <v>132.84</v>
      </c>
      <c r="D56">
        <v>350.85</v>
      </c>
      <c r="E56">
        <v>35.07</v>
      </c>
    </row>
    <row r="57" spans="1:5" x14ac:dyDescent="0.3">
      <c r="A57" s="1">
        <v>2850</v>
      </c>
      <c r="B57">
        <v>57.31</v>
      </c>
      <c r="C57">
        <v>135.69999999999999</v>
      </c>
      <c r="D57">
        <v>351.87</v>
      </c>
      <c r="E57">
        <v>35.200000000000003</v>
      </c>
    </row>
    <row r="58" spans="1:5" x14ac:dyDescent="0.3">
      <c r="A58" s="1">
        <v>2900</v>
      </c>
      <c r="B58">
        <v>57.33</v>
      </c>
      <c r="C58">
        <v>138.57</v>
      </c>
      <c r="D58">
        <v>352.86</v>
      </c>
      <c r="E58">
        <v>35.32</v>
      </c>
    </row>
    <row r="59" spans="1:5" x14ac:dyDescent="0.3">
      <c r="A59" s="1">
        <v>2950</v>
      </c>
      <c r="B59">
        <v>57.35</v>
      </c>
      <c r="C59">
        <v>141.43</v>
      </c>
      <c r="D59">
        <v>353.84</v>
      </c>
      <c r="E59">
        <v>35.44</v>
      </c>
    </row>
    <row r="60" spans="1:5" x14ac:dyDescent="0.3">
      <c r="A60" s="1">
        <v>3000</v>
      </c>
      <c r="B60">
        <v>57.37</v>
      </c>
      <c r="C60">
        <v>144.30000000000001</v>
      </c>
      <c r="D60">
        <v>354.81</v>
      </c>
      <c r="E60">
        <v>35.56</v>
      </c>
    </row>
    <row r="61" spans="1:5" x14ac:dyDescent="0.3">
      <c r="A61" s="1">
        <v>3050</v>
      </c>
      <c r="B61">
        <v>57.39</v>
      </c>
      <c r="C61">
        <v>147.16999999999999</v>
      </c>
      <c r="D61">
        <v>355.76</v>
      </c>
      <c r="E61">
        <v>35.68</v>
      </c>
    </row>
    <row r="62" spans="1:5" x14ac:dyDescent="0.3">
      <c r="A62" s="1">
        <v>3100</v>
      </c>
      <c r="B62">
        <v>57.4</v>
      </c>
      <c r="C62">
        <v>150.04</v>
      </c>
      <c r="D62">
        <v>356.69</v>
      </c>
      <c r="E62">
        <v>35.799999999999997</v>
      </c>
    </row>
    <row r="63" spans="1:5" x14ac:dyDescent="0.3">
      <c r="A63" s="1">
        <v>3150</v>
      </c>
      <c r="B63">
        <v>57.42</v>
      </c>
      <c r="C63">
        <v>152.91</v>
      </c>
      <c r="D63">
        <v>357.61</v>
      </c>
      <c r="E63">
        <v>35.909999999999997</v>
      </c>
    </row>
    <row r="64" spans="1:5" x14ac:dyDescent="0.3">
      <c r="A64" s="1">
        <v>3200</v>
      </c>
      <c r="B64">
        <v>57.44</v>
      </c>
      <c r="C64">
        <v>155.78</v>
      </c>
      <c r="D64">
        <v>358.51</v>
      </c>
      <c r="E64">
        <v>36.020000000000003</v>
      </c>
    </row>
    <row r="65" spans="1:5" x14ac:dyDescent="0.3">
      <c r="A65" s="1">
        <v>3250</v>
      </c>
      <c r="B65">
        <v>57.45</v>
      </c>
      <c r="C65">
        <v>158.66</v>
      </c>
      <c r="D65">
        <v>359.4</v>
      </c>
      <c r="E65">
        <v>36.130000000000003</v>
      </c>
    </row>
    <row r="66" spans="1:5" x14ac:dyDescent="0.3">
      <c r="A66" s="1">
        <v>3300</v>
      </c>
      <c r="B66">
        <v>57.47</v>
      </c>
      <c r="C66">
        <v>161.53</v>
      </c>
      <c r="D66">
        <v>360.28</v>
      </c>
      <c r="E66">
        <v>36.24</v>
      </c>
    </row>
    <row r="67" spans="1:5" x14ac:dyDescent="0.3">
      <c r="A67" s="1">
        <v>3350</v>
      </c>
      <c r="B67">
        <v>57.49</v>
      </c>
      <c r="C67">
        <v>164.4</v>
      </c>
      <c r="D67">
        <v>361.14</v>
      </c>
      <c r="E67">
        <v>36.35</v>
      </c>
    </row>
    <row r="68" spans="1:5" x14ac:dyDescent="0.3">
      <c r="A68" s="1">
        <v>3400</v>
      </c>
      <c r="B68">
        <v>57.51</v>
      </c>
      <c r="C68">
        <v>167.28</v>
      </c>
      <c r="D68">
        <v>362</v>
      </c>
      <c r="E68">
        <v>36.450000000000003</v>
      </c>
    </row>
    <row r="69" spans="1:5" x14ac:dyDescent="0.3">
      <c r="A69" s="1">
        <v>3450</v>
      </c>
      <c r="B69">
        <v>57.52</v>
      </c>
      <c r="C69">
        <v>170.15</v>
      </c>
      <c r="D69">
        <v>362.84</v>
      </c>
      <c r="E69">
        <v>36.56</v>
      </c>
    </row>
    <row r="70" spans="1:5" x14ac:dyDescent="0.3">
      <c r="A70" s="1">
        <v>3500</v>
      </c>
      <c r="B70">
        <v>57.54</v>
      </c>
      <c r="C70">
        <v>173.03</v>
      </c>
      <c r="D70">
        <v>363.66</v>
      </c>
      <c r="E70">
        <v>36.659999999999997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0"/>
  <sheetViews>
    <sheetView workbookViewId="0">
      <selection activeCell="H27" sqref="H27"/>
    </sheetView>
  </sheetViews>
  <sheetFormatPr defaultRowHeight="14.4" x14ac:dyDescent="0.3"/>
  <sheetData>
    <row r="1" spans="1:5" x14ac:dyDescent="0.3">
      <c r="A1" t="s">
        <v>24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35.590000000000003</v>
      </c>
      <c r="C3">
        <v>3.71</v>
      </c>
      <c r="D3">
        <v>233.08</v>
      </c>
      <c r="E3">
        <v>208.79</v>
      </c>
    </row>
    <row r="4" spans="1:5" x14ac:dyDescent="0.3">
      <c r="A4">
        <v>250</v>
      </c>
      <c r="B4">
        <v>37.86</v>
      </c>
      <c r="C4">
        <v>1.87</v>
      </c>
      <c r="D4">
        <v>241.27</v>
      </c>
      <c r="E4">
        <v>172.74</v>
      </c>
    </row>
    <row r="5" spans="1:5" x14ac:dyDescent="0.3">
      <c r="A5">
        <v>298</v>
      </c>
      <c r="B5">
        <v>39.86</v>
      </c>
      <c r="C5">
        <v>0</v>
      </c>
      <c r="D5">
        <v>248.11</v>
      </c>
      <c r="E5">
        <v>149.6</v>
      </c>
    </row>
    <row r="6" spans="1:5" x14ac:dyDescent="0.3">
      <c r="A6">
        <v>300</v>
      </c>
      <c r="B6">
        <v>39.94</v>
      </c>
      <c r="C6">
        <v>7.0000000000000007E-2</v>
      </c>
      <c r="D6">
        <v>248.35</v>
      </c>
      <c r="E6">
        <v>148.86000000000001</v>
      </c>
    </row>
    <row r="7" spans="1:5" x14ac:dyDescent="0.3">
      <c r="A7">
        <v>350</v>
      </c>
      <c r="B7">
        <v>41.83</v>
      </c>
      <c r="C7">
        <v>2.12</v>
      </c>
      <c r="D7">
        <v>254.66</v>
      </c>
      <c r="E7">
        <v>131.91999999999999</v>
      </c>
    </row>
    <row r="8" spans="1:5" x14ac:dyDescent="0.3">
      <c r="A8">
        <v>400</v>
      </c>
      <c r="B8">
        <v>43.55</v>
      </c>
      <c r="C8">
        <v>4.25</v>
      </c>
      <c r="D8">
        <v>260.36</v>
      </c>
      <c r="E8">
        <v>119.3</v>
      </c>
    </row>
    <row r="9" spans="1:5" x14ac:dyDescent="0.3">
      <c r="A9">
        <v>450</v>
      </c>
      <c r="B9">
        <v>45.12</v>
      </c>
      <c r="C9">
        <v>6.47</v>
      </c>
      <c r="D9">
        <v>265.58</v>
      </c>
      <c r="E9">
        <v>109.56</v>
      </c>
    </row>
    <row r="10" spans="1:5" x14ac:dyDescent="0.3">
      <c r="A10">
        <v>500</v>
      </c>
      <c r="B10">
        <v>46.54</v>
      </c>
      <c r="C10">
        <v>8.76</v>
      </c>
      <c r="D10">
        <v>270.39999999999998</v>
      </c>
      <c r="E10">
        <v>101.83</v>
      </c>
    </row>
    <row r="11" spans="1:5" x14ac:dyDescent="0.3">
      <c r="A11">
        <v>550</v>
      </c>
      <c r="B11">
        <v>47.83</v>
      </c>
      <c r="C11">
        <v>11.12</v>
      </c>
      <c r="D11">
        <v>274.89999999999998</v>
      </c>
      <c r="E11">
        <v>95.55</v>
      </c>
    </row>
    <row r="12" spans="1:5" x14ac:dyDescent="0.3">
      <c r="A12">
        <v>600</v>
      </c>
      <c r="B12">
        <v>48.99</v>
      </c>
      <c r="C12">
        <v>13.54</v>
      </c>
      <c r="D12">
        <v>279.11</v>
      </c>
      <c r="E12">
        <v>90.37</v>
      </c>
    </row>
    <row r="13" spans="1:5" x14ac:dyDescent="0.3">
      <c r="A13">
        <v>650</v>
      </c>
      <c r="B13">
        <v>50.03</v>
      </c>
      <c r="C13">
        <v>16.02</v>
      </c>
      <c r="D13">
        <v>283.08</v>
      </c>
      <c r="E13">
        <v>86.02</v>
      </c>
    </row>
    <row r="14" spans="1:5" x14ac:dyDescent="0.3">
      <c r="A14">
        <v>700</v>
      </c>
      <c r="B14">
        <v>50.97</v>
      </c>
      <c r="C14">
        <v>18.54</v>
      </c>
      <c r="D14">
        <v>286.82</v>
      </c>
      <c r="E14">
        <v>82.32</v>
      </c>
    </row>
    <row r="15" spans="1:5" x14ac:dyDescent="0.3">
      <c r="A15">
        <v>750</v>
      </c>
      <c r="B15">
        <v>51.8</v>
      </c>
      <c r="C15">
        <v>21.11</v>
      </c>
      <c r="D15">
        <v>290.36</v>
      </c>
      <c r="E15">
        <v>79.150000000000006</v>
      </c>
    </row>
    <row r="16" spans="1:5" x14ac:dyDescent="0.3">
      <c r="A16">
        <v>800</v>
      </c>
      <c r="B16">
        <v>52.53</v>
      </c>
      <c r="C16">
        <v>23.72</v>
      </c>
      <c r="D16">
        <v>293.73</v>
      </c>
      <c r="E16">
        <v>76.39</v>
      </c>
    </row>
    <row r="17" spans="1:5" x14ac:dyDescent="0.3">
      <c r="A17">
        <v>850</v>
      </c>
      <c r="B17">
        <v>53.17</v>
      </c>
      <c r="C17">
        <v>26.37</v>
      </c>
      <c r="D17">
        <v>296.94</v>
      </c>
      <c r="E17">
        <v>73.989999999999995</v>
      </c>
    </row>
    <row r="18" spans="1:5" x14ac:dyDescent="0.3">
      <c r="A18">
        <v>900</v>
      </c>
      <c r="B18">
        <v>53.71</v>
      </c>
      <c r="C18">
        <v>29.04</v>
      </c>
      <c r="D18">
        <v>299.99</v>
      </c>
      <c r="E18">
        <v>71.87</v>
      </c>
    </row>
    <row r="19" spans="1:5" x14ac:dyDescent="0.3">
      <c r="A19">
        <v>950</v>
      </c>
      <c r="B19">
        <v>54.17</v>
      </c>
      <c r="C19">
        <v>31.74</v>
      </c>
      <c r="D19">
        <v>302.91000000000003</v>
      </c>
      <c r="E19">
        <v>70</v>
      </c>
    </row>
    <row r="20" spans="1:5" x14ac:dyDescent="0.3">
      <c r="A20" s="1">
        <v>1000</v>
      </c>
      <c r="B20">
        <v>54.53</v>
      </c>
      <c r="C20">
        <v>34.450000000000003</v>
      </c>
      <c r="D20">
        <v>305.7</v>
      </c>
      <c r="E20">
        <v>68.33</v>
      </c>
    </row>
    <row r="21" spans="1:5" x14ac:dyDescent="0.3">
      <c r="A21" s="1">
        <v>1050</v>
      </c>
      <c r="B21">
        <v>54.84</v>
      </c>
      <c r="C21">
        <v>37.19</v>
      </c>
      <c r="D21">
        <v>308.36</v>
      </c>
      <c r="E21">
        <v>66.83</v>
      </c>
    </row>
    <row r="22" spans="1:5" x14ac:dyDescent="0.3">
      <c r="A22" s="1">
        <v>1100</v>
      </c>
      <c r="B22">
        <v>55.14</v>
      </c>
      <c r="C22">
        <v>39.94</v>
      </c>
      <c r="D22">
        <v>310.92</v>
      </c>
      <c r="E22">
        <v>65.489999999999995</v>
      </c>
    </row>
    <row r="23" spans="1:5" x14ac:dyDescent="0.3">
      <c r="A23" s="1">
        <v>1150</v>
      </c>
      <c r="B23">
        <v>55.41</v>
      </c>
      <c r="C23">
        <v>42.7</v>
      </c>
      <c r="D23">
        <v>313.38</v>
      </c>
      <c r="E23">
        <v>64.28</v>
      </c>
    </row>
    <row r="24" spans="1:5" x14ac:dyDescent="0.3">
      <c r="A24" s="1">
        <v>1200</v>
      </c>
      <c r="B24">
        <v>55.67</v>
      </c>
      <c r="C24">
        <v>45.48</v>
      </c>
      <c r="D24">
        <v>315.74</v>
      </c>
      <c r="E24">
        <v>63.17</v>
      </c>
    </row>
    <row r="25" spans="1:5" x14ac:dyDescent="0.3">
      <c r="A25" s="1">
        <v>1250</v>
      </c>
      <c r="B25">
        <v>55.92</v>
      </c>
      <c r="C25">
        <v>48.27</v>
      </c>
      <c r="D25">
        <v>318.02</v>
      </c>
      <c r="E25">
        <v>62.17</v>
      </c>
    </row>
    <row r="26" spans="1:5" x14ac:dyDescent="0.3">
      <c r="A26" s="1">
        <v>1300</v>
      </c>
      <c r="B26">
        <v>56.16</v>
      </c>
      <c r="C26">
        <v>51.07</v>
      </c>
      <c r="D26">
        <v>320.22000000000003</v>
      </c>
      <c r="E26">
        <v>61.26</v>
      </c>
    </row>
    <row r="27" spans="1:5" x14ac:dyDescent="0.3">
      <c r="A27" s="1">
        <v>1350</v>
      </c>
      <c r="B27">
        <v>56.38</v>
      </c>
      <c r="C27">
        <v>53.88</v>
      </c>
      <c r="D27">
        <v>322.33999999999997</v>
      </c>
      <c r="E27">
        <v>60.42</v>
      </c>
    </row>
    <row r="28" spans="1:5" x14ac:dyDescent="0.3">
      <c r="A28" s="1">
        <v>1400</v>
      </c>
      <c r="B28">
        <v>56.58</v>
      </c>
      <c r="C28">
        <v>56.71</v>
      </c>
      <c r="D28">
        <v>324.39999999999998</v>
      </c>
      <c r="E28">
        <v>59.65</v>
      </c>
    </row>
    <row r="29" spans="1:5" x14ac:dyDescent="0.3">
      <c r="A29" s="1">
        <v>1450</v>
      </c>
      <c r="B29">
        <v>56.78</v>
      </c>
      <c r="C29">
        <v>59.54</v>
      </c>
      <c r="D29">
        <v>326.39</v>
      </c>
      <c r="E29">
        <v>58.94</v>
      </c>
    </row>
    <row r="30" spans="1:5" x14ac:dyDescent="0.3">
      <c r="A30" s="1">
        <v>1500</v>
      </c>
      <c r="B30">
        <v>56.96</v>
      </c>
      <c r="C30">
        <v>62.39</v>
      </c>
      <c r="D30">
        <v>328.31</v>
      </c>
      <c r="E30">
        <v>58.29</v>
      </c>
    </row>
    <row r="31" spans="1:5" x14ac:dyDescent="0.3">
      <c r="A31" s="1">
        <v>1550</v>
      </c>
      <c r="B31">
        <v>57.14</v>
      </c>
      <c r="C31">
        <v>65.239999999999995</v>
      </c>
      <c r="D31">
        <v>330.18</v>
      </c>
      <c r="E31">
        <v>57.69</v>
      </c>
    </row>
    <row r="32" spans="1:5" x14ac:dyDescent="0.3">
      <c r="A32" s="1">
        <v>1600</v>
      </c>
      <c r="B32">
        <v>57.3</v>
      </c>
      <c r="C32">
        <v>68.099999999999994</v>
      </c>
      <c r="D32">
        <v>332</v>
      </c>
      <c r="E32">
        <v>57.13</v>
      </c>
    </row>
    <row r="33" spans="1:5" x14ac:dyDescent="0.3">
      <c r="A33" s="1">
        <v>1650</v>
      </c>
      <c r="B33">
        <v>57.45</v>
      </c>
      <c r="C33">
        <v>70.97</v>
      </c>
      <c r="D33">
        <v>333.77</v>
      </c>
      <c r="E33">
        <v>56.61</v>
      </c>
    </row>
    <row r="34" spans="1:5" x14ac:dyDescent="0.3">
      <c r="A34" s="1">
        <v>1700</v>
      </c>
      <c r="B34">
        <v>57.6</v>
      </c>
      <c r="C34">
        <v>73.849999999999994</v>
      </c>
      <c r="D34">
        <v>335.48</v>
      </c>
      <c r="E34">
        <v>56.13</v>
      </c>
    </row>
    <row r="35" spans="1:5" x14ac:dyDescent="0.3">
      <c r="A35" s="1">
        <v>1750</v>
      </c>
      <c r="B35">
        <v>57.73</v>
      </c>
      <c r="C35">
        <v>76.73</v>
      </c>
      <c r="D35">
        <v>337.16</v>
      </c>
      <c r="E35">
        <v>55.68</v>
      </c>
    </row>
    <row r="36" spans="1:5" x14ac:dyDescent="0.3">
      <c r="A36" s="1">
        <v>1800</v>
      </c>
      <c r="B36">
        <v>57.86</v>
      </c>
      <c r="C36">
        <v>79.62</v>
      </c>
      <c r="D36">
        <v>338.78</v>
      </c>
      <c r="E36">
        <v>55.26</v>
      </c>
    </row>
    <row r="37" spans="1:5" x14ac:dyDescent="0.3">
      <c r="A37" s="1">
        <v>1850</v>
      </c>
      <c r="B37">
        <v>57.98</v>
      </c>
      <c r="C37">
        <v>82.51</v>
      </c>
      <c r="D37">
        <v>340.37</v>
      </c>
      <c r="E37">
        <v>54.87</v>
      </c>
    </row>
    <row r="38" spans="1:5" x14ac:dyDescent="0.3">
      <c r="A38" s="1">
        <v>1900</v>
      </c>
      <c r="B38">
        <v>58.09</v>
      </c>
      <c r="C38">
        <v>85.42</v>
      </c>
      <c r="D38">
        <v>341.92</v>
      </c>
      <c r="E38">
        <v>54.51</v>
      </c>
    </row>
    <row r="39" spans="1:5" x14ac:dyDescent="0.3">
      <c r="A39" s="1">
        <v>1950</v>
      </c>
      <c r="B39">
        <v>58.2</v>
      </c>
      <c r="C39">
        <v>88.32</v>
      </c>
      <c r="D39">
        <v>343.43</v>
      </c>
      <c r="E39">
        <v>54.17</v>
      </c>
    </row>
    <row r="40" spans="1:5" x14ac:dyDescent="0.3">
      <c r="A40" s="1">
        <v>2000</v>
      </c>
      <c r="B40">
        <v>58.3</v>
      </c>
      <c r="C40">
        <v>91.24</v>
      </c>
      <c r="D40">
        <v>344.9</v>
      </c>
      <c r="E40">
        <v>53.85</v>
      </c>
    </row>
    <row r="41" spans="1:5" x14ac:dyDescent="0.3">
      <c r="A41" s="1">
        <v>2050</v>
      </c>
      <c r="B41">
        <v>58.39</v>
      </c>
      <c r="C41">
        <v>94.15</v>
      </c>
      <c r="D41">
        <v>346.34</v>
      </c>
      <c r="E41">
        <v>53.55</v>
      </c>
    </row>
    <row r="42" spans="1:5" x14ac:dyDescent="0.3">
      <c r="A42" s="1">
        <v>2100</v>
      </c>
      <c r="B42">
        <v>58.48</v>
      </c>
      <c r="C42">
        <v>97.07</v>
      </c>
      <c r="D42">
        <v>347.75</v>
      </c>
      <c r="E42">
        <v>53.27</v>
      </c>
    </row>
    <row r="43" spans="1:5" x14ac:dyDescent="0.3">
      <c r="A43" s="1">
        <v>2150</v>
      </c>
      <c r="B43">
        <v>58.56</v>
      </c>
      <c r="C43">
        <v>100</v>
      </c>
      <c r="D43">
        <v>349.13</v>
      </c>
      <c r="E43">
        <v>53.01</v>
      </c>
    </row>
    <row r="44" spans="1:5" x14ac:dyDescent="0.3">
      <c r="A44" s="1">
        <v>2200</v>
      </c>
      <c r="B44">
        <v>58.63</v>
      </c>
      <c r="C44">
        <v>102.93</v>
      </c>
      <c r="D44">
        <v>350.48</v>
      </c>
      <c r="E44">
        <v>52.76</v>
      </c>
    </row>
    <row r="45" spans="1:5" x14ac:dyDescent="0.3">
      <c r="A45" s="1">
        <v>2250</v>
      </c>
      <c r="B45">
        <v>58.71</v>
      </c>
      <c r="C45">
        <v>105.86</v>
      </c>
      <c r="D45">
        <v>351.79</v>
      </c>
      <c r="E45">
        <v>52.52</v>
      </c>
    </row>
    <row r="46" spans="1:5" x14ac:dyDescent="0.3">
      <c r="A46" s="1">
        <v>2300</v>
      </c>
      <c r="B46">
        <v>58.78</v>
      </c>
      <c r="C46">
        <v>108.8</v>
      </c>
      <c r="D46">
        <v>353.09</v>
      </c>
      <c r="E46">
        <v>52.3</v>
      </c>
    </row>
    <row r="47" spans="1:5" x14ac:dyDescent="0.3">
      <c r="A47" s="1">
        <v>2350</v>
      </c>
      <c r="B47">
        <v>58.84</v>
      </c>
      <c r="C47">
        <v>111.74</v>
      </c>
      <c r="D47">
        <v>354.35</v>
      </c>
      <c r="E47">
        <v>52.1</v>
      </c>
    </row>
    <row r="48" spans="1:5" x14ac:dyDescent="0.3">
      <c r="A48" s="1">
        <v>2400</v>
      </c>
      <c r="B48">
        <v>58.9</v>
      </c>
      <c r="C48">
        <v>114.68</v>
      </c>
      <c r="D48">
        <v>355.59</v>
      </c>
      <c r="E48">
        <v>51.9</v>
      </c>
    </row>
    <row r="49" spans="1:5" x14ac:dyDescent="0.3">
      <c r="A49" s="1">
        <v>2450</v>
      </c>
      <c r="B49">
        <v>58.96</v>
      </c>
      <c r="C49">
        <v>117.63</v>
      </c>
      <c r="D49">
        <v>356.81</v>
      </c>
      <c r="E49">
        <v>51.71</v>
      </c>
    </row>
    <row r="50" spans="1:5" x14ac:dyDescent="0.3">
      <c r="A50" s="1">
        <v>2500</v>
      </c>
      <c r="B50">
        <v>59.02</v>
      </c>
      <c r="C50">
        <v>120.58</v>
      </c>
      <c r="D50">
        <v>358</v>
      </c>
      <c r="E50">
        <v>51.54</v>
      </c>
    </row>
    <row r="51" spans="1:5" x14ac:dyDescent="0.3">
      <c r="A51" s="1">
        <v>2550</v>
      </c>
      <c r="B51">
        <v>59.07</v>
      </c>
      <c r="C51">
        <v>123.53</v>
      </c>
      <c r="D51">
        <v>359.17</v>
      </c>
      <c r="E51">
        <v>51.38</v>
      </c>
    </row>
    <row r="52" spans="1:5" x14ac:dyDescent="0.3">
      <c r="A52" s="1">
        <v>2600</v>
      </c>
      <c r="B52">
        <v>59.12</v>
      </c>
      <c r="C52">
        <v>126.49</v>
      </c>
      <c r="D52">
        <v>360.31</v>
      </c>
      <c r="E52">
        <v>51.22</v>
      </c>
    </row>
    <row r="53" spans="1:5" x14ac:dyDescent="0.3">
      <c r="A53" s="1">
        <v>2650</v>
      </c>
      <c r="B53">
        <v>59.17</v>
      </c>
      <c r="C53">
        <v>129.44999999999999</v>
      </c>
      <c r="D53">
        <v>361.44</v>
      </c>
      <c r="E53">
        <v>51.07</v>
      </c>
    </row>
    <row r="54" spans="1:5" x14ac:dyDescent="0.3">
      <c r="A54" s="1">
        <v>2700</v>
      </c>
      <c r="B54">
        <v>59.22</v>
      </c>
      <c r="C54">
        <v>132.41</v>
      </c>
      <c r="D54">
        <v>362.55</v>
      </c>
      <c r="E54">
        <v>50.93</v>
      </c>
    </row>
    <row r="55" spans="1:5" x14ac:dyDescent="0.3">
      <c r="A55" s="1">
        <v>2750</v>
      </c>
      <c r="B55">
        <v>59.27</v>
      </c>
      <c r="C55">
        <v>135.37</v>
      </c>
      <c r="D55">
        <v>363.63</v>
      </c>
      <c r="E55">
        <v>50.8</v>
      </c>
    </row>
    <row r="56" spans="1:5" x14ac:dyDescent="0.3">
      <c r="A56" s="1">
        <v>2800</v>
      </c>
      <c r="B56">
        <v>59.31</v>
      </c>
      <c r="C56">
        <v>138.33000000000001</v>
      </c>
      <c r="D56">
        <v>364.7</v>
      </c>
      <c r="E56">
        <v>50.68</v>
      </c>
    </row>
    <row r="57" spans="1:5" x14ac:dyDescent="0.3">
      <c r="A57" s="1">
        <v>2850</v>
      </c>
      <c r="B57">
        <v>59.36</v>
      </c>
      <c r="C57">
        <v>141.30000000000001</v>
      </c>
      <c r="D57">
        <v>365.75</v>
      </c>
      <c r="E57">
        <v>50.56</v>
      </c>
    </row>
    <row r="58" spans="1:5" x14ac:dyDescent="0.3">
      <c r="A58" s="1">
        <v>2900</v>
      </c>
      <c r="B58">
        <v>59.4</v>
      </c>
      <c r="C58">
        <v>144.27000000000001</v>
      </c>
      <c r="D58">
        <v>366.79</v>
      </c>
      <c r="E58">
        <v>50.45</v>
      </c>
    </row>
    <row r="59" spans="1:5" x14ac:dyDescent="0.3">
      <c r="A59" s="1">
        <v>2950</v>
      </c>
      <c r="B59">
        <v>59.44</v>
      </c>
      <c r="C59">
        <v>147.24</v>
      </c>
      <c r="D59">
        <v>367.8</v>
      </c>
      <c r="E59">
        <v>50.34</v>
      </c>
    </row>
    <row r="60" spans="1:5" x14ac:dyDescent="0.3">
      <c r="A60" s="1">
        <v>3000</v>
      </c>
      <c r="B60">
        <v>59.49</v>
      </c>
      <c r="C60">
        <v>150.21</v>
      </c>
      <c r="D60">
        <v>368.8</v>
      </c>
      <c r="E60">
        <v>50.24</v>
      </c>
    </row>
    <row r="61" spans="1:5" x14ac:dyDescent="0.3">
      <c r="A61" s="1">
        <v>3050</v>
      </c>
      <c r="B61">
        <v>59.53</v>
      </c>
      <c r="C61">
        <v>153.19</v>
      </c>
      <c r="D61">
        <v>369.78</v>
      </c>
      <c r="E61">
        <v>50.14</v>
      </c>
    </row>
    <row r="62" spans="1:5" x14ac:dyDescent="0.3">
      <c r="A62" s="1">
        <v>3100</v>
      </c>
      <c r="B62">
        <v>59.57</v>
      </c>
      <c r="C62">
        <v>156.16999999999999</v>
      </c>
      <c r="D62">
        <v>370.75</v>
      </c>
      <c r="E62">
        <v>50.05</v>
      </c>
    </row>
    <row r="63" spans="1:5" x14ac:dyDescent="0.3">
      <c r="A63" s="1">
        <v>3150</v>
      </c>
      <c r="B63">
        <v>59.61</v>
      </c>
      <c r="C63">
        <v>159.13999999999999</v>
      </c>
      <c r="D63">
        <v>371.71</v>
      </c>
      <c r="E63">
        <v>49.97</v>
      </c>
    </row>
    <row r="64" spans="1:5" x14ac:dyDescent="0.3">
      <c r="A64" s="1">
        <v>3200</v>
      </c>
      <c r="B64">
        <v>59.66</v>
      </c>
      <c r="C64">
        <v>162.13</v>
      </c>
      <c r="D64">
        <v>372.65</v>
      </c>
      <c r="E64">
        <v>49.89</v>
      </c>
    </row>
    <row r="65" spans="1:5" x14ac:dyDescent="0.3">
      <c r="A65" s="1">
        <v>3250</v>
      </c>
      <c r="B65">
        <v>59.7</v>
      </c>
      <c r="C65">
        <v>165.11</v>
      </c>
      <c r="D65">
        <v>373.57</v>
      </c>
      <c r="E65">
        <v>49.81</v>
      </c>
    </row>
    <row r="66" spans="1:5" x14ac:dyDescent="0.3">
      <c r="A66" s="1">
        <v>3300</v>
      </c>
      <c r="B66">
        <v>59.74</v>
      </c>
      <c r="C66">
        <v>168.1</v>
      </c>
      <c r="D66">
        <v>374.48</v>
      </c>
      <c r="E66">
        <v>49.74</v>
      </c>
    </row>
    <row r="67" spans="1:5" x14ac:dyDescent="0.3">
      <c r="A67" s="1">
        <v>3350</v>
      </c>
      <c r="B67">
        <v>59.78</v>
      </c>
      <c r="C67">
        <v>171.08</v>
      </c>
      <c r="D67">
        <v>375.38</v>
      </c>
      <c r="E67">
        <v>49.67</v>
      </c>
    </row>
    <row r="68" spans="1:5" x14ac:dyDescent="0.3">
      <c r="A68" s="1">
        <v>3400</v>
      </c>
      <c r="B68">
        <v>59.83</v>
      </c>
      <c r="C68">
        <v>174.07</v>
      </c>
      <c r="D68">
        <v>376.27</v>
      </c>
      <c r="E68">
        <v>49.6</v>
      </c>
    </row>
    <row r="69" spans="1:5" x14ac:dyDescent="0.3">
      <c r="A69" s="1">
        <v>3450</v>
      </c>
      <c r="B69">
        <v>59.87</v>
      </c>
      <c r="C69">
        <v>177.07</v>
      </c>
      <c r="D69">
        <v>377.14</v>
      </c>
      <c r="E69">
        <v>49.54</v>
      </c>
    </row>
    <row r="70" spans="1:5" x14ac:dyDescent="0.3">
      <c r="A70" s="1">
        <v>3500</v>
      </c>
      <c r="B70">
        <v>59.92</v>
      </c>
      <c r="C70">
        <v>180.06</v>
      </c>
      <c r="D70">
        <v>378</v>
      </c>
      <c r="E70">
        <v>49.48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70"/>
  <sheetViews>
    <sheetView topLeftCell="A58" workbookViewId="0">
      <selection activeCell="H27" sqref="H27"/>
    </sheetView>
  </sheetViews>
  <sheetFormatPr defaultRowHeight="14.4" x14ac:dyDescent="0.3"/>
  <sheetData>
    <row r="1" spans="1:5" x14ac:dyDescent="0.3">
      <c r="A1" t="s">
        <v>25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42.79</v>
      </c>
      <c r="C3">
        <v>4.5999999999999996</v>
      </c>
      <c r="D3">
        <v>238.07</v>
      </c>
      <c r="E3">
        <v>269.42</v>
      </c>
    </row>
    <row r="4" spans="1:5" x14ac:dyDescent="0.3">
      <c r="A4">
        <v>250</v>
      </c>
      <c r="B4">
        <v>47.05</v>
      </c>
      <c r="C4">
        <v>2.36</v>
      </c>
      <c r="D4">
        <v>248.08</v>
      </c>
      <c r="E4">
        <v>221.39</v>
      </c>
    </row>
    <row r="5" spans="1:5" x14ac:dyDescent="0.3">
      <c r="A5">
        <v>298</v>
      </c>
      <c r="B5">
        <v>50.78</v>
      </c>
      <c r="C5">
        <v>0</v>
      </c>
      <c r="D5">
        <v>256.7</v>
      </c>
      <c r="E5">
        <v>190.54</v>
      </c>
    </row>
    <row r="6" spans="1:5" x14ac:dyDescent="0.3">
      <c r="A6">
        <v>300</v>
      </c>
      <c r="B6">
        <v>50.91</v>
      </c>
      <c r="C6">
        <v>0.09</v>
      </c>
      <c r="D6">
        <v>257.01</v>
      </c>
      <c r="E6">
        <v>189.55</v>
      </c>
    </row>
    <row r="7" spans="1:5" x14ac:dyDescent="0.3">
      <c r="A7">
        <v>350</v>
      </c>
      <c r="B7">
        <v>54.42</v>
      </c>
      <c r="C7">
        <v>2.73</v>
      </c>
      <c r="D7">
        <v>265.13</v>
      </c>
      <c r="E7">
        <v>166.96</v>
      </c>
    </row>
    <row r="8" spans="1:5" x14ac:dyDescent="0.3">
      <c r="A8">
        <v>400</v>
      </c>
      <c r="B8">
        <v>57.58</v>
      </c>
      <c r="C8">
        <v>5.53</v>
      </c>
      <c r="D8">
        <v>272.60000000000002</v>
      </c>
      <c r="E8">
        <v>150.13</v>
      </c>
    </row>
    <row r="9" spans="1:5" x14ac:dyDescent="0.3">
      <c r="A9">
        <v>450</v>
      </c>
      <c r="B9">
        <v>60.42</v>
      </c>
      <c r="C9">
        <v>8.48</v>
      </c>
      <c r="D9">
        <v>279.55</v>
      </c>
      <c r="E9">
        <v>137.13999999999999</v>
      </c>
    </row>
    <row r="10" spans="1:5" x14ac:dyDescent="0.3">
      <c r="A10">
        <v>500</v>
      </c>
      <c r="B10">
        <v>62.96</v>
      </c>
      <c r="C10">
        <v>11.57</v>
      </c>
      <c r="D10">
        <v>286.05</v>
      </c>
      <c r="E10">
        <v>126.83</v>
      </c>
    </row>
    <row r="11" spans="1:5" x14ac:dyDescent="0.3">
      <c r="A11">
        <v>550</v>
      </c>
      <c r="B11">
        <v>65.23</v>
      </c>
      <c r="C11">
        <v>14.77</v>
      </c>
      <c r="D11">
        <v>292.16000000000003</v>
      </c>
      <c r="E11">
        <v>118.46</v>
      </c>
    </row>
    <row r="12" spans="1:5" x14ac:dyDescent="0.3">
      <c r="A12">
        <v>600</v>
      </c>
      <c r="B12">
        <v>67.23</v>
      </c>
      <c r="C12">
        <v>18.09</v>
      </c>
      <c r="D12">
        <v>297.92</v>
      </c>
      <c r="E12">
        <v>111.55</v>
      </c>
    </row>
    <row r="13" spans="1:5" x14ac:dyDescent="0.3">
      <c r="A13">
        <v>650</v>
      </c>
      <c r="B13">
        <v>68.989999999999995</v>
      </c>
      <c r="C13">
        <v>21.49</v>
      </c>
      <c r="D13">
        <v>303.38</v>
      </c>
      <c r="E13">
        <v>105.75</v>
      </c>
    </row>
    <row r="14" spans="1:5" x14ac:dyDescent="0.3">
      <c r="A14">
        <v>700</v>
      </c>
      <c r="B14">
        <v>70.52</v>
      </c>
      <c r="C14">
        <v>24.98</v>
      </c>
      <c r="D14">
        <v>308.55</v>
      </c>
      <c r="E14">
        <v>100.82</v>
      </c>
    </row>
    <row r="15" spans="1:5" x14ac:dyDescent="0.3">
      <c r="A15">
        <v>750</v>
      </c>
      <c r="B15">
        <v>71.86</v>
      </c>
      <c r="C15">
        <v>28.54</v>
      </c>
      <c r="D15">
        <v>313.45999999999998</v>
      </c>
      <c r="E15">
        <v>96.6</v>
      </c>
    </row>
    <row r="16" spans="1:5" x14ac:dyDescent="0.3">
      <c r="A16">
        <v>800</v>
      </c>
      <c r="B16">
        <v>73</v>
      </c>
      <c r="C16">
        <v>32.159999999999997</v>
      </c>
      <c r="D16">
        <v>318.13</v>
      </c>
      <c r="E16">
        <v>92.93</v>
      </c>
    </row>
    <row r="17" spans="1:5" x14ac:dyDescent="0.3">
      <c r="A17">
        <v>850</v>
      </c>
      <c r="B17">
        <v>73.97</v>
      </c>
      <c r="C17">
        <v>35.840000000000003</v>
      </c>
      <c r="D17">
        <v>322.58999999999997</v>
      </c>
      <c r="E17">
        <v>89.73</v>
      </c>
    </row>
    <row r="18" spans="1:5" x14ac:dyDescent="0.3">
      <c r="A18">
        <v>900</v>
      </c>
      <c r="B18">
        <v>74.78</v>
      </c>
      <c r="C18">
        <v>39.56</v>
      </c>
      <c r="D18">
        <v>326.83999999999997</v>
      </c>
      <c r="E18">
        <v>86.92</v>
      </c>
    </row>
    <row r="19" spans="1:5" x14ac:dyDescent="0.3">
      <c r="A19">
        <v>950</v>
      </c>
      <c r="B19">
        <v>75.45</v>
      </c>
      <c r="C19">
        <v>43.31</v>
      </c>
      <c r="D19">
        <v>330.9</v>
      </c>
      <c r="E19">
        <v>84.43</v>
      </c>
    </row>
    <row r="20" spans="1:5" x14ac:dyDescent="0.3">
      <c r="A20" s="1">
        <v>1000</v>
      </c>
      <c r="B20">
        <v>76</v>
      </c>
      <c r="C20">
        <v>47.1</v>
      </c>
      <c r="D20">
        <v>334.79</v>
      </c>
      <c r="E20">
        <v>82.21</v>
      </c>
    </row>
    <row r="21" spans="1:5" x14ac:dyDescent="0.3">
      <c r="A21" s="1">
        <v>1050</v>
      </c>
      <c r="B21">
        <v>76.47</v>
      </c>
      <c r="C21">
        <v>50.91</v>
      </c>
      <c r="D21">
        <v>338.51</v>
      </c>
      <c r="E21">
        <v>80.22</v>
      </c>
    </row>
    <row r="22" spans="1:5" x14ac:dyDescent="0.3">
      <c r="A22" s="1">
        <v>1100</v>
      </c>
      <c r="B22">
        <v>76.91</v>
      </c>
      <c r="C22">
        <v>54.75</v>
      </c>
      <c r="D22">
        <v>342.07</v>
      </c>
      <c r="E22">
        <v>78.430000000000007</v>
      </c>
    </row>
    <row r="23" spans="1:5" x14ac:dyDescent="0.3">
      <c r="A23" s="1">
        <v>1150</v>
      </c>
      <c r="B23">
        <v>77.33</v>
      </c>
      <c r="C23">
        <v>58.6</v>
      </c>
      <c r="D23">
        <v>345.5</v>
      </c>
      <c r="E23">
        <v>76.819999999999993</v>
      </c>
    </row>
    <row r="24" spans="1:5" x14ac:dyDescent="0.3">
      <c r="A24" s="1">
        <v>1200</v>
      </c>
      <c r="B24">
        <v>77.72</v>
      </c>
      <c r="C24">
        <v>62.48</v>
      </c>
      <c r="D24">
        <v>348.8</v>
      </c>
      <c r="E24">
        <v>75.36</v>
      </c>
    </row>
    <row r="25" spans="1:5" x14ac:dyDescent="0.3">
      <c r="A25" s="1">
        <v>1250</v>
      </c>
      <c r="B25">
        <v>78.08</v>
      </c>
      <c r="C25">
        <v>66.37</v>
      </c>
      <c r="D25">
        <v>351.98</v>
      </c>
      <c r="E25">
        <v>74.03</v>
      </c>
    </row>
    <row r="26" spans="1:5" x14ac:dyDescent="0.3">
      <c r="A26" s="1">
        <v>1300</v>
      </c>
      <c r="B26">
        <v>78.42</v>
      </c>
      <c r="C26">
        <v>70.290000000000006</v>
      </c>
      <c r="D26">
        <v>355.05</v>
      </c>
      <c r="E26">
        <v>72.819999999999993</v>
      </c>
    </row>
    <row r="27" spans="1:5" x14ac:dyDescent="0.3">
      <c r="A27" s="1">
        <v>1350</v>
      </c>
      <c r="B27">
        <v>78.739999999999995</v>
      </c>
      <c r="C27">
        <v>74.22</v>
      </c>
      <c r="D27">
        <v>358.02</v>
      </c>
      <c r="E27">
        <v>71.709999999999994</v>
      </c>
    </row>
    <row r="28" spans="1:5" x14ac:dyDescent="0.3">
      <c r="A28" s="1">
        <v>1400</v>
      </c>
      <c r="B28">
        <v>79.040000000000006</v>
      </c>
      <c r="C28">
        <v>78.16</v>
      </c>
      <c r="D28">
        <v>360.89</v>
      </c>
      <c r="E28">
        <v>70.69</v>
      </c>
    </row>
    <row r="29" spans="1:5" x14ac:dyDescent="0.3">
      <c r="A29" s="1">
        <v>1450</v>
      </c>
      <c r="B29">
        <v>79.31</v>
      </c>
      <c r="C29">
        <v>82.12</v>
      </c>
      <c r="D29">
        <v>363.66</v>
      </c>
      <c r="E29">
        <v>69.760000000000005</v>
      </c>
    </row>
    <row r="30" spans="1:5" x14ac:dyDescent="0.3">
      <c r="A30" s="1">
        <v>1500</v>
      </c>
      <c r="B30">
        <v>79.569999999999993</v>
      </c>
      <c r="C30">
        <v>86.09</v>
      </c>
      <c r="D30">
        <v>366.36</v>
      </c>
      <c r="E30">
        <v>68.900000000000006</v>
      </c>
    </row>
    <row r="31" spans="1:5" x14ac:dyDescent="0.3">
      <c r="A31" s="1">
        <v>1550</v>
      </c>
      <c r="B31">
        <v>79.81</v>
      </c>
      <c r="C31">
        <v>90.08</v>
      </c>
      <c r="D31">
        <v>368.97</v>
      </c>
      <c r="E31">
        <v>68.099999999999994</v>
      </c>
    </row>
    <row r="32" spans="1:5" x14ac:dyDescent="0.3">
      <c r="A32" s="1">
        <v>1600</v>
      </c>
      <c r="B32">
        <v>80.03</v>
      </c>
      <c r="C32">
        <v>94.07</v>
      </c>
      <c r="D32">
        <v>371.51</v>
      </c>
      <c r="E32">
        <v>67.36</v>
      </c>
    </row>
    <row r="33" spans="1:5" x14ac:dyDescent="0.3">
      <c r="A33" s="1">
        <v>1650</v>
      </c>
      <c r="B33">
        <v>80.23</v>
      </c>
      <c r="C33">
        <v>98.08</v>
      </c>
      <c r="D33">
        <v>373.97</v>
      </c>
      <c r="E33">
        <v>66.680000000000007</v>
      </c>
    </row>
    <row r="34" spans="1:5" x14ac:dyDescent="0.3">
      <c r="A34" s="1">
        <v>1700</v>
      </c>
      <c r="B34">
        <v>80.42</v>
      </c>
      <c r="C34">
        <v>102.1</v>
      </c>
      <c r="D34">
        <v>376.37</v>
      </c>
      <c r="E34">
        <v>66.05</v>
      </c>
    </row>
    <row r="35" spans="1:5" x14ac:dyDescent="0.3">
      <c r="A35" s="1">
        <v>1750</v>
      </c>
      <c r="B35">
        <v>80.59</v>
      </c>
      <c r="C35">
        <v>106.12</v>
      </c>
      <c r="D35">
        <v>378.71</v>
      </c>
      <c r="E35">
        <v>65.459999999999994</v>
      </c>
    </row>
    <row r="36" spans="1:5" x14ac:dyDescent="0.3">
      <c r="A36" s="1">
        <v>1800</v>
      </c>
      <c r="B36">
        <v>80.75</v>
      </c>
      <c r="C36">
        <v>110.15</v>
      </c>
      <c r="D36">
        <v>380.98</v>
      </c>
      <c r="E36">
        <v>64.91</v>
      </c>
    </row>
    <row r="37" spans="1:5" x14ac:dyDescent="0.3">
      <c r="A37" s="1">
        <v>1850</v>
      </c>
      <c r="B37">
        <v>80.900000000000006</v>
      </c>
      <c r="C37">
        <v>114.2</v>
      </c>
      <c r="D37">
        <v>383.19</v>
      </c>
      <c r="E37">
        <v>64.400000000000006</v>
      </c>
    </row>
    <row r="38" spans="1:5" x14ac:dyDescent="0.3">
      <c r="A38" s="1">
        <v>1900</v>
      </c>
      <c r="B38">
        <v>81.03</v>
      </c>
      <c r="C38">
        <v>118.24</v>
      </c>
      <c r="D38">
        <v>385.35</v>
      </c>
      <c r="E38">
        <v>63.92</v>
      </c>
    </row>
    <row r="39" spans="1:5" x14ac:dyDescent="0.3">
      <c r="A39" s="1">
        <v>1950</v>
      </c>
      <c r="B39">
        <v>81.16</v>
      </c>
      <c r="C39">
        <v>122.3</v>
      </c>
      <c r="D39">
        <v>387.46</v>
      </c>
      <c r="E39">
        <v>63.47</v>
      </c>
    </row>
    <row r="40" spans="1:5" x14ac:dyDescent="0.3">
      <c r="A40" s="1">
        <v>2000</v>
      </c>
      <c r="B40">
        <v>81.27</v>
      </c>
      <c r="C40">
        <v>126.36</v>
      </c>
      <c r="D40">
        <v>389.51</v>
      </c>
      <c r="E40">
        <v>63.05</v>
      </c>
    </row>
    <row r="41" spans="1:5" x14ac:dyDescent="0.3">
      <c r="A41" s="1">
        <v>2050</v>
      </c>
      <c r="B41">
        <v>81.37</v>
      </c>
      <c r="C41">
        <v>130.43</v>
      </c>
      <c r="D41">
        <v>391.52</v>
      </c>
      <c r="E41">
        <v>62.66</v>
      </c>
    </row>
    <row r="42" spans="1:5" x14ac:dyDescent="0.3">
      <c r="A42" s="1">
        <v>2100</v>
      </c>
      <c r="B42">
        <v>81.459999999999994</v>
      </c>
      <c r="C42">
        <v>134.5</v>
      </c>
      <c r="D42">
        <v>393.48</v>
      </c>
      <c r="E42">
        <v>62.29</v>
      </c>
    </row>
    <row r="43" spans="1:5" x14ac:dyDescent="0.3">
      <c r="A43" s="1">
        <v>2150</v>
      </c>
      <c r="B43">
        <v>81.540000000000006</v>
      </c>
      <c r="C43">
        <v>138.57</v>
      </c>
      <c r="D43">
        <v>395.4</v>
      </c>
      <c r="E43">
        <v>61.95</v>
      </c>
    </row>
    <row r="44" spans="1:5" x14ac:dyDescent="0.3">
      <c r="A44" s="1">
        <v>2200</v>
      </c>
      <c r="B44">
        <v>81.62</v>
      </c>
      <c r="C44">
        <v>142.65</v>
      </c>
      <c r="D44">
        <v>397.28</v>
      </c>
      <c r="E44">
        <v>61.62</v>
      </c>
    </row>
    <row r="45" spans="1:5" x14ac:dyDescent="0.3">
      <c r="A45" s="1">
        <v>2250</v>
      </c>
      <c r="B45">
        <v>81.69</v>
      </c>
      <c r="C45">
        <v>146.72999999999999</v>
      </c>
      <c r="D45">
        <v>399.11</v>
      </c>
      <c r="E45">
        <v>61.32</v>
      </c>
    </row>
    <row r="46" spans="1:5" x14ac:dyDescent="0.3">
      <c r="A46" s="1">
        <v>2300</v>
      </c>
      <c r="B46">
        <v>81.75</v>
      </c>
      <c r="C46">
        <v>150.82</v>
      </c>
      <c r="D46">
        <v>400.91</v>
      </c>
      <c r="E46">
        <v>61.03</v>
      </c>
    </row>
    <row r="47" spans="1:5" x14ac:dyDescent="0.3">
      <c r="A47" s="1">
        <v>2350</v>
      </c>
      <c r="B47">
        <v>81.8</v>
      </c>
      <c r="C47">
        <v>154.91</v>
      </c>
      <c r="D47">
        <v>402.67</v>
      </c>
      <c r="E47">
        <v>60.76</v>
      </c>
    </row>
    <row r="48" spans="1:5" x14ac:dyDescent="0.3">
      <c r="A48" s="1">
        <v>2400</v>
      </c>
      <c r="B48">
        <v>81.849999999999994</v>
      </c>
      <c r="C48">
        <v>159</v>
      </c>
      <c r="D48">
        <v>404.39</v>
      </c>
      <c r="E48">
        <v>60.51</v>
      </c>
    </row>
    <row r="49" spans="1:5" x14ac:dyDescent="0.3">
      <c r="A49" s="1">
        <v>2450</v>
      </c>
      <c r="B49">
        <v>81.900000000000006</v>
      </c>
      <c r="C49">
        <v>163.09</v>
      </c>
      <c r="D49">
        <v>406.08</v>
      </c>
      <c r="E49">
        <v>60.27</v>
      </c>
    </row>
    <row r="50" spans="1:5" x14ac:dyDescent="0.3">
      <c r="A50" s="1">
        <v>2500</v>
      </c>
      <c r="B50">
        <v>81.94</v>
      </c>
      <c r="C50">
        <v>167.19</v>
      </c>
      <c r="D50">
        <v>407.73</v>
      </c>
      <c r="E50">
        <v>60.04</v>
      </c>
    </row>
    <row r="51" spans="1:5" x14ac:dyDescent="0.3">
      <c r="A51" s="1">
        <v>2550</v>
      </c>
      <c r="B51">
        <v>81.97</v>
      </c>
      <c r="C51">
        <v>171.29</v>
      </c>
      <c r="D51">
        <v>409.36</v>
      </c>
      <c r="E51">
        <v>59.83</v>
      </c>
    </row>
    <row r="52" spans="1:5" x14ac:dyDescent="0.3">
      <c r="A52" s="1">
        <v>2600</v>
      </c>
      <c r="B52">
        <v>82</v>
      </c>
      <c r="C52">
        <v>175.39</v>
      </c>
      <c r="D52">
        <v>410.95</v>
      </c>
      <c r="E52">
        <v>59.62</v>
      </c>
    </row>
    <row r="53" spans="1:5" x14ac:dyDescent="0.3">
      <c r="A53" s="1">
        <v>2650</v>
      </c>
      <c r="B53">
        <v>82.03</v>
      </c>
      <c r="C53">
        <v>179.49</v>
      </c>
      <c r="D53">
        <v>412.51</v>
      </c>
      <c r="E53">
        <v>59.43</v>
      </c>
    </row>
    <row r="54" spans="1:5" x14ac:dyDescent="0.3">
      <c r="A54" s="1">
        <v>2700</v>
      </c>
      <c r="B54">
        <v>82.06</v>
      </c>
      <c r="C54">
        <v>183.59</v>
      </c>
      <c r="D54">
        <v>414.04</v>
      </c>
      <c r="E54">
        <v>59.25</v>
      </c>
    </row>
    <row r="55" spans="1:5" x14ac:dyDescent="0.3">
      <c r="A55" s="1">
        <v>2750</v>
      </c>
      <c r="B55">
        <v>82.08</v>
      </c>
      <c r="C55">
        <v>187.69</v>
      </c>
      <c r="D55">
        <v>415.55</v>
      </c>
      <c r="E55">
        <v>59.08</v>
      </c>
    </row>
    <row r="56" spans="1:5" x14ac:dyDescent="0.3">
      <c r="A56" s="1">
        <v>2800</v>
      </c>
      <c r="B56">
        <v>82.11</v>
      </c>
      <c r="C56">
        <v>191.8</v>
      </c>
      <c r="D56">
        <v>417.03</v>
      </c>
      <c r="E56">
        <v>58.92</v>
      </c>
    </row>
    <row r="57" spans="1:5" x14ac:dyDescent="0.3">
      <c r="A57" s="1">
        <v>2850</v>
      </c>
      <c r="B57">
        <v>82.13</v>
      </c>
      <c r="C57">
        <v>195.9</v>
      </c>
      <c r="D57">
        <v>418.48</v>
      </c>
      <c r="E57">
        <v>58.77</v>
      </c>
    </row>
    <row r="58" spans="1:5" x14ac:dyDescent="0.3">
      <c r="A58" s="1">
        <v>2900</v>
      </c>
      <c r="B58">
        <v>82.15</v>
      </c>
      <c r="C58">
        <v>200.01</v>
      </c>
      <c r="D58">
        <v>419.91</v>
      </c>
      <c r="E58">
        <v>58.63</v>
      </c>
    </row>
    <row r="59" spans="1:5" x14ac:dyDescent="0.3">
      <c r="A59" s="1">
        <v>2950</v>
      </c>
      <c r="B59">
        <v>82.17</v>
      </c>
      <c r="C59">
        <v>204.12</v>
      </c>
      <c r="D59">
        <v>421.32</v>
      </c>
      <c r="E59">
        <v>58.49</v>
      </c>
    </row>
    <row r="60" spans="1:5" x14ac:dyDescent="0.3">
      <c r="A60" s="1">
        <v>3000</v>
      </c>
      <c r="B60">
        <v>82.18</v>
      </c>
      <c r="C60">
        <v>208.23</v>
      </c>
      <c r="D60">
        <v>422.7</v>
      </c>
      <c r="E60">
        <v>58.36</v>
      </c>
    </row>
    <row r="61" spans="1:5" x14ac:dyDescent="0.3">
      <c r="A61" s="1">
        <v>3050</v>
      </c>
      <c r="B61">
        <v>82.2</v>
      </c>
      <c r="C61">
        <v>212.34</v>
      </c>
      <c r="D61">
        <v>424.05</v>
      </c>
      <c r="E61">
        <v>58.24</v>
      </c>
    </row>
    <row r="62" spans="1:5" x14ac:dyDescent="0.3">
      <c r="A62" s="1">
        <v>3100</v>
      </c>
      <c r="B62">
        <v>82.22</v>
      </c>
      <c r="C62">
        <v>216.45</v>
      </c>
      <c r="D62">
        <v>425.39</v>
      </c>
      <c r="E62">
        <v>58.12</v>
      </c>
    </row>
    <row r="63" spans="1:5" x14ac:dyDescent="0.3">
      <c r="A63" s="1">
        <v>3150</v>
      </c>
      <c r="B63">
        <v>82.24</v>
      </c>
      <c r="C63">
        <v>220.56</v>
      </c>
      <c r="D63">
        <v>426.71</v>
      </c>
      <c r="E63">
        <v>58.01</v>
      </c>
    </row>
    <row r="64" spans="1:5" x14ac:dyDescent="0.3">
      <c r="A64" s="1">
        <v>3200</v>
      </c>
      <c r="B64">
        <v>82.26</v>
      </c>
      <c r="C64">
        <v>224.67</v>
      </c>
      <c r="D64">
        <v>428</v>
      </c>
      <c r="E64">
        <v>57.91</v>
      </c>
    </row>
    <row r="65" spans="1:5" x14ac:dyDescent="0.3">
      <c r="A65" s="1">
        <v>3250</v>
      </c>
      <c r="B65">
        <v>82.28</v>
      </c>
      <c r="C65">
        <v>228.78</v>
      </c>
      <c r="D65">
        <v>429.28</v>
      </c>
      <c r="E65">
        <v>57.81</v>
      </c>
    </row>
    <row r="66" spans="1:5" x14ac:dyDescent="0.3">
      <c r="A66" s="1">
        <v>3300</v>
      </c>
      <c r="B66">
        <v>82.29</v>
      </c>
      <c r="C66">
        <v>232.9</v>
      </c>
      <c r="D66">
        <v>430.53</v>
      </c>
      <c r="E66">
        <v>57.72</v>
      </c>
    </row>
    <row r="67" spans="1:5" x14ac:dyDescent="0.3">
      <c r="A67" s="1">
        <v>3350</v>
      </c>
      <c r="B67">
        <v>82.31</v>
      </c>
      <c r="C67">
        <v>237.01</v>
      </c>
      <c r="D67">
        <v>431.77</v>
      </c>
      <c r="E67">
        <v>57.63</v>
      </c>
    </row>
    <row r="68" spans="1:5" x14ac:dyDescent="0.3">
      <c r="A68" s="1">
        <v>3400</v>
      </c>
      <c r="B68">
        <v>82.34</v>
      </c>
      <c r="C68">
        <v>241.13</v>
      </c>
      <c r="D68">
        <v>432.99</v>
      </c>
      <c r="E68">
        <v>57.55</v>
      </c>
    </row>
    <row r="69" spans="1:5" x14ac:dyDescent="0.3">
      <c r="A69" s="1">
        <v>3450</v>
      </c>
      <c r="B69">
        <v>82.36</v>
      </c>
      <c r="C69">
        <v>245.25</v>
      </c>
      <c r="D69">
        <v>434.19</v>
      </c>
      <c r="E69">
        <v>57.47</v>
      </c>
    </row>
    <row r="70" spans="1:5" x14ac:dyDescent="0.3">
      <c r="A70" s="1">
        <v>3500</v>
      </c>
      <c r="B70">
        <v>82.38</v>
      </c>
      <c r="C70">
        <v>249.37</v>
      </c>
      <c r="D70">
        <v>435.38</v>
      </c>
      <c r="E70">
        <v>57.4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70"/>
  <sheetViews>
    <sheetView workbookViewId="0">
      <selection activeCell="H5" sqref="H5"/>
    </sheetView>
  </sheetViews>
  <sheetFormatPr defaultRowHeight="14.4" x14ac:dyDescent="0.3"/>
  <cols>
    <col min="2" max="2" width="14.44140625" bestFit="1" customWidth="1"/>
    <col min="3" max="3" width="15.5546875" bestFit="1" customWidth="1"/>
    <col min="4" max="4" width="13.33203125" bestFit="1" customWidth="1"/>
    <col min="5" max="5" width="7.33203125" bestFit="1" customWidth="1"/>
  </cols>
  <sheetData>
    <row r="1" spans="1:5" x14ac:dyDescent="0.3">
      <c r="A1" t="s">
        <v>26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52.35</v>
      </c>
      <c r="C3">
        <v>6.19</v>
      </c>
      <c r="D3">
        <v>245.27</v>
      </c>
      <c r="E3">
        <v>95.68</v>
      </c>
    </row>
    <row r="4" spans="1:5" x14ac:dyDescent="0.3">
      <c r="A4">
        <v>250</v>
      </c>
      <c r="B4">
        <v>63.29</v>
      </c>
      <c r="C4">
        <v>3.3</v>
      </c>
      <c r="D4">
        <v>258.13</v>
      </c>
      <c r="E4">
        <v>82.6</v>
      </c>
    </row>
    <row r="5" spans="1:5" x14ac:dyDescent="0.3">
      <c r="A5">
        <v>298</v>
      </c>
      <c r="B5">
        <v>73.55</v>
      </c>
      <c r="C5">
        <v>0</v>
      </c>
      <c r="D5">
        <v>270.16000000000003</v>
      </c>
      <c r="E5">
        <v>74.39</v>
      </c>
    </row>
    <row r="6" spans="1:5" x14ac:dyDescent="0.3">
      <c r="A6">
        <v>300</v>
      </c>
      <c r="B6">
        <v>73.94</v>
      </c>
      <c r="C6">
        <v>0.14000000000000001</v>
      </c>
      <c r="D6">
        <v>270.62</v>
      </c>
      <c r="E6">
        <v>74.13</v>
      </c>
    </row>
    <row r="7" spans="1:5" x14ac:dyDescent="0.3">
      <c r="A7">
        <v>350</v>
      </c>
      <c r="B7">
        <v>84.23</v>
      </c>
      <c r="C7">
        <v>4.09</v>
      </c>
      <c r="D7">
        <v>282.8</v>
      </c>
      <c r="E7">
        <v>68.3</v>
      </c>
    </row>
    <row r="8" spans="1:5" x14ac:dyDescent="0.3">
      <c r="A8">
        <v>400</v>
      </c>
      <c r="B8">
        <v>94.1</v>
      </c>
      <c r="C8">
        <v>8.5500000000000007</v>
      </c>
      <c r="D8">
        <v>294.69</v>
      </c>
      <c r="E8">
        <v>64.099999999999994</v>
      </c>
    </row>
    <row r="9" spans="1:5" x14ac:dyDescent="0.3">
      <c r="A9">
        <v>450</v>
      </c>
      <c r="B9">
        <v>103.5</v>
      </c>
      <c r="C9">
        <v>13.49</v>
      </c>
      <c r="D9">
        <v>306.32</v>
      </c>
      <c r="E9">
        <v>60.99</v>
      </c>
    </row>
    <row r="10" spans="1:5" x14ac:dyDescent="0.3">
      <c r="A10">
        <v>500</v>
      </c>
      <c r="B10">
        <v>112.4</v>
      </c>
      <c r="C10">
        <v>18.89</v>
      </c>
      <c r="D10">
        <v>317.69</v>
      </c>
      <c r="E10">
        <v>58.65</v>
      </c>
    </row>
    <row r="11" spans="1:5" x14ac:dyDescent="0.3">
      <c r="A11">
        <v>550</v>
      </c>
      <c r="B11">
        <v>120.79</v>
      </c>
      <c r="C11">
        <v>24.73</v>
      </c>
      <c r="D11">
        <v>328.8</v>
      </c>
      <c r="E11">
        <v>56.85</v>
      </c>
    </row>
    <row r="12" spans="1:5" x14ac:dyDescent="0.3">
      <c r="A12">
        <v>600</v>
      </c>
      <c r="B12">
        <v>128.63</v>
      </c>
      <c r="C12">
        <v>30.96</v>
      </c>
      <c r="D12">
        <v>339.65</v>
      </c>
      <c r="E12">
        <v>55.46</v>
      </c>
    </row>
    <row r="13" spans="1:5" x14ac:dyDescent="0.3">
      <c r="A13">
        <v>650</v>
      </c>
      <c r="B13">
        <v>135.94999999999999</v>
      </c>
      <c r="C13">
        <v>37.58</v>
      </c>
      <c r="D13">
        <v>350.24</v>
      </c>
      <c r="E13">
        <v>54.39</v>
      </c>
    </row>
    <row r="14" spans="1:5" x14ac:dyDescent="0.3">
      <c r="A14">
        <v>700</v>
      </c>
      <c r="B14">
        <v>142.74</v>
      </c>
      <c r="C14">
        <v>44.55</v>
      </c>
      <c r="D14">
        <v>360.57</v>
      </c>
      <c r="E14">
        <v>53.56</v>
      </c>
    </row>
    <row r="15" spans="1:5" x14ac:dyDescent="0.3">
      <c r="A15">
        <v>750</v>
      </c>
      <c r="B15">
        <v>149.03</v>
      </c>
      <c r="C15">
        <v>51.85</v>
      </c>
      <c r="D15">
        <v>370.63</v>
      </c>
      <c r="E15">
        <v>52.92</v>
      </c>
    </row>
    <row r="16" spans="1:5" x14ac:dyDescent="0.3">
      <c r="A16">
        <v>800</v>
      </c>
      <c r="B16">
        <v>154.86000000000001</v>
      </c>
      <c r="C16">
        <v>59.44</v>
      </c>
      <c r="D16">
        <v>380.44</v>
      </c>
      <c r="E16">
        <v>52.44</v>
      </c>
    </row>
    <row r="17" spans="1:5" x14ac:dyDescent="0.3">
      <c r="A17">
        <v>850</v>
      </c>
      <c r="B17">
        <v>160.26</v>
      </c>
      <c r="C17">
        <v>67.319999999999993</v>
      </c>
      <c r="D17">
        <v>389.99</v>
      </c>
      <c r="E17">
        <v>52.08</v>
      </c>
    </row>
    <row r="18" spans="1:5" x14ac:dyDescent="0.3">
      <c r="A18">
        <v>900</v>
      </c>
      <c r="B18">
        <v>165.31</v>
      </c>
      <c r="C18">
        <v>75.47</v>
      </c>
      <c r="D18">
        <v>399.3</v>
      </c>
      <c r="E18">
        <v>51.82</v>
      </c>
    </row>
    <row r="19" spans="1:5" x14ac:dyDescent="0.3">
      <c r="A19">
        <v>950</v>
      </c>
      <c r="B19">
        <v>170.06</v>
      </c>
      <c r="C19">
        <v>83.85</v>
      </c>
      <c r="D19">
        <v>408.36</v>
      </c>
      <c r="E19">
        <v>51.65</v>
      </c>
    </row>
    <row r="20" spans="1:5" x14ac:dyDescent="0.3">
      <c r="A20" s="1">
        <v>1000</v>
      </c>
      <c r="B20">
        <v>174.61</v>
      </c>
      <c r="C20">
        <v>92.47</v>
      </c>
      <c r="D20">
        <v>417.2</v>
      </c>
      <c r="E20">
        <v>51.55</v>
      </c>
    </row>
    <row r="21" spans="1:5" x14ac:dyDescent="0.3">
      <c r="A21" s="1">
        <v>1050</v>
      </c>
      <c r="B21">
        <v>178.22</v>
      </c>
      <c r="C21">
        <v>101.29</v>
      </c>
      <c r="D21">
        <v>425.81</v>
      </c>
      <c r="E21">
        <v>51.51</v>
      </c>
    </row>
    <row r="22" spans="1:5" x14ac:dyDescent="0.3">
      <c r="A22" s="1">
        <v>1100</v>
      </c>
      <c r="B22">
        <v>181.68</v>
      </c>
      <c r="C22">
        <v>110.29</v>
      </c>
      <c r="D22">
        <v>434.18</v>
      </c>
      <c r="E22">
        <v>51.52</v>
      </c>
    </row>
    <row r="23" spans="1:5" x14ac:dyDescent="0.3">
      <c r="A23" s="1">
        <v>1150</v>
      </c>
      <c r="B23">
        <v>184.99</v>
      </c>
      <c r="C23">
        <v>119.45</v>
      </c>
      <c r="D23">
        <v>442.33</v>
      </c>
      <c r="E23">
        <v>51.57</v>
      </c>
    </row>
    <row r="24" spans="1:5" x14ac:dyDescent="0.3">
      <c r="A24" s="1">
        <v>1200</v>
      </c>
      <c r="B24">
        <v>188.16</v>
      </c>
      <c r="C24">
        <v>128.78</v>
      </c>
      <c r="D24">
        <v>450.27</v>
      </c>
      <c r="E24">
        <v>51.66</v>
      </c>
    </row>
    <row r="25" spans="1:5" x14ac:dyDescent="0.3">
      <c r="A25" s="1">
        <v>1250</v>
      </c>
      <c r="B25">
        <v>191.18</v>
      </c>
      <c r="C25">
        <v>138.27000000000001</v>
      </c>
      <c r="D25">
        <v>458.01</v>
      </c>
      <c r="E25">
        <v>51.78</v>
      </c>
    </row>
    <row r="26" spans="1:5" x14ac:dyDescent="0.3">
      <c r="A26" s="1">
        <v>1300</v>
      </c>
      <c r="B26">
        <v>194.07</v>
      </c>
      <c r="C26">
        <v>147.9</v>
      </c>
      <c r="D26">
        <v>465.57</v>
      </c>
      <c r="E26">
        <v>51.92</v>
      </c>
    </row>
    <row r="27" spans="1:5" x14ac:dyDescent="0.3">
      <c r="A27" s="1">
        <v>1350</v>
      </c>
      <c r="B27">
        <v>196.82</v>
      </c>
      <c r="C27">
        <v>157.66999999999999</v>
      </c>
      <c r="D27">
        <v>472.95</v>
      </c>
      <c r="E27">
        <v>52.09</v>
      </c>
    </row>
    <row r="28" spans="1:5" x14ac:dyDescent="0.3">
      <c r="A28" s="1">
        <v>1400</v>
      </c>
      <c r="B28">
        <v>199.45</v>
      </c>
      <c r="C28">
        <v>167.58</v>
      </c>
      <c r="D28">
        <v>480.15</v>
      </c>
      <c r="E28">
        <v>52.28</v>
      </c>
    </row>
    <row r="29" spans="1:5" x14ac:dyDescent="0.3">
      <c r="A29" s="1">
        <v>1450</v>
      </c>
      <c r="B29">
        <v>201.95</v>
      </c>
      <c r="C29">
        <v>177.61</v>
      </c>
      <c r="D29">
        <v>487.19</v>
      </c>
      <c r="E29">
        <v>52.48</v>
      </c>
    </row>
    <row r="30" spans="1:5" x14ac:dyDescent="0.3">
      <c r="A30" s="1">
        <v>1500</v>
      </c>
      <c r="B30">
        <v>204.33</v>
      </c>
      <c r="C30">
        <v>187.77</v>
      </c>
      <c r="D30">
        <v>494.08</v>
      </c>
      <c r="E30">
        <v>52.7</v>
      </c>
    </row>
    <row r="31" spans="1:5" x14ac:dyDescent="0.3">
      <c r="A31" s="1">
        <v>1550</v>
      </c>
      <c r="B31">
        <v>206.59</v>
      </c>
      <c r="C31">
        <v>198.05</v>
      </c>
      <c r="D31">
        <v>500.82</v>
      </c>
      <c r="E31">
        <v>52.93</v>
      </c>
    </row>
    <row r="32" spans="1:5" x14ac:dyDescent="0.3">
      <c r="A32" s="1">
        <v>1600</v>
      </c>
      <c r="B32">
        <v>208.74</v>
      </c>
      <c r="C32">
        <v>208.43</v>
      </c>
      <c r="D32">
        <v>507.41</v>
      </c>
      <c r="E32">
        <v>53.17</v>
      </c>
    </row>
    <row r="33" spans="1:5" x14ac:dyDescent="0.3">
      <c r="A33" s="1">
        <v>1650</v>
      </c>
      <c r="B33">
        <v>210.79</v>
      </c>
      <c r="C33">
        <v>218.92</v>
      </c>
      <c r="D33">
        <v>513.87</v>
      </c>
      <c r="E33">
        <v>53.42</v>
      </c>
    </row>
    <row r="34" spans="1:5" x14ac:dyDescent="0.3">
      <c r="A34" s="1">
        <v>1700</v>
      </c>
      <c r="B34">
        <v>212.72</v>
      </c>
      <c r="C34">
        <v>229.51</v>
      </c>
      <c r="D34">
        <v>520.19000000000005</v>
      </c>
      <c r="E34">
        <v>53.68</v>
      </c>
    </row>
    <row r="35" spans="1:5" x14ac:dyDescent="0.3">
      <c r="A35" s="1">
        <v>1750</v>
      </c>
      <c r="B35">
        <v>214.56</v>
      </c>
      <c r="C35">
        <v>240.19</v>
      </c>
      <c r="D35">
        <v>526.38</v>
      </c>
      <c r="E35">
        <v>53.94</v>
      </c>
    </row>
    <row r="36" spans="1:5" x14ac:dyDescent="0.3">
      <c r="A36" s="1">
        <v>1800</v>
      </c>
      <c r="B36">
        <v>216.3</v>
      </c>
      <c r="C36">
        <v>250.96</v>
      </c>
      <c r="D36">
        <v>532.45000000000005</v>
      </c>
      <c r="E36">
        <v>54.21</v>
      </c>
    </row>
    <row r="37" spans="1:5" x14ac:dyDescent="0.3">
      <c r="A37" s="1">
        <v>1850</v>
      </c>
      <c r="B37">
        <v>217.94</v>
      </c>
      <c r="C37">
        <v>261.82</v>
      </c>
      <c r="D37">
        <v>538.4</v>
      </c>
      <c r="E37">
        <v>54.49</v>
      </c>
    </row>
    <row r="38" spans="1:5" x14ac:dyDescent="0.3">
      <c r="A38" s="1">
        <v>1900</v>
      </c>
      <c r="B38">
        <v>219.5</v>
      </c>
      <c r="C38">
        <v>272.75</v>
      </c>
      <c r="D38">
        <v>544.23</v>
      </c>
      <c r="E38">
        <v>54.77</v>
      </c>
    </row>
    <row r="39" spans="1:5" x14ac:dyDescent="0.3">
      <c r="A39" s="1">
        <v>1950</v>
      </c>
      <c r="B39">
        <v>220.96</v>
      </c>
      <c r="C39">
        <v>283.77</v>
      </c>
      <c r="D39">
        <v>549.95000000000005</v>
      </c>
      <c r="E39">
        <v>55.05</v>
      </c>
    </row>
    <row r="40" spans="1:5" x14ac:dyDescent="0.3">
      <c r="A40" s="1">
        <v>2000</v>
      </c>
      <c r="B40">
        <v>222.35</v>
      </c>
      <c r="C40">
        <v>294.85000000000002</v>
      </c>
      <c r="D40">
        <v>555.55999999999995</v>
      </c>
      <c r="E40">
        <v>55.34</v>
      </c>
    </row>
    <row r="41" spans="1:5" x14ac:dyDescent="0.3">
      <c r="A41" s="1">
        <v>2050</v>
      </c>
      <c r="B41">
        <v>223.65</v>
      </c>
      <c r="C41">
        <v>306</v>
      </c>
      <c r="D41">
        <v>561.07000000000005</v>
      </c>
      <c r="E41">
        <v>55.62</v>
      </c>
    </row>
    <row r="42" spans="1:5" x14ac:dyDescent="0.3">
      <c r="A42" s="1">
        <v>2100</v>
      </c>
      <c r="B42">
        <v>224.88</v>
      </c>
      <c r="C42">
        <v>317.20999999999998</v>
      </c>
      <c r="D42">
        <v>566.47</v>
      </c>
      <c r="E42">
        <v>55.91</v>
      </c>
    </row>
    <row r="43" spans="1:5" x14ac:dyDescent="0.3">
      <c r="A43" s="1">
        <v>2150</v>
      </c>
      <c r="B43">
        <v>226.03</v>
      </c>
      <c r="C43">
        <v>328.48</v>
      </c>
      <c r="D43">
        <v>571.78</v>
      </c>
      <c r="E43">
        <v>56.21</v>
      </c>
    </row>
    <row r="44" spans="1:5" x14ac:dyDescent="0.3">
      <c r="A44" s="1">
        <v>2200</v>
      </c>
      <c r="B44">
        <v>227.11</v>
      </c>
      <c r="C44">
        <v>339.81</v>
      </c>
      <c r="D44">
        <v>576.99</v>
      </c>
      <c r="E44">
        <v>56.5</v>
      </c>
    </row>
    <row r="45" spans="1:5" x14ac:dyDescent="0.3">
      <c r="A45" s="1">
        <v>2250</v>
      </c>
      <c r="B45">
        <v>228.12</v>
      </c>
      <c r="C45">
        <v>351.19</v>
      </c>
      <c r="D45">
        <v>582.1</v>
      </c>
      <c r="E45">
        <v>56.79</v>
      </c>
    </row>
    <row r="46" spans="1:5" x14ac:dyDescent="0.3">
      <c r="A46" s="1">
        <v>2300</v>
      </c>
      <c r="B46">
        <v>229.07</v>
      </c>
      <c r="C46">
        <v>362.63</v>
      </c>
      <c r="D46">
        <v>587.13</v>
      </c>
      <c r="E46">
        <v>57.09</v>
      </c>
    </row>
    <row r="47" spans="1:5" x14ac:dyDescent="0.3">
      <c r="A47" s="1">
        <v>2350</v>
      </c>
      <c r="B47">
        <v>229.96</v>
      </c>
      <c r="C47">
        <v>374.1</v>
      </c>
      <c r="D47">
        <v>592.05999999999995</v>
      </c>
      <c r="E47">
        <v>57.38</v>
      </c>
    </row>
    <row r="48" spans="1:5" x14ac:dyDescent="0.3">
      <c r="A48" s="1">
        <v>2400</v>
      </c>
      <c r="B48">
        <v>230.79</v>
      </c>
      <c r="C48">
        <v>385.62</v>
      </c>
      <c r="D48">
        <v>596.91</v>
      </c>
      <c r="E48">
        <v>57.68</v>
      </c>
    </row>
    <row r="49" spans="1:5" x14ac:dyDescent="0.3">
      <c r="A49" s="1">
        <v>2450</v>
      </c>
      <c r="B49">
        <v>231.57</v>
      </c>
      <c r="C49">
        <v>397.18</v>
      </c>
      <c r="D49">
        <v>601.67999999999995</v>
      </c>
      <c r="E49">
        <v>57.97</v>
      </c>
    </row>
    <row r="50" spans="1:5" x14ac:dyDescent="0.3">
      <c r="A50" s="1">
        <v>2500</v>
      </c>
      <c r="B50">
        <v>232.29</v>
      </c>
      <c r="C50">
        <v>408.78</v>
      </c>
      <c r="D50">
        <v>606.37</v>
      </c>
      <c r="E50">
        <v>58.26</v>
      </c>
    </row>
    <row r="51" spans="1:5" x14ac:dyDescent="0.3">
      <c r="A51" s="1">
        <v>2550</v>
      </c>
      <c r="B51">
        <v>232.96</v>
      </c>
      <c r="C51">
        <v>420.41</v>
      </c>
      <c r="D51">
        <v>610.97</v>
      </c>
      <c r="E51">
        <v>58.56</v>
      </c>
    </row>
    <row r="52" spans="1:5" x14ac:dyDescent="0.3">
      <c r="A52" s="1">
        <v>2600</v>
      </c>
      <c r="B52">
        <v>233.58</v>
      </c>
      <c r="C52">
        <v>432.07</v>
      </c>
      <c r="D52">
        <v>615.5</v>
      </c>
      <c r="E52">
        <v>58.85</v>
      </c>
    </row>
    <row r="53" spans="1:5" x14ac:dyDescent="0.3">
      <c r="A53" s="1">
        <v>2650</v>
      </c>
      <c r="B53">
        <v>234.16</v>
      </c>
      <c r="C53">
        <v>443.77</v>
      </c>
      <c r="D53">
        <v>619.96</v>
      </c>
      <c r="E53">
        <v>59.14</v>
      </c>
    </row>
    <row r="54" spans="1:5" x14ac:dyDescent="0.3">
      <c r="A54" s="1">
        <v>2700</v>
      </c>
      <c r="B54">
        <v>234.7</v>
      </c>
      <c r="C54">
        <v>455.49</v>
      </c>
      <c r="D54">
        <v>624.34</v>
      </c>
      <c r="E54">
        <v>59.43</v>
      </c>
    </row>
    <row r="55" spans="1:5" x14ac:dyDescent="0.3">
      <c r="A55" s="1">
        <v>2750</v>
      </c>
      <c r="B55">
        <v>235.2</v>
      </c>
      <c r="C55">
        <v>467.23</v>
      </c>
      <c r="D55">
        <v>628.65</v>
      </c>
      <c r="E55">
        <v>59.72</v>
      </c>
    </row>
    <row r="56" spans="1:5" x14ac:dyDescent="0.3">
      <c r="A56" s="1">
        <v>2800</v>
      </c>
      <c r="B56">
        <v>235.66</v>
      </c>
      <c r="C56">
        <v>479.01</v>
      </c>
      <c r="D56">
        <v>632.89</v>
      </c>
      <c r="E56">
        <v>60.01</v>
      </c>
    </row>
    <row r="57" spans="1:5" x14ac:dyDescent="0.3">
      <c r="A57" s="1">
        <v>2850</v>
      </c>
      <c r="B57">
        <v>236.08</v>
      </c>
      <c r="C57">
        <v>490.8</v>
      </c>
      <c r="D57">
        <v>637.07000000000005</v>
      </c>
      <c r="E57">
        <v>60.3</v>
      </c>
    </row>
    <row r="58" spans="1:5" x14ac:dyDescent="0.3">
      <c r="A58" s="1">
        <v>2900</v>
      </c>
      <c r="B58">
        <v>236.48</v>
      </c>
      <c r="C58">
        <v>502.61</v>
      </c>
      <c r="D58">
        <v>641.17999999999995</v>
      </c>
      <c r="E58">
        <v>60.58</v>
      </c>
    </row>
    <row r="59" spans="1:5" x14ac:dyDescent="0.3">
      <c r="A59" s="1">
        <v>2950</v>
      </c>
      <c r="B59">
        <v>236.84</v>
      </c>
      <c r="C59">
        <v>514.45000000000005</v>
      </c>
      <c r="D59">
        <v>645.22</v>
      </c>
      <c r="E59">
        <v>60.87</v>
      </c>
    </row>
    <row r="60" spans="1:5" x14ac:dyDescent="0.3">
      <c r="A60" s="1">
        <v>3000</v>
      </c>
      <c r="B60">
        <v>237.17</v>
      </c>
      <c r="C60">
        <v>526.29999999999995</v>
      </c>
      <c r="D60">
        <v>649.21</v>
      </c>
      <c r="E60">
        <v>61.15</v>
      </c>
    </row>
    <row r="61" spans="1:5" x14ac:dyDescent="0.3">
      <c r="A61" s="1">
        <v>3050</v>
      </c>
      <c r="B61">
        <v>237.48</v>
      </c>
      <c r="C61">
        <v>538.16</v>
      </c>
      <c r="D61">
        <v>653.13</v>
      </c>
      <c r="E61">
        <v>61.43</v>
      </c>
    </row>
    <row r="62" spans="1:5" x14ac:dyDescent="0.3">
      <c r="A62" s="1">
        <v>3100</v>
      </c>
      <c r="B62">
        <v>237.77</v>
      </c>
      <c r="C62">
        <v>550.04999999999995</v>
      </c>
      <c r="D62">
        <v>656.99</v>
      </c>
      <c r="E62">
        <v>61.71</v>
      </c>
    </row>
    <row r="63" spans="1:5" x14ac:dyDescent="0.3">
      <c r="A63" s="1">
        <v>3150</v>
      </c>
      <c r="B63">
        <v>238.03</v>
      </c>
      <c r="C63">
        <v>561.94000000000005</v>
      </c>
      <c r="D63">
        <v>660.8</v>
      </c>
      <c r="E63">
        <v>61.99</v>
      </c>
    </row>
    <row r="64" spans="1:5" x14ac:dyDescent="0.3">
      <c r="A64" s="1">
        <v>3200</v>
      </c>
      <c r="B64">
        <v>238.28</v>
      </c>
      <c r="C64">
        <v>573.85</v>
      </c>
      <c r="D64">
        <v>664.55</v>
      </c>
      <c r="E64">
        <v>62.27</v>
      </c>
    </row>
    <row r="65" spans="1:5" x14ac:dyDescent="0.3">
      <c r="A65" s="1">
        <v>3250</v>
      </c>
      <c r="B65">
        <v>238.5</v>
      </c>
      <c r="C65">
        <v>585.77</v>
      </c>
      <c r="D65">
        <v>668.25</v>
      </c>
      <c r="E65">
        <v>62.54</v>
      </c>
    </row>
    <row r="66" spans="1:5" x14ac:dyDescent="0.3">
      <c r="A66" s="1">
        <v>3300</v>
      </c>
      <c r="B66">
        <v>238.71</v>
      </c>
      <c r="C66">
        <v>597.70000000000005</v>
      </c>
      <c r="D66">
        <v>671.89</v>
      </c>
      <c r="E66">
        <v>62.81</v>
      </c>
    </row>
    <row r="67" spans="1:5" x14ac:dyDescent="0.3">
      <c r="A67" s="1">
        <v>3350</v>
      </c>
      <c r="B67">
        <v>238.91</v>
      </c>
      <c r="C67">
        <v>609.64</v>
      </c>
      <c r="D67">
        <v>675.48</v>
      </c>
      <c r="E67">
        <v>63.09</v>
      </c>
    </row>
    <row r="68" spans="1:5" x14ac:dyDescent="0.3">
      <c r="A68" s="1">
        <v>3400</v>
      </c>
      <c r="B68">
        <v>239.09</v>
      </c>
      <c r="C68">
        <v>621.59</v>
      </c>
      <c r="D68">
        <v>679.02</v>
      </c>
      <c r="E68">
        <v>63.36</v>
      </c>
    </row>
    <row r="69" spans="1:5" x14ac:dyDescent="0.3">
      <c r="A69" s="1">
        <v>3450</v>
      </c>
      <c r="B69">
        <v>239.27</v>
      </c>
      <c r="C69">
        <v>633.54999999999995</v>
      </c>
      <c r="D69">
        <v>682.51</v>
      </c>
      <c r="E69">
        <v>63.62</v>
      </c>
    </row>
    <row r="70" spans="1:5" x14ac:dyDescent="0.3">
      <c r="A70" s="1">
        <v>3500</v>
      </c>
      <c r="B70">
        <v>239.43</v>
      </c>
      <c r="C70">
        <v>645.52</v>
      </c>
      <c r="D70">
        <v>685.96</v>
      </c>
      <c r="E70">
        <v>63.89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task1</vt:lpstr>
      <vt:lpstr>task2</vt:lpstr>
      <vt:lpstr>task2 b</vt:lpstr>
      <vt:lpstr>tables</vt:lpstr>
      <vt:lpstr>CO</vt:lpstr>
      <vt:lpstr>C gas</vt:lpstr>
      <vt:lpstr>C solid</vt:lpstr>
      <vt:lpstr>CH4</vt:lpstr>
      <vt:lpstr>H2</vt:lpstr>
      <vt:lpstr>H</vt:lpstr>
      <vt:lpstr>O</vt:lpstr>
      <vt:lpstr>OH</vt:lpstr>
      <vt:lpstr>N</vt:lpstr>
      <vt:lpstr>NO</vt:lpstr>
      <vt:lpstr>NO2</vt:lpstr>
      <vt:lpstr>SO2</vt:lpstr>
      <vt:lpstr>SO3</vt:lpstr>
      <vt:lpstr>C3H8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Lord (P150216)</dc:creator>
  <cp:lastModifiedBy>emanuele di crosta</cp:lastModifiedBy>
  <dcterms:created xsi:type="dcterms:W3CDTF">2019-11-13T13:23:22Z</dcterms:created>
  <dcterms:modified xsi:type="dcterms:W3CDTF">2019-12-28T13:04:04Z</dcterms:modified>
</cp:coreProperties>
</file>