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2.xml" ContentType="application/vnd.openxmlformats-officedocument.themeOverrid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3.xml" ContentType="application/vnd.openxmlformats-officedocument.themeOverride+xml"/>
  <Override PartName="/xl/drawings/drawing11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4.xml" ContentType="application/vnd.openxmlformats-officedocument.themeOverrid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5.xml" ContentType="application/vnd.openxmlformats-officedocument.themeOverrid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6.xml" ContentType="application/vnd.openxmlformats-officedocument.themeOverrid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12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User\Documents\UNI\Third Year\Powertrain &amp; Sustainability\"/>
    </mc:Choice>
  </mc:AlternateContent>
  <xr:revisionPtr revIDLastSave="0" documentId="13_ncr:1_{BC55322A-80FA-469A-A434-E7D6829BEB6F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Home Page" sheetId="24" r:id="rId1"/>
    <sheet name="Fuel Blend Calc" sheetId="1" r:id="rId2"/>
    <sheet name="NOx Model (1)" sheetId="4" r:id="rId3"/>
    <sheet name="NOx Model (2)" sheetId="10" r:id="rId4"/>
    <sheet name="NOx PPM" sheetId="15" r:id="rId5"/>
    <sheet name="NOx PPM Iso-Octane Graph" sheetId="25" r:id="rId6"/>
    <sheet name="NOx Alternative Fuels Graph" sheetId="16" r:id="rId7"/>
    <sheet name="EGR" sheetId="17" r:id="rId8"/>
    <sheet name="EGR NOx PPM" sheetId="18" r:id="rId9"/>
    <sheet name="EGR NOx Iso-Octane Graphs" sheetId="22" r:id="rId10"/>
    <sheet name="EGR NOx Alternative Fuel Graphs" sheetId="21" r:id="rId11"/>
    <sheet name="Poly Graphs" sheetId="11" r:id="rId12"/>
    <sheet name="Air &amp; Fuel Properties" sheetId="5" r:id="rId13"/>
    <sheet name="Properties" sheetId="6" r:id="rId14"/>
  </sheets>
  <definedNames>
    <definedName name="_xlnm._FilterDatabase" localSheetId="1" hidden="1">'Fuel Blend Calc'!$A$1:$N$5</definedName>
    <definedName name="Iso_Octane" comment="Please Select a Fuel">EGR!$B$3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17" l="1"/>
  <c r="O21" i="18" l="1"/>
  <c r="O22" i="18"/>
  <c r="O23" i="18"/>
  <c r="O24" i="18"/>
  <c r="O25" i="18"/>
  <c r="O26" i="18"/>
  <c r="O27" i="18"/>
  <c r="O28" i="18"/>
  <c r="O29" i="18"/>
  <c r="J21" i="18"/>
  <c r="J22" i="18"/>
  <c r="J23" i="18"/>
  <c r="J24" i="18"/>
  <c r="J25" i="18"/>
  <c r="J26" i="18"/>
  <c r="J27" i="18"/>
  <c r="J28" i="18"/>
  <c r="J29" i="18"/>
  <c r="D21" i="18"/>
  <c r="D22" i="18"/>
  <c r="D23" i="18"/>
  <c r="D24" i="18"/>
  <c r="D25" i="18"/>
  <c r="D26" i="18"/>
  <c r="D27" i="18"/>
  <c r="D28" i="18"/>
  <c r="D29" i="18"/>
  <c r="O7" i="18"/>
  <c r="O8" i="18"/>
  <c r="O9" i="18"/>
  <c r="O10" i="18"/>
  <c r="O11" i="18"/>
  <c r="O12" i="18"/>
  <c r="O13" i="18"/>
  <c r="O14" i="18"/>
  <c r="O15" i="18"/>
  <c r="J7" i="18"/>
  <c r="J8" i="18"/>
  <c r="J9" i="18"/>
  <c r="J10" i="18"/>
  <c r="J11" i="18"/>
  <c r="J12" i="18"/>
  <c r="J13" i="18"/>
  <c r="J14" i="18"/>
  <c r="J15" i="18"/>
  <c r="O20" i="18"/>
  <c r="J20" i="18"/>
  <c r="D20" i="18"/>
  <c r="O6" i="18"/>
  <c r="J6" i="18"/>
  <c r="E7" i="18"/>
  <c r="E8" i="18"/>
  <c r="E9" i="18"/>
  <c r="E10" i="18"/>
  <c r="E11" i="18"/>
  <c r="E12" i="18"/>
  <c r="E13" i="18"/>
  <c r="E14" i="18"/>
  <c r="E15" i="18"/>
  <c r="E6" i="18"/>
  <c r="G3" i="4" l="1"/>
  <c r="B32" i="1" l="1"/>
  <c r="L14" i="1"/>
  <c r="A14" i="4" l="1"/>
  <c r="T19" i="4"/>
  <c r="T20" i="4"/>
  <c r="T21" i="4"/>
  <c r="Q24" i="4"/>
  <c r="Q26" i="4"/>
  <c r="M5" i="4" l="1"/>
  <c r="M6" i="4"/>
  <c r="M3" i="4"/>
  <c r="M7" i="4"/>
  <c r="M4" i="4"/>
  <c r="M8" i="4"/>
  <c r="V78" i="17"/>
  <c r="X78" i="17"/>
  <c r="Z78" i="17"/>
  <c r="AB78" i="17"/>
  <c r="Z79" i="17"/>
  <c r="AB79" i="17"/>
  <c r="Z80" i="17"/>
  <c r="AB80" i="17"/>
  <c r="Z81" i="17"/>
  <c r="AB81" i="17"/>
  <c r="Z82" i="17"/>
  <c r="AB82" i="17"/>
  <c r="Z83" i="17"/>
  <c r="AB83" i="17"/>
  <c r="Z84" i="17"/>
  <c r="AB84" i="17"/>
  <c r="Z85" i="17"/>
  <c r="AB85" i="17"/>
  <c r="Z86" i="17"/>
  <c r="AB86" i="17"/>
  <c r="Z87" i="17"/>
  <c r="AB87" i="17"/>
  <c r="Z88" i="17"/>
  <c r="AB88" i="17"/>
  <c r="Z89" i="17"/>
  <c r="AB89" i="17"/>
  <c r="Z90" i="17"/>
  <c r="AB90" i="17"/>
  <c r="Z91" i="17"/>
  <c r="AB91" i="17"/>
  <c r="Z92" i="17"/>
  <c r="AB92" i="17"/>
  <c r="Z93" i="17"/>
  <c r="AB93" i="17"/>
  <c r="Z94" i="17"/>
  <c r="AB94" i="17"/>
  <c r="Z95" i="17"/>
  <c r="AB95" i="17"/>
  <c r="Z96" i="17"/>
  <c r="AB96" i="17"/>
  <c r="Z97" i="17"/>
  <c r="AB97" i="17"/>
  <c r="Z98" i="17"/>
  <c r="AB98" i="17"/>
  <c r="Z99" i="17"/>
  <c r="AB99" i="17"/>
  <c r="Z100" i="17"/>
  <c r="AB100" i="17"/>
  <c r="Z101" i="17"/>
  <c r="AB101" i="17"/>
  <c r="Z102" i="17"/>
  <c r="AB102" i="17"/>
  <c r="Z103" i="17"/>
  <c r="AB103" i="17"/>
  <c r="Z104" i="17"/>
  <c r="AB104" i="17"/>
  <c r="Z105" i="17"/>
  <c r="AB105" i="17"/>
  <c r="Z106" i="17"/>
  <c r="AB106" i="17"/>
  <c r="Z107" i="17"/>
  <c r="AB107" i="17"/>
  <c r="Z108" i="17"/>
  <c r="AB108" i="17"/>
  <c r="Z109" i="17"/>
  <c r="AB109" i="17"/>
  <c r="Z110" i="17"/>
  <c r="AB110" i="17"/>
  <c r="Z111" i="17"/>
  <c r="AB111" i="17"/>
  <c r="Z112" i="17"/>
  <c r="AB112" i="17"/>
  <c r="Z113" i="17"/>
  <c r="AB113" i="17"/>
  <c r="Z114" i="17"/>
  <c r="AB114" i="17"/>
  <c r="Z115" i="17"/>
  <c r="AB115" i="17"/>
  <c r="Z116" i="17"/>
  <c r="AB116" i="17"/>
  <c r="Z117" i="17"/>
  <c r="AB117" i="17"/>
  <c r="Z118" i="17"/>
  <c r="AB118" i="17"/>
  <c r="Z119" i="17"/>
  <c r="AB119" i="17"/>
  <c r="Z120" i="17"/>
  <c r="AB120" i="17"/>
  <c r="Z121" i="17"/>
  <c r="AB121" i="17"/>
  <c r="Z122" i="17"/>
  <c r="AB122" i="17"/>
  <c r="Z123" i="17"/>
  <c r="AB123" i="17"/>
  <c r="Z124" i="17"/>
  <c r="AB124" i="17"/>
  <c r="Z125" i="17"/>
  <c r="AB125" i="17"/>
  <c r="Z126" i="17"/>
  <c r="AB126" i="17"/>
  <c r="Z127" i="17"/>
  <c r="AB127" i="17"/>
  <c r="Z128" i="17"/>
  <c r="AB128" i="17"/>
  <c r="Z129" i="17"/>
  <c r="AB129" i="17"/>
  <c r="Z130" i="17"/>
  <c r="AB130" i="17"/>
  <c r="Z131" i="17"/>
  <c r="AB131" i="17"/>
  <c r="Z132" i="17"/>
  <c r="AB132" i="17"/>
  <c r="Z133" i="17"/>
  <c r="AB133" i="17"/>
  <c r="Z134" i="17"/>
  <c r="AB134" i="17"/>
  <c r="Z135" i="17"/>
  <c r="AB135" i="17"/>
  <c r="Z136" i="17"/>
  <c r="AB136" i="17"/>
  <c r="Z137" i="17"/>
  <c r="AB137" i="17"/>
  <c r="Z138" i="17"/>
  <c r="AB138" i="17"/>
  <c r="Z139" i="17"/>
  <c r="AB139" i="17"/>
  <c r="Z140" i="17"/>
  <c r="AB140" i="17"/>
  <c r="Z141" i="17"/>
  <c r="AB141" i="17"/>
  <c r="Z142" i="17"/>
  <c r="AB142" i="17"/>
  <c r="Z143" i="17"/>
  <c r="AB143" i="17"/>
  <c r="Z144" i="17"/>
  <c r="AB144" i="17"/>
  <c r="Z145" i="17"/>
  <c r="AB145" i="17"/>
  <c r="AD78" i="17" l="1"/>
  <c r="B8" i="17"/>
  <c r="G14" i="4"/>
  <c r="J8" i="17" l="1"/>
  <c r="Q3" i="10" l="1"/>
  <c r="R16" i="17"/>
  <c r="R17" i="17" s="1"/>
  <c r="R18" i="17" s="1"/>
  <c r="R19" i="17" s="1"/>
  <c r="R20" i="17" s="1"/>
  <c r="R21" i="17" s="1"/>
  <c r="R22" i="17" s="1"/>
  <c r="R23" i="17" s="1"/>
  <c r="R24" i="17" s="1"/>
  <c r="R25" i="17" s="1"/>
  <c r="R26" i="17" s="1"/>
  <c r="R27" i="17" s="1"/>
  <c r="R28" i="17" s="1"/>
  <c r="R29" i="17" s="1"/>
  <c r="R30" i="17" s="1"/>
  <c r="AG9" i="17"/>
  <c r="AG7" i="17"/>
  <c r="O2" i="4"/>
  <c r="V3" i="17" l="1"/>
  <c r="F16" i="10" l="1"/>
  <c r="F14" i="10"/>
  <c r="L8" i="10" l="1"/>
  <c r="L9" i="10" s="1"/>
  <c r="L10" i="10" s="1"/>
  <c r="L11" i="10" s="1"/>
  <c r="L12" i="10" s="1"/>
  <c r="L13" i="10" s="1"/>
  <c r="L14" i="10" s="1"/>
  <c r="L15" i="10" s="1"/>
  <c r="L16" i="10" s="1"/>
  <c r="L17" i="10" s="1"/>
  <c r="L18" i="10" s="1"/>
  <c r="L19" i="10" s="1"/>
  <c r="L20" i="10" s="1"/>
  <c r="L21" i="10" s="1"/>
  <c r="L22" i="10" s="1"/>
  <c r="E14" i="4" l="1"/>
  <c r="G8" i="17" s="1"/>
  <c r="C14" i="4"/>
  <c r="I14" i="4" l="1"/>
  <c r="D8" i="17"/>
  <c r="L8" i="17" s="1"/>
  <c r="P4" i="4"/>
  <c r="P5" i="4"/>
  <c r="P6" i="4"/>
  <c r="P7" i="4"/>
  <c r="P8" i="4"/>
  <c r="P9" i="4"/>
  <c r="P10" i="4"/>
  <c r="P11" i="4"/>
  <c r="P12" i="4"/>
  <c r="P13" i="4"/>
  <c r="P14" i="4"/>
  <c r="P15" i="4"/>
  <c r="P16" i="4"/>
  <c r="G3" i="10" l="1"/>
  <c r="H3" i="10" s="1"/>
  <c r="X91" i="17" s="1"/>
  <c r="I3" i="17"/>
  <c r="J3" i="17" s="1"/>
  <c r="K3" i="17" s="1"/>
  <c r="A3" i="4"/>
  <c r="B3" i="4"/>
  <c r="F3" i="4"/>
  <c r="J3" i="4" s="1"/>
  <c r="K3" i="4"/>
  <c r="R3" i="17" s="1"/>
  <c r="S3" i="17" s="1"/>
  <c r="R5" i="4" l="1"/>
  <c r="X135" i="17"/>
  <c r="X99" i="17"/>
  <c r="R16" i="4"/>
  <c r="X132" i="17"/>
  <c r="X90" i="17"/>
  <c r="R11" i="4"/>
  <c r="R12" i="4"/>
  <c r="X144" i="17"/>
  <c r="X129" i="17"/>
  <c r="X112" i="17"/>
  <c r="X85" i="17"/>
  <c r="R15" i="4"/>
  <c r="R8" i="4"/>
  <c r="X120" i="17"/>
  <c r="R13" i="4"/>
  <c r="R4" i="4"/>
  <c r="X117" i="17"/>
  <c r="R7" i="4"/>
  <c r="R10" i="4"/>
  <c r="X141" i="17"/>
  <c r="X123" i="17"/>
  <c r="X109" i="17"/>
  <c r="X106" i="17"/>
  <c r="X82" i="17"/>
  <c r="X96" i="17"/>
  <c r="X95" i="17"/>
  <c r="X92" i="17"/>
  <c r="X80" i="17"/>
  <c r="X89" i="17"/>
  <c r="X87" i="17"/>
  <c r="X86" i="17"/>
  <c r="X136" i="17"/>
  <c r="X83" i="17"/>
  <c r="R9" i="4"/>
  <c r="R14" i="4"/>
  <c r="R6" i="4"/>
  <c r="X138" i="17"/>
  <c r="X126" i="17"/>
  <c r="X114" i="17"/>
  <c r="X103" i="17"/>
  <c r="X94" i="17"/>
  <c r="X88" i="17"/>
  <c r="X84" i="17"/>
  <c r="X145" i="17"/>
  <c r="X81" i="17"/>
  <c r="X115" i="17"/>
  <c r="X79" i="17"/>
  <c r="X101" i="17"/>
  <c r="X142" i="17"/>
  <c r="X139" i="17"/>
  <c r="X137" i="17"/>
  <c r="X133" i="17"/>
  <c r="X130" i="17"/>
  <c r="X127" i="17"/>
  <c r="X124" i="17"/>
  <c r="X121" i="17"/>
  <c r="X122" i="17"/>
  <c r="X110" i="17"/>
  <c r="X111" i="17"/>
  <c r="X98" i="17"/>
  <c r="X140" i="17"/>
  <c r="X107" i="17"/>
  <c r="X93" i="17"/>
  <c r="X134" i="17"/>
  <c r="X108" i="17"/>
  <c r="X118" i="17"/>
  <c r="X104" i="17"/>
  <c r="X143" i="17"/>
  <c r="X128" i="17"/>
  <c r="X119" i="17"/>
  <c r="X102" i="17"/>
  <c r="X131" i="17"/>
  <c r="X116" i="17"/>
  <c r="X125" i="17"/>
  <c r="X113" i="17"/>
  <c r="X100" i="17"/>
  <c r="X97" i="17"/>
  <c r="X105" i="17"/>
  <c r="Y79" i="17"/>
  <c r="E9" i="17" s="1"/>
  <c r="Y87" i="17"/>
  <c r="E17" i="17" s="1"/>
  <c r="Y95" i="17"/>
  <c r="E25" i="17" s="1"/>
  <c r="Y103" i="17"/>
  <c r="E33" i="17" s="1"/>
  <c r="Y111" i="17"/>
  <c r="E41" i="17" s="1"/>
  <c r="Y84" i="17"/>
  <c r="E14" i="17" s="1"/>
  <c r="Y98" i="17"/>
  <c r="E28" i="17" s="1"/>
  <c r="Y94" i="17"/>
  <c r="E24" i="17" s="1"/>
  <c r="Y114" i="17"/>
  <c r="E44" i="17" s="1"/>
  <c r="Y122" i="17"/>
  <c r="E52" i="17" s="1"/>
  <c r="Y130" i="17"/>
  <c r="E60" i="17" s="1"/>
  <c r="Y138" i="17"/>
  <c r="E68" i="17" s="1"/>
  <c r="Y129" i="17"/>
  <c r="E59" i="17" s="1"/>
  <c r="Y144" i="17"/>
  <c r="E74" i="17" s="1"/>
  <c r="Y117" i="17"/>
  <c r="E47" i="17" s="1"/>
  <c r="Y133" i="17"/>
  <c r="E63" i="17" s="1"/>
  <c r="Y119" i="17"/>
  <c r="E49" i="17" s="1"/>
  <c r="Y83" i="17"/>
  <c r="E13" i="17" s="1"/>
  <c r="Y93" i="17"/>
  <c r="E23" i="17" s="1"/>
  <c r="Y105" i="17"/>
  <c r="E35" i="17" s="1"/>
  <c r="Y80" i="17"/>
  <c r="E10" i="17" s="1"/>
  <c r="Y90" i="17"/>
  <c r="E20" i="17" s="1"/>
  <c r="Y102" i="17"/>
  <c r="E32" i="17" s="1"/>
  <c r="Y118" i="17"/>
  <c r="E48" i="17" s="1"/>
  <c r="Y128" i="17"/>
  <c r="E58" i="17" s="1"/>
  <c r="Y92" i="17"/>
  <c r="E22" i="17" s="1"/>
  <c r="Y140" i="17"/>
  <c r="E70" i="17" s="1"/>
  <c r="Y113" i="17"/>
  <c r="E43" i="17" s="1"/>
  <c r="Y143" i="17"/>
  <c r="E73" i="17" s="1"/>
  <c r="Y131" i="17"/>
  <c r="E61" i="17" s="1"/>
  <c r="Y85" i="17"/>
  <c r="E15" i="17" s="1"/>
  <c r="Y97" i="17"/>
  <c r="E27" i="17" s="1"/>
  <c r="Y107" i="17"/>
  <c r="E37" i="17" s="1"/>
  <c r="Y82" i="17"/>
  <c r="E12" i="17" s="1"/>
  <c r="Y106" i="17"/>
  <c r="E36" i="17" s="1"/>
  <c r="Y110" i="17"/>
  <c r="E40" i="17" s="1"/>
  <c r="Y120" i="17"/>
  <c r="E50" i="17" s="1"/>
  <c r="Y132" i="17"/>
  <c r="E62" i="17" s="1"/>
  <c r="Y100" i="17"/>
  <c r="E30" i="17" s="1"/>
  <c r="Y142" i="17"/>
  <c r="E72" i="17" s="1"/>
  <c r="Y121" i="17"/>
  <c r="E51" i="17" s="1"/>
  <c r="Y145" i="17"/>
  <c r="E75" i="17" s="1"/>
  <c r="Y125" i="17"/>
  <c r="E55" i="17" s="1"/>
  <c r="Y89" i="17"/>
  <c r="E19" i="17" s="1"/>
  <c r="Y99" i="17"/>
  <c r="E29" i="17" s="1"/>
  <c r="Y109" i="17"/>
  <c r="E39" i="17" s="1"/>
  <c r="Y86" i="17"/>
  <c r="E16" i="17" s="1"/>
  <c r="Y96" i="17"/>
  <c r="E26" i="17" s="1"/>
  <c r="Y112" i="17"/>
  <c r="E42" i="17" s="1"/>
  <c r="Y124" i="17"/>
  <c r="E54" i="17" s="1"/>
  <c r="Y134" i="17"/>
  <c r="E64" i="17" s="1"/>
  <c r="Y108" i="17"/>
  <c r="E38" i="17" s="1"/>
  <c r="Y141" i="17"/>
  <c r="E71" i="17" s="1"/>
  <c r="Y127" i="17"/>
  <c r="E57" i="17" s="1"/>
  <c r="Y115" i="17"/>
  <c r="E45" i="17" s="1"/>
  <c r="Y81" i="17"/>
  <c r="E11" i="17" s="1"/>
  <c r="Y91" i="17"/>
  <c r="E21" i="17" s="1"/>
  <c r="Y101" i="17"/>
  <c r="E31" i="17" s="1"/>
  <c r="Y78" i="17"/>
  <c r="E8" i="17" s="1"/>
  <c r="Y88" i="17"/>
  <c r="E18" i="17" s="1"/>
  <c r="Y104" i="17"/>
  <c r="E34" i="17" s="1"/>
  <c r="Y137" i="17"/>
  <c r="E67" i="17" s="1"/>
  <c r="Y135" i="17"/>
  <c r="E65" i="17" s="1"/>
  <c r="Y136" i="17"/>
  <c r="E66" i="17" s="1"/>
  <c r="Y123" i="17"/>
  <c r="E53" i="17" s="1"/>
  <c r="Y116" i="17"/>
  <c r="E46" i="17" s="1"/>
  <c r="Y139" i="17"/>
  <c r="E69" i="17" s="1"/>
  <c r="Y126" i="17"/>
  <c r="E56" i="17" s="1"/>
  <c r="F3" i="17"/>
  <c r="G3" i="17" s="1"/>
  <c r="H3" i="17" s="1"/>
  <c r="E3" i="10"/>
  <c r="D20" i="4"/>
  <c r="D32" i="4"/>
  <c r="D44" i="4"/>
  <c r="D56" i="4"/>
  <c r="D68" i="4"/>
  <c r="D80" i="4"/>
  <c r="D57" i="4"/>
  <c r="D22" i="4"/>
  <c r="D34" i="4"/>
  <c r="D46" i="4"/>
  <c r="D58" i="4"/>
  <c r="D70" i="4"/>
  <c r="D23" i="4"/>
  <c r="D35" i="4"/>
  <c r="D47" i="4"/>
  <c r="D59" i="4"/>
  <c r="D71" i="4"/>
  <c r="D24" i="4"/>
  <c r="D36" i="4"/>
  <c r="D48" i="4"/>
  <c r="D60" i="4"/>
  <c r="D72" i="4"/>
  <c r="D25" i="4"/>
  <c r="D37" i="4"/>
  <c r="D49" i="4"/>
  <c r="D61" i="4"/>
  <c r="D73" i="4"/>
  <c r="D15" i="4"/>
  <c r="D39" i="4"/>
  <c r="D63" i="4"/>
  <c r="D75" i="4"/>
  <c r="D45" i="4"/>
  <c r="D26" i="4"/>
  <c r="D38" i="4"/>
  <c r="D50" i="4"/>
  <c r="D62" i="4"/>
  <c r="D74" i="4"/>
  <c r="D27" i="4"/>
  <c r="D51" i="4"/>
  <c r="D21" i="4"/>
  <c r="D81" i="4"/>
  <c r="D16" i="4"/>
  <c r="D28" i="4"/>
  <c r="D40" i="4"/>
  <c r="D52" i="4"/>
  <c r="D64" i="4"/>
  <c r="D76" i="4"/>
  <c r="D33" i="4"/>
  <c r="D17" i="4"/>
  <c r="D29" i="4"/>
  <c r="D41" i="4"/>
  <c r="D53" i="4"/>
  <c r="D65" i="4"/>
  <c r="D77" i="4"/>
  <c r="D14" i="4"/>
  <c r="D18" i="4"/>
  <c r="D30" i="4"/>
  <c r="D42" i="4"/>
  <c r="D54" i="4"/>
  <c r="D66" i="4"/>
  <c r="D78" i="4"/>
  <c r="D69" i="4"/>
  <c r="D19" i="4"/>
  <c r="D31" i="4"/>
  <c r="D43" i="4"/>
  <c r="D55" i="4"/>
  <c r="D67" i="4"/>
  <c r="D79" i="4"/>
  <c r="H3" i="4"/>
  <c r="E3" i="17" s="1"/>
  <c r="C15" i="4"/>
  <c r="D9" i="17" s="1"/>
  <c r="C23" i="4"/>
  <c r="D17" i="17" s="1"/>
  <c r="C31" i="4"/>
  <c r="D25" i="17" s="1"/>
  <c r="C39" i="4"/>
  <c r="D33" i="17" s="1"/>
  <c r="C47" i="4"/>
  <c r="D41" i="17" s="1"/>
  <c r="C55" i="4"/>
  <c r="D49" i="17" s="1"/>
  <c r="C63" i="4"/>
  <c r="D57" i="17" s="1"/>
  <c r="C71" i="4"/>
  <c r="D65" i="17" s="1"/>
  <c r="C79" i="4"/>
  <c r="D73" i="17" s="1"/>
  <c r="C41" i="4"/>
  <c r="D35" i="17" s="1"/>
  <c r="C65" i="4"/>
  <c r="D59" i="17" s="1"/>
  <c r="C73" i="4"/>
  <c r="D67" i="17" s="1"/>
  <c r="C34" i="4"/>
  <c r="D28" i="17" s="1"/>
  <c r="C50" i="4"/>
  <c r="D44" i="17" s="1"/>
  <c r="C74" i="4"/>
  <c r="D68" i="17" s="1"/>
  <c r="C19" i="4"/>
  <c r="D13" i="17" s="1"/>
  <c r="C51" i="4"/>
  <c r="D45" i="17" s="1"/>
  <c r="C75" i="4"/>
  <c r="D69" i="17" s="1"/>
  <c r="C28" i="4"/>
  <c r="D22" i="17" s="1"/>
  <c r="C68" i="4"/>
  <c r="D62" i="17" s="1"/>
  <c r="C45" i="4"/>
  <c r="D39" i="17" s="1"/>
  <c r="C77" i="4"/>
  <c r="D71" i="17" s="1"/>
  <c r="C54" i="4"/>
  <c r="D48" i="17" s="1"/>
  <c r="C62" i="4"/>
  <c r="D56" i="17" s="1"/>
  <c r="C16" i="4"/>
  <c r="D10" i="17" s="1"/>
  <c r="C24" i="4"/>
  <c r="D18" i="17" s="1"/>
  <c r="C32" i="4"/>
  <c r="D26" i="17" s="1"/>
  <c r="C40" i="4"/>
  <c r="D34" i="17" s="1"/>
  <c r="C48" i="4"/>
  <c r="D42" i="17" s="1"/>
  <c r="C56" i="4"/>
  <c r="D50" i="17" s="1"/>
  <c r="C64" i="4"/>
  <c r="D58" i="17" s="1"/>
  <c r="C72" i="4"/>
  <c r="D66" i="17" s="1"/>
  <c r="C80" i="4"/>
  <c r="D74" i="17" s="1"/>
  <c r="C49" i="4"/>
  <c r="D43" i="17" s="1"/>
  <c r="C81" i="4"/>
  <c r="D75" i="17" s="1"/>
  <c r="C42" i="4"/>
  <c r="D36" i="17" s="1"/>
  <c r="C66" i="4"/>
  <c r="D60" i="17" s="1"/>
  <c r="C27" i="4"/>
  <c r="D21" i="17" s="1"/>
  <c r="C43" i="4"/>
  <c r="D37" i="17" s="1"/>
  <c r="C59" i="4"/>
  <c r="D53" i="17" s="1"/>
  <c r="C20" i="4"/>
  <c r="D14" i="17" s="1"/>
  <c r="C52" i="4"/>
  <c r="D46" i="17" s="1"/>
  <c r="C76" i="4"/>
  <c r="D70" i="17" s="1"/>
  <c r="C53" i="4"/>
  <c r="D47" i="17" s="1"/>
  <c r="C30" i="4"/>
  <c r="D24" i="17" s="1"/>
  <c r="C17" i="4"/>
  <c r="D11" i="17" s="1"/>
  <c r="C25" i="4"/>
  <c r="D19" i="17" s="1"/>
  <c r="C33" i="4"/>
  <c r="D27" i="17" s="1"/>
  <c r="C57" i="4"/>
  <c r="D51" i="17" s="1"/>
  <c r="C26" i="4"/>
  <c r="D20" i="17" s="1"/>
  <c r="C58" i="4"/>
  <c r="D52" i="17" s="1"/>
  <c r="C35" i="4"/>
  <c r="D29" i="17" s="1"/>
  <c r="C67" i="4"/>
  <c r="D61" i="17" s="1"/>
  <c r="C44" i="4"/>
  <c r="D38" i="17" s="1"/>
  <c r="C60" i="4"/>
  <c r="D54" i="17" s="1"/>
  <c r="C37" i="4"/>
  <c r="D31" i="17" s="1"/>
  <c r="C61" i="4"/>
  <c r="D55" i="17" s="1"/>
  <c r="C46" i="4"/>
  <c r="D40" i="17" s="1"/>
  <c r="C70" i="4"/>
  <c r="D64" i="17" s="1"/>
  <c r="C18" i="4"/>
  <c r="D12" i="17" s="1"/>
  <c r="C36" i="4"/>
  <c r="D30" i="17" s="1"/>
  <c r="C29" i="4"/>
  <c r="D23" i="17" s="1"/>
  <c r="C69" i="4"/>
  <c r="D63" i="17" s="1"/>
  <c r="C78" i="4"/>
  <c r="D72" i="17" s="1"/>
  <c r="C21" i="4"/>
  <c r="D15" i="17" s="1"/>
  <c r="C38" i="4"/>
  <c r="D32" i="17" s="1"/>
  <c r="C22" i="4"/>
  <c r="D16" i="17" s="1"/>
  <c r="I3" i="4"/>
  <c r="N3" i="17" s="1"/>
  <c r="O3" i="17" s="1"/>
  <c r="AC79" i="17" l="1"/>
  <c r="K9" i="17" s="1"/>
  <c r="AC87" i="17"/>
  <c r="K17" i="17" s="1"/>
  <c r="AC95" i="17"/>
  <c r="K25" i="17" s="1"/>
  <c r="AC103" i="17"/>
  <c r="K33" i="17" s="1"/>
  <c r="AC111" i="17"/>
  <c r="K41" i="17" s="1"/>
  <c r="AC84" i="17"/>
  <c r="K14" i="17" s="1"/>
  <c r="AC96" i="17"/>
  <c r="K26" i="17" s="1"/>
  <c r="AC110" i="17"/>
  <c r="K40" i="17" s="1"/>
  <c r="AC112" i="17"/>
  <c r="K42" i="17" s="1"/>
  <c r="AC120" i="17"/>
  <c r="K50" i="17" s="1"/>
  <c r="AC128" i="17"/>
  <c r="K58" i="17" s="1"/>
  <c r="AC136" i="17"/>
  <c r="K66" i="17" s="1"/>
  <c r="AC113" i="17"/>
  <c r="K43" i="17" s="1"/>
  <c r="AC135" i="17"/>
  <c r="K65" i="17" s="1"/>
  <c r="AC131" i="17"/>
  <c r="K61" i="17" s="1"/>
  <c r="AC129" i="17"/>
  <c r="K59" i="17" s="1"/>
  <c r="AC137" i="17"/>
  <c r="K67" i="17" s="1"/>
  <c r="AC85" i="17"/>
  <c r="K15" i="17" s="1"/>
  <c r="AC97" i="17"/>
  <c r="K27" i="17" s="1"/>
  <c r="AC107" i="17"/>
  <c r="K37" i="17" s="1"/>
  <c r="AC82" i="17"/>
  <c r="K12" i="17" s="1"/>
  <c r="AC104" i="17"/>
  <c r="K34" i="17" s="1"/>
  <c r="AC100" i="17"/>
  <c r="K30" i="17" s="1"/>
  <c r="AC118" i="17"/>
  <c r="K48" i="17" s="1"/>
  <c r="AC130" i="17"/>
  <c r="K60" i="17" s="1"/>
  <c r="AC98" i="17"/>
  <c r="K28" i="17" s="1"/>
  <c r="AC127" i="17"/>
  <c r="K57" i="17" s="1"/>
  <c r="AC139" i="17"/>
  <c r="K69" i="17" s="1"/>
  <c r="AC133" i="17"/>
  <c r="K63" i="17" s="1"/>
  <c r="AC123" i="17"/>
  <c r="K53" i="17" s="1"/>
  <c r="AC89" i="17"/>
  <c r="K19" i="17" s="1"/>
  <c r="AC99" i="17"/>
  <c r="K29" i="17" s="1"/>
  <c r="AC109" i="17"/>
  <c r="K39" i="17" s="1"/>
  <c r="AC86" i="17"/>
  <c r="K16" i="17" s="1"/>
  <c r="AC94" i="17"/>
  <c r="K24" i="17" s="1"/>
  <c r="AC108" i="17"/>
  <c r="K38" i="17" s="1"/>
  <c r="AC122" i="17"/>
  <c r="K52" i="17" s="1"/>
  <c r="AC132" i="17"/>
  <c r="K62" i="17" s="1"/>
  <c r="AC106" i="17"/>
  <c r="K36" i="17" s="1"/>
  <c r="AC140" i="17"/>
  <c r="K70" i="17" s="1"/>
  <c r="AC143" i="17"/>
  <c r="K73" i="17" s="1"/>
  <c r="AC141" i="17"/>
  <c r="K71" i="17" s="1"/>
  <c r="AC81" i="17"/>
  <c r="K11" i="17" s="1"/>
  <c r="AC91" i="17"/>
  <c r="K21" i="17" s="1"/>
  <c r="AC101" i="17"/>
  <c r="K31" i="17" s="1"/>
  <c r="AC78" i="17"/>
  <c r="K8" i="17" s="1"/>
  <c r="AC88" i="17"/>
  <c r="K18" i="17" s="1"/>
  <c r="AC102" i="17"/>
  <c r="K32" i="17" s="1"/>
  <c r="AC114" i="17"/>
  <c r="K44" i="17" s="1"/>
  <c r="AC124" i="17"/>
  <c r="K54" i="17" s="1"/>
  <c r="AC134" i="17"/>
  <c r="K64" i="17" s="1"/>
  <c r="AC117" i="17"/>
  <c r="K47" i="17" s="1"/>
  <c r="AC142" i="17"/>
  <c r="K72" i="17" s="1"/>
  <c r="AC145" i="17"/>
  <c r="K75" i="17" s="1"/>
  <c r="AC115" i="17"/>
  <c r="K45" i="17" s="1"/>
  <c r="AC83" i="17"/>
  <c r="K13" i="17" s="1"/>
  <c r="AC90" i="17"/>
  <c r="K20" i="17" s="1"/>
  <c r="AC138" i="17"/>
  <c r="K68" i="17" s="1"/>
  <c r="AC119" i="17"/>
  <c r="K49" i="17" s="1"/>
  <c r="AC93" i="17"/>
  <c r="K23" i="17" s="1"/>
  <c r="AC92" i="17"/>
  <c r="K22" i="17" s="1"/>
  <c r="AC121" i="17"/>
  <c r="K51" i="17" s="1"/>
  <c r="AC116" i="17"/>
  <c r="K46" i="17" s="1"/>
  <c r="AC125" i="17"/>
  <c r="K55" i="17" s="1"/>
  <c r="AC144" i="17"/>
  <c r="K74" i="17" s="1"/>
  <c r="AC126" i="17"/>
  <c r="K56" i="17" s="1"/>
  <c r="AC105" i="17"/>
  <c r="K35" i="17" s="1"/>
  <c r="AC80" i="17"/>
  <c r="K10" i="17" s="1"/>
  <c r="L3" i="17"/>
  <c r="M3" i="17" s="1"/>
  <c r="W3" i="17"/>
  <c r="W78" i="17"/>
  <c r="W86" i="17"/>
  <c r="W94" i="17"/>
  <c r="W102" i="17"/>
  <c r="W110" i="17"/>
  <c r="W85" i="17"/>
  <c r="W95" i="17"/>
  <c r="W109" i="17"/>
  <c r="W115" i="17"/>
  <c r="W123" i="17"/>
  <c r="W131" i="17"/>
  <c r="W139" i="17"/>
  <c r="W126" i="17"/>
  <c r="W145" i="17"/>
  <c r="W142" i="17"/>
  <c r="W122" i="17"/>
  <c r="W120" i="17"/>
  <c r="W80" i="17"/>
  <c r="W90" i="17"/>
  <c r="W100" i="17"/>
  <c r="W79" i="17"/>
  <c r="W89" i="17"/>
  <c r="W101" i="17"/>
  <c r="W117" i="17"/>
  <c r="W127" i="17"/>
  <c r="W137" i="17"/>
  <c r="W134" i="17"/>
  <c r="W138" i="17"/>
  <c r="W118" i="17"/>
  <c r="W124" i="17"/>
  <c r="W82" i="17"/>
  <c r="W92" i="17"/>
  <c r="W104" i="17"/>
  <c r="W81" i="17"/>
  <c r="W91" i="17"/>
  <c r="W99" i="17"/>
  <c r="W119" i="17"/>
  <c r="W129" i="17"/>
  <c r="W97" i="17"/>
  <c r="W141" i="17"/>
  <c r="W140" i="17"/>
  <c r="W128" i="17"/>
  <c r="W132" i="17"/>
  <c r="W84" i="17"/>
  <c r="W96" i="17"/>
  <c r="W106" i="17"/>
  <c r="W83" i="17"/>
  <c r="W103" i="17"/>
  <c r="W107" i="17"/>
  <c r="W121" i="17"/>
  <c r="W133" i="17"/>
  <c r="W105" i="17"/>
  <c r="W143" i="17"/>
  <c r="W144" i="17"/>
  <c r="W112" i="17"/>
  <c r="W136" i="17"/>
  <c r="W88" i="17"/>
  <c r="W98" i="17"/>
  <c r="W108" i="17"/>
  <c r="W87" i="17"/>
  <c r="W93" i="17"/>
  <c r="W113" i="17"/>
  <c r="W125" i="17"/>
  <c r="W135" i="17"/>
  <c r="W111" i="17"/>
  <c r="W130" i="17"/>
  <c r="W114" i="17"/>
  <c r="W116" i="17"/>
  <c r="Z3" i="17" l="1"/>
  <c r="Y3" i="17"/>
  <c r="C41" i="17"/>
  <c r="C18" i="17"/>
  <c r="C36" i="17"/>
  <c r="C54" i="17"/>
  <c r="C10" i="17"/>
  <c r="C46" i="17"/>
  <c r="C17" i="17"/>
  <c r="C73" i="17"/>
  <c r="C70" i="17"/>
  <c r="C48" i="17"/>
  <c r="C9" i="17"/>
  <c r="C56" i="17"/>
  <c r="C45" i="17"/>
  <c r="C40" i="17"/>
  <c r="C8" i="17"/>
  <c r="C44" i="17"/>
  <c r="C38" i="17"/>
  <c r="C35" i="17"/>
  <c r="C33" i="17"/>
  <c r="C14" i="17"/>
  <c r="C71" i="17"/>
  <c r="C29" i="17"/>
  <c r="C22" i="17"/>
  <c r="C68" i="17"/>
  <c r="C47" i="17"/>
  <c r="C30" i="17"/>
  <c r="C52" i="17"/>
  <c r="C69" i="17"/>
  <c r="C39" i="17"/>
  <c r="C32" i="17"/>
  <c r="C23" i="17"/>
  <c r="C58" i="17"/>
  <c r="C67" i="17"/>
  <c r="C75" i="17"/>
  <c r="C65" i="17"/>
  <c r="C37" i="17"/>
  <c r="C49" i="17"/>
  <c r="C34" i="17"/>
  <c r="C57" i="17"/>
  <c r="C55" i="17"/>
  <c r="C66" i="17"/>
  <c r="C60" i="17"/>
  <c r="C43" i="17"/>
  <c r="C28" i="17"/>
  <c r="C42" i="17"/>
  <c r="C63" i="17"/>
  <c r="C13" i="17"/>
  <c r="C62" i="17"/>
  <c r="C27" i="17"/>
  <c r="C21" i="17"/>
  <c r="C12" i="17"/>
  <c r="C64" i="17"/>
  <c r="C31" i="17"/>
  <c r="C20" i="17"/>
  <c r="C72" i="17"/>
  <c r="C61" i="17"/>
  <c r="C25" i="17"/>
  <c r="C24" i="17"/>
  <c r="AA78" i="17"/>
  <c r="H8" i="17" s="1"/>
  <c r="AA86" i="17"/>
  <c r="H16" i="17" s="1"/>
  <c r="AA94" i="17"/>
  <c r="H24" i="17" s="1"/>
  <c r="AA102" i="17"/>
  <c r="H32" i="17" s="1"/>
  <c r="AA110" i="17"/>
  <c r="H40" i="17" s="1"/>
  <c r="AA85" i="17"/>
  <c r="H15" i="17" s="1"/>
  <c r="AA93" i="17"/>
  <c r="H23" i="17" s="1"/>
  <c r="AA97" i="17"/>
  <c r="H27" i="17" s="1"/>
  <c r="AA117" i="17"/>
  <c r="H47" i="17" s="1"/>
  <c r="AA125" i="17"/>
  <c r="H55" i="17" s="1"/>
  <c r="AA133" i="17"/>
  <c r="H63" i="17" s="1"/>
  <c r="AA95" i="17"/>
  <c r="H25" i="17" s="1"/>
  <c r="AA116" i="17"/>
  <c r="H46" i="17" s="1"/>
  <c r="AA141" i="17"/>
  <c r="H71" i="17" s="1"/>
  <c r="AA136" i="17"/>
  <c r="H66" i="17" s="1"/>
  <c r="AA138" i="17"/>
  <c r="H68" i="17" s="1"/>
  <c r="AA134" i="17"/>
  <c r="H64" i="17" s="1"/>
  <c r="AA80" i="17"/>
  <c r="H10" i="17" s="1"/>
  <c r="AA88" i="17"/>
  <c r="H18" i="17" s="1"/>
  <c r="AA96" i="17"/>
  <c r="H26" i="17" s="1"/>
  <c r="AA104" i="17"/>
  <c r="H34" i="17" s="1"/>
  <c r="AA79" i="17"/>
  <c r="H9" i="17" s="1"/>
  <c r="AA87" i="17"/>
  <c r="H17" i="17" s="1"/>
  <c r="AA101" i="17"/>
  <c r="H31" i="17" s="1"/>
  <c r="AA105" i="17"/>
  <c r="H35" i="17" s="1"/>
  <c r="AA119" i="17"/>
  <c r="H49" i="17" s="1"/>
  <c r="AA127" i="17"/>
  <c r="H57" i="17" s="1"/>
  <c r="AA135" i="17"/>
  <c r="H65" i="17" s="1"/>
  <c r="AA103" i="17"/>
  <c r="H33" i="17" s="1"/>
  <c r="AA120" i="17"/>
  <c r="H50" i="17" s="1"/>
  <c r="AA143" i="17"/>
  <c r="H73" i="17" s="1"/>
  <c r="AA126" i="17"/>
  <c r="H56" i="17" s="1"/>
  <c r="AA82" i="17"/>
  <c r="H12" i="17" s="1"/>
  <c r="AA98" i="17"/>
  <c r="H28" i="17" s="1"/>
  <c r="AA81" i="17"/>
  <c r="H11" i="17" s="1"/>
  <c r="AA99" i="17"/>
  <c r="H29" i="17" s="1"/>
  <c r="AA121" i="17"/>
  <c r="H51" i="17" s="1"/>
  <c r="AA137" i="17"/>
  <c r="H67" i="17" s="1"/>
  <c r="AA124" i="17"/>
  <c r="H54" i="17" s="1"/>
  <c r="AA109" i="17"/>
  <c r="H39" i="17" s="1"/>
  <c r="AA144" i="17"/>
  <c r="H74" i="17" s="1"/>
  <c r="AA84" i="17"/>
  <c r="H14" i="17" s="1"/>
  <c r="AA100" i="17"/>
  <c r="H30" i="17" s="1"/>
  <c r="AA83" i="17"/>
  <c r="H13" i="17" s="1"/>
  <c r="AA107" i="17"/>
  <c r="H37" i="17" s="1"/>
  <c r="AA123" i="17"/>
  <c r="H53" i="17" s="1"/>
  <c r="AA139" i="17"/>
  <c r="H69" i="17" s="1"/>
  <c r="AA132" i="17"/>
  <c r="H62" i="17" s="1"/>
  <c r="AA130" i="17"/>
  <c r="H60" i="17" s="1"/>
  <c r="AA114" i="17"/>
  <c r="H44" i="17" s="1"/>
  <c r="AA90" i="17"/>
  <c r="H20" i="17" s="1"/>
  <c r="AA106" i="17"/>
  <c r="H36" i="17" s="1"/>
  <c r="AA89" i="17"/>
  <c r="H19" i="17" s="1"/>
  <c r="AA113" i="17"/>
  <c r="H43" i="17" s="1"/>
  <c r="AA129" i="17"/>
  <c r="H59" i="17" s="1"/>
  <c r="AA111" i="17"/>
  <c r="H41" i="17" s="1"/>
  <c r="AA145" i="17"/>
  <c r="H75" i="17" s="1"/>
  <c r="AA140" i="17"/>
  <c r="H70" i="17" s="1"/>
  <c r="AA118" i="17"/>
  <c r="H48" i="17" s="1"/>
  <c r="AA92" i="17"/>
  <c r="H22" i="17" s="1"/>
  <c r="AA108" i="17"/>
  <c r="H38" i="17" s="1"/>
  <c r="AA91" i="17"/>
  <c r="H21" i="17" s="1"/>
  <c r="AA115" i="17"/>
  <c r="H45" i="17" s="1"/>
  <c r="AA131" i="17"/>
  <c r="H61" i="17" s="1"/>
  <c r="AA112" i="17"/>
  <c r="H42" i="17" s="1"/>
  <c r="AA128" i="17"/>
  <c r="H58" i="17" s="1"/>
  <c r="AA142" i="17"/>
  <c r="H72" i="17" s="1"/>
  <c r="AA122" i="17"/>
  <c r="H52" i="17" s="1"/>
  <c r="X3" i="17"/>
  <c r="C74" i="17"/>
  <c r="AE129" i="17"/>
  <c r="C59" i="17"/>
  <c r="C19" i="17"/>
  <c r="C53" i="17"/>
  <c r="AE123" i="17"/>
  <c r="C15" i="17"/>
  <c r="C16" i="17"/>
  <c r="C51" i="17"/>
  <c r="C11" i="17"/>
  <c r="C26" i="17"/>
  <c r="AE120" i="17"/>
  <c r="C50" i="17"/>
  <c r="K6" i="4"/>
  <c r="K8" i="4"/>
  <c r="K7" i="4"/>
  <c r="K5" i="4"/>
  <c r="K4" i="4"/>
  <c r="M3" i="10"/>
  <c r="N3" i="10" s="1"/>
  <c r="AE85" i="17" l="1"/>
  <c r="AE86" i="17"/>
  <c r="AE96" i="17"/>
  <c r="AE81" i="17"/>
  <c r="AE121" i="17"/>
  <c r="AE144" i="17"/>
  <c r="AE131" i="17"/>
  <c r="AE90" i="17"/>
  <c r="AE134" i="17"/>
  <c r="AE104" i="17"/>
  <c r="AE107" i="17"/>
  <c r="AE128" i="17"/>
  <c r="AE102" i="17"/>
  <c r="AE138" i="17"/>
  <c r="AE99" i="17"/>
  <c r="AE105" i="17"/>
  <c r="AE124" i="17"/>
  <c r="AE89" i="17"/>
  <c r="AE94" i="17"/>
  <c r="AE91" i="17"/>
  <c r="AE132" i="17"/>
  <c r="AE133" i="17"/>
  <c r="AE98" i="17"/>
  <c r="AE130" i="17"/>
  <c r="AE125" i="17"/>
  <c r="AE145" i="17"/>
  <c r="AE139" i="17"/>
  <c r="AE100" i="17"/>
  <c r="AE84" i="17"/>
  <c r="AE114" i="17"/>
  <c r="AE110" i="17"/>
  <c r="AE126" i="17"/>
  <c r="AE118" i="17"/>
  <c r="AE143" i="17"/>
  <c r="AE116" i="17"/>
  <c r="AE88" i="17"/>
  <c r="AE97" i="17"/>
  <c r="AE83" i="17"/>
  <c r="AE112" i="17"/>
  <c r="AE136" i="17"/>
  <c r="AE119" i="17"/>
  <c r="AE137" i="17"/>
  <c r="AE92" i="17"/>
  <c r="AE108" i="17"/>
  <c r="AE79" i="17"/>
  <c r="AE140" i="17"/>
  <c r="AE80" i="17"/>
  <c r="AE106" i="17"/>
  <c r="AE95" i="17"/>
  <c r="AE142" i="17"/>
  <c r="AE101" i="17"/>
  <c r="AE82" i="17"/>
  <c r="AE113" i="17"/>
  <c r="AE127" i="17"/>
  <c r="AE135" i="17"/>
  <c r="AE93" i="17"/>
  <c r="AE109" i="17"/>
  <c r="AE122" i="17"/>
  <c r="AE117" i="17"/>
  <c r="AE141" i="17"/>
  <c r="AE103" i="17"/>
  <c r="AE78" i="17"/>
  <c r="AE115" i="17"/>
  <c r="AE87" i="17"/>
  <c r="AE111" i="17"/>
  <c r="V5" i="4"/>
  <c r="V7" i="4"/>
  <c r="V9" i="4"/>
  <c r="V11" i="4"/>
  <c r="V13" i="4"/>
  <c r="V15" i="4"/>
  <c r="V4" i="4"/>
  <c r="V6" i="4"/>
  <c r="V8" i="4"/>
  <c r="V10" i="4"/>
  <c r="V12" i="4"/>
  <c r="V14" i="4"/>
  <c r="V16" i="4"/>
  <c r="A4" i="4"/>
  <c r="B4" i="4"/>
  <c r="F4" i="4"/>
  <c r="I4" i="4" s="1"/>
  <c r="G4" i="4"/>
  <c r="A5" i="4"/>
  <c r="B5" i="4"/>
  <c r="F5" i="4"/>
  <c r="F3" i="10" s="1"/>
  <c r="G5" i="4"/>
  <c r="A6" i="4"/>
  <c r="B6" i="4"/>
  <c r="F6" i="4"/>
  <c r="G6" i="4"/>
  <c r="A7" i="4"/>
  <c r="B7" i="4"/>
  <c r="F7" i="4"/>
  <c r="G7" i="4"/>
  <c r="A8" i="4"/>
  <c r="B8" i="4"/>
  <c r="F8" i="4"/>
  <c r="G8" i="4"/>
  <c r="L3" i="4"/>
  <c r="V85" i="17" l="1"/>
  <c r="AD85" i="17" s="1"/>
  <c r="V97" i="17"/>
  <c r="AD97" i="17" s="1"/>
  <c r="V101" i="17"/>
  <c r="AD101" i="17" s="1"/>
  <c r="V103" i="17"/>
  <c r="AD103" i="17" s="1"/>
  <c r="V105" i="17"/>
  <c r="AD105" i="17" s="1"/>
  <c r="V106" i="17"/>
  <c r="AD106" i="17" s="1"/>
  <c r="V108" i="17"/>
  <c r="AD108" i="17" s="1"/>
  <c r="V110" i="17"/>
  <c r="AD110" i="17" s="1"/>
  <c r="V111" i="17"/>
  <c r="AD111" i="17" s="1"/>
  <c r="V113" i="17"/>
  <c r="AD113" i="17" s="1"/>
  <c r="V115" i="17"/>
  <c r="AD115" i="17" s="1"/>
  <c r="V117" i="17"/>
  <c r="AD117" i="17" s="1"/>
  <c r="V118" i="17"/>
  <c r="AD118" i="17" s="1"/>
  <c r="V120" i="17"/>
  <c r="AD120" i="17" s="1"/>
  <c r="V122" i="17"/>
  <c r="AD122" i="17" s="1"/>
  <c r="V124" i="17"/>
  <c r="AD124" i="17" s="1"/>
  <c r="V125" i="17"/>
  <c r="AD125" i="17" s="1"/>
  <c r="V127" i="17"/>
  <c r="AD127" i="17" s="1"/>
  <c r="V129" i="17"/>
  <c r="AD129" i="17" s="1"/>
  <c r="V131" i="17"/>
  <c r="AD131" i="17" s="1"/>
  <c r="V132" i="17"/>
  <c r="AD132" i="17" s="1"/>
  <c r="V133" i="17"/>
  <c r="AD133" i="17" s="1"/>
  <c r="V135" i="17"/>
  <c r="AD135" i="17" s="1"/>
  <c r="V137" i="17"/>
  <c r="AD137" i="17" s="1"/>
  <c r="V139" i="17"/>
  <c r="AD139" i="17" s="1"/>
  <c r="V141" i="17"/>
  <c r="AD141" i="17" s="1"/>
  <c r="V142" i="17"/>
  <c r="AD142" i="17" s="1"/>
  <c r="V144" i="17"/>
  <c r="AD144" i="17" s="1"/>
  <c r="V79" i="17"/>
  <c r="AD79" i="17" s="1"/>
  <c r="V80" i="17"/>
  <c r="AD80" i="17" s="1"/>
  <c r="V81" i="17"/>
  <c r="AD81" i="17" s="1"/>
  <c r="V82" i="17"/>
  <c r="AD82" i="17" s="1"/>
  <c r="V83" i="17"/>
  <c r="AD83" i="17" s="1"/>
  <c r="V84" i="17"/>
  <c r="AD84" i="17" s="1"/>
  <c r="V86" i="17"/>
  <c r="AD86" i="17" s="1"/>
  <c r="V87" i="17"/>
  <c r="AD87" i="17" s="1"/>
  <c r="V88" i="17"/>
  <c r="AD88" i="17" s="1"/>
  <c r="V89" i="17"/>
  <c r="AD89" i="17" s="1"/>
  <c r="V90" i="17"/>
  <c r="AD90" i="17" s="1"/>
  <c r="V91" i="17"/>
  <c r="AD91" i="17" s="1"/>
  <c r="V92" i="17"/>
  <c r="AD92" i="17" s="1"/>
  <c r="V93" i="17"/>
  <c r="AD93" i="17" s="1"/>
  <c r="V94" i="17"/>
  <c r="AD94" i="17" s="1"/>
  <c r="V95" i="17"/>
  <c r="AD95" i="17" s="1"/>
  <c r="V96" i="17"/>
  <c r="AD96" i="17" s="1"/>
  <c r="V98" i="17"/>
  <c r="AD98" i="17" s="1"/>
  <c r="V99" i="17"/>
  <c r="AD99" i="17" s="1"/>
  <c r="V100" i="17"/>
  <c r="AD100" i="17" s="1"/>
  <c r="V102" i="17"/>
  <c r="AD102" i="17" s="1"/>
  <c r="V104" i="17"/>
  <c r="AD104" i="17" s="1"/>
  <c r="V107" i="17"/>
  <c r="AD107" i="17" s="1"/>
  <c r="V109" i="17"/>
  <c r="AD109" i="17" s="1"/>
  <c r="V112" i="17"/>
  <c r="AD112" i="17" s="1"/>
  <c r="V114" i="17"/>
  <c r="AD114" i="17" s="1"/>
  <c r="V116" i="17"/>
  <c r="AD116" i="17" s="1"/>
  <c r="V119" i="17"/>
  <c r="AD119" i="17" s="1"/>
  <c r="V121" i="17"/>
  <c r="AD121" i="17" s="1"/>
  <c r="V123" i="17"/>
  <c r="AD123" i="17" s="1"/>
  <c r="V126" i="17"/>
  <c r="AD126" i="17" s="1"/>
  <c r="V128" i="17"/>
  <c r="AD128" i="17" s="1"/>
  <c r="V130" i="17"/>
  <c r="AD130" i="17" s="1"/>
  <c r="V134" i="17"/>
  <c r="AD134" i="17" s="1"/>
  <c r="V136" i="17"/>
  <c r="AD136" i="17" s="1"/>
  <c r="V138" i="17"/>
  <c r="AD138" i="17" s="1"/>
  <c r="V140" i="17"/>
  <c r="AD140" i="17" s="1"/>
  <c r="V143" i="17"/>
  <c r="AD143" i="17" s="1"/>
  <c r="V145" i="17"/>
  <c r="AD145" i="17" s="1"/>
  <c r="B14" i="4"/>
  <c r="B15" i="4"/>
  <c r="B27" i="4"/>
  <c r="B39" i="4"/>
  <c r="B51" i="4"/>
  <c r="B63" i="4"/>
  <c r="B75" i="4"/>
  <c r="B16" i="4"/>
  <c r="B28" i="4"/>
  <c r="B40" i="4"/>
  <c r="B52" i="4"/>
  <c r="B64" i="4"/>
  <c r="B76" i="4"/>
  <c r="B17" i="4"/>
  <c r="B29" i="4"/>
  <c r="B41" i="4"/>
  <c r="B53" i="4"/>
  <c r="B65" i="4"/>
  <c r="B77" i="4"/>
  <c r="B18" i="4"/>
  <c r="B30" i="4"/>
  <c r="B42" i="4"/>
  <c r="B54" i="4"/>
  <c r="B66" i="4"/>
  <c r="B78" i="4"/>
  <c r="B19" i="4"/>
  <c r="B31" i="4"/>
  <c r="B43" i="4"/>
  <c r="B55" i="4"/>
  <c r="B67" i="4"/>
  <c r="B79" i="4"/>
  <c r="B20" i="4"/>
  <c r="B32" i="4"/>
  <c r="B44" i="4"/>
  <c r="B56" i="4"/>
  <c r="B68" i="4"/>
  <c r="B80" i="4"/>
  <c r="B34" i="4"/>
  <c r="B46" i="4"/>
  <c r="B70" i="4"/>
  <c r="B21" i="4"/>
  <c r="B33" i="4"/>
  <c r="B45" i="4"/>
  <c r="B57" i="4"/>
  <c r="B69" i="4"/>
  <c r="B81" i="4"/>
  <c r="B22" i="4"/>
  <c r="B58" i="4"/>
  <c r="B23" i="4"/>
  <c r="B35" i="4"/>
  <c r="B47" i="4"/>
  <c r="B59" i="4"/>
  <c r="B71" i="4"/>
  <c r="B24" i="4"/>
  <c r="B36" i="4"/>
  <c r="B48" i="4"/>
  <c r="B60" i="4"/>
  <c r="B72" i="4"/>
  <c r="B25" i="4"/>
  <c r="B37" i="4"/>
  <c r="B49" i="4"/>
  <c r="B61" i="4"/>
  <c r="B73" i="4"/>
  <c r="B26" i="4"/>
  <c r="B38" i="4"/>
  <c r="B50" i="4"/>
  <c r="B62" i="4"/>
  <c r="B74" i="4"/>
  <c r="A19" i="4"/>
  <c r="B13" i="17" s="1"/>
  <c r="A27" i="4"/>
  <c r="B21" i="17" s="1"/>
  <c r="A35" i="4"/>
  <c r="B29" i="17" s="1"/>
  <c r="A43" i="4"/>
  <c r="B37" i="17" s="1"/>
  <c r="A51" i="4"/>
  <c r="B45" i="17" s="1"/>
  <c r="A59" i="4"/>
  <c r="B53" i="17" s="1"/>
  <c r="A67" i="4"/>
  <c r="B61" i="17" s="1"/>
  <c r="A75" i="4"/>
  <c r="B69" i="17" s="1"/>
  <c r="A34" i="4"/>
  <c r="B28" i="17" s="1"/>
  <c r="A20" i="4"/>
  <c r="B14" i="17" s="1"/>
  <c r="A28" i="4"/>
  <c r="B22" i="17" s="1"/>
  <c r="A36" i="4"/>
  <c r="B30" i="17" s="1"/>
  <c r="A44" i="4"/>
  <c r="B38" i="17" s="1"/>
  <c r="A52" i="4"/>
  <c r="B46" i="17" s="1"/>
  <c r="A60" i="4"/>
  <c r="B54" i="17" s="1"/>
  <c r="A68" i="4"/>
  <c r="B62" i="17" s="1"/>
  <c r="A76" i="4"/>
  <c r="B70" i="17" s="1"/>
  <c r="A26" i="4"/>
  <c r="B20" i="17" s="1"/>
  <c r="A74" i="4"/>
  <c r="B68" i="17" s="1"/>
  <c r="A21" i="4"/>
  <c r="B15" i="17" s="1"/>
  <c r="A29" i="4"/>
  <c r="B23" i="17" s="1"/>
  <c r="A37" i="4"/>
  <c r="B31" i="17" s="1"/>
  <c r="A45" i="4"/>
  <c r="B39" i="17" s="1"/>
  <c r="A53" i="4"/>
  <c r="B47" i="17" s="1"/>
  <c r="A61" i="4"/>
  <c r="B55" i="17" s="1"/>
  <c r="A69" i="4"/>
  <c r="B63" i="17" s="1"/>
  <c r="A77" i="4"/>
  <c r="B71" i="17" s="1"/>
  <c r="A50" i="4"/>
  <c r="B44" i="17" s="1"/>
  <c r="A22" i="4"/>
  <c r="B16" i="17" s="1"/>
  <c r="A30" i="4"/>
  <c r="B24" i="17" s="1"/>
  <c r="A38" i="4"/>
  <c r="B32" i="17" s="1"/>
  <c r="A46" i="4"/>
  <c r="B40" i="17" s="1"/>
  <c r="A54" i="4"/>
  <c r="B48" i="17" s="1"/>
  <c r="A62" i="4"/>
  <c r="B56" i="17" s="1"/>
  <c r="A70" i="4"/>
  <c r="B64" i="17" s="1"/>
  <c r="A78" i="4"/>
  <c r="B72" i="17" s="1"/>
  <c r="A80" i="4"/>
  <c r="B74" i="17" s="1"/>
  <c r="A66" i="4"/>
  <c r="B60" i="17" s="1"/>
  <c r="A15" i="4"/>
  <c r="B9" i="17" s="1"/>
  <c r="A23" i="4"/>
  <c r="B17" i="17" s="1"/>
  <c r="A31" i="4"/>
  <c r="B25" i="17" s="1"/>
  <c r="A39" i="4"/>
  <c r="B33" i="17" s="1"/>
  <c r="A47" i="4"/>
  <c r="B41" i="17" s="1"/>
  <c r="A55" i="4"/>
  <c r="B49" i="17" s="1"/>
  <c r="A63" i="4"/>
  <c r="B57" i="17" s="1"/>
  <c r="A71" i="4"/>
  <c r="B65" i="17" s="1"/>
  <c r="A79" i="4"/>
  <c r="B73" i="17" s="1"/>
  <c r="A18" i="4"/>
  <c r="B12" i="17" s="1"/>
  <c r="A16" i="4"/>
  <c r="B10" i="17" s="1"/>
  <c r="A24" i="4"/>
  <c r="B18" i="17" s="1"/>
  <c r="A32" i="4"/>
  <c r="B26" i="17" s="1"/>
  <c r="A40" i="4"/>
  <c r="B34" i="17" s="1"/>
  <c r="A48" i="4"/>
  <c r="B42" i="17" s="1"/>
  <c r="A56" i="4"/>
  <c r="B50" i="17" s="1"/>
  <c r="A64" i="4"/>
  <c r="B58" i="17" s="1"/>
  <c r="A72" i="4"/>
  <c r="B66" i="17" s="1"/>
  <c r="A42" i="4"/>
  <c r="B36" i="17" s="1"/>
  <c r="A17" i="4"/>
  <c r="B11" i="17" s="1"/>
  <c r="A25" i="4"/>
  <c r="B19" i="17" s="1"/>
  <c r="A33" i="4"/>
  <c r="B27" i="17" s="1"/>
  <c r="A41" i="4"/>
  <c r="B35" i="17" s="1"/>
  <c r="A49" i="4"/>
  <c r="B43" i="17" s="1"/>
  <c r="A57" i="4"/>
  <c r="B51" i="17" s="1"/>
  <c r="A65" i="4"/>
  <c r="B59" i="17" s="1"/>
  <c r="A73" i="4"/>
  <c r="B67" i="17" s="1"/>
  <c r="A81" i="4"/>
  <c r="B75" i="17" s="1"/>
  <c r="A58" i="4"/>
  <c r="B52" i="17" s="1"/>
  <c r="Q4" i="4"/>
  <c r="Q6" i="4"/>
  <c r="Q8" i="4"/>
  <c r="Q10" i="4"/>
  <c r="Q12" i="4"/>
  <c r="Q14" i="4"/>
  <c r="Q16" i="4"/>
  <c r="Q5" i="4"/>
  <c r="Q7" i="4"/>
  <c r="Q9" i="4"/>
  <c r="Q11" i="4"/>
  <c r="Q13" i="4"/>
  <c r="Q15" i="4"/>
  <c r="I6" i="4"/>
  <c r="I8" i="4"/>
  <c r="I5" i="4"/>
  <c r="J6" i="4"/>
  <c r="L6" i="4" s="1"/>
  <c r="H8" i="4"/>
  <c r="J7" i="4"/>
  <c r="J8" i="4"/>
  <c r="J4" i="4"/>
  <c r="L4" i="4" s="1"/>
  <c r="J5" i="4"/>
  <c r="L5" i="4" s="1"/>
  <c r="H4" i="4"/>
  <c r="J3" i="10"/>
  <c r="G15" i="4" s="1"/>
  <c r="I7" i="4"/>
  <c r="H6" i="4"/>
  <c r="H7" i="4"/>
  <c r="H5" i="4"/>
  <c r="D3" i="10"/>
  <c r="R3" i="10" s="1"/>
  <c r="T3" i="10" s="1"/>
  <c r="I3" i="10" l="1"/>
  <c r="S3" i="10" s="1"/>
  <c r="L7" i="4"/>
  <c r="T3" i="17" s="1"/>
  <c r="U3" i="17" s="1"/>
  <c r="P3" i="17"/>
  <c r="Q3" i="17" s="1"/>
  <c r="H36" i="4"/>
  <c r="H60" i="4"/>
  <c r="H50" i="4"/>
  <c r="H49" i="4"/>
  <c r="H26" i="4"/>
  <c r="H15" i="4"/>
  <c r="H27" i="4"/>
  <c r="H39" i="4"/>
  <c r="H51" i="4"/>
  <c r="H63" i="4"/>
  <c r="H75" i="4"/>
  <c r="H16" i="4"/>
  <c r="H28" i="4"/>
  <c r="H40" i="4"/>
  <c r="H52" i="4"/>
  <c r="H76" i="4"/>
  <c r="H64" i="4"/>
  <c r="H73" i="4"/>
  <c r="H38" i="4"/>
  <c r="H17" i="4"/>
  <c r="H29" i="4"/>
  <c r="H41" i="4"/>
  <c r="H53" i="4"/>
  <c r="H65" i="4"/>
  <c r="H77" i="4"/>
  <c r="H19" i="4"/>
  <c r="H43" i="4"/>
  <c r="H67" i="4"/>
  <c r="H32" i="4"/>
  <c r="H80" i="4"/>
  <c r="H18" i="4"/>
  <c r="H30" i="4"/>
  <c r="H42" i="4"/>
  <c r="H54" i="4"/>
  <c r="H66" i="4"/>
  <c r="H78" i="4"/>
  <c r="H31" i="4"/>
  <c r="H55" i="4"/>
  <c r="H79" i="4"/>
  <c r="H56" i="4"/>
  <c r="H61" i="4"/>
  <c r="H74" i="4"/>
  <c r="H37" i="4"/>
  <c r="H20" i="4"/>
  <c r="H44" i="4"/>
  <c r="H68" i="4"/>
  <c r="H21" i="4"/>
  <c r="H33" i="4"/>
  <c r="H45" i="4"/>
  <c r="H57" i="4"/>
  <c r="H69" i="4"/>
  <c r="H81" i="4"/>
  <c r="H22" i="4"/>
  <c r="H34" i="4"/>
  <c r="H46" i="4"/>
  <c r="H58" i="4"/>
  <c r="H70" i="4"/>
  <c r="H25" i="4"/>
  <c r="H14" i="4"/>
  <c r="H23" i="4"/>
  <c r="H35" i="4"/>
  <c r="H47" i="4"/>
  <c r="H59" i="4"/>
  <c r="H71" i="4"/>
  <c r="H24" i="4"/>
  <c r="H48" i="4"/>
  <c r="H72" i="4"/>
  <c r="H62" i="4"/>
  <c r="G19" i="4"/>
  <c r="J13" i="17" s="1"/>
  <c r="G27" i="4"/>
  <c r="J21" i="17" s="1"/>
  <c r="G35" i="4"/>
  <c r="J29" i="17" s="1"/>
  <c r="G43" i="4"/>
  <c r="J37" i="17" s="1"/>
  <c r="G51" i="4"/>
  <c r="J45" i="17" s="1"/>
  <c r="G59" i="4"/>
  <c r="J53" i="17" s="1"/>
  <c r="G67" i="4"/>
  <c r="J61" i="17" s="1"/>
  <c r="G75" i="4"/>
  <c r="J69" i="17" s="1"/>
  <c r="G50" i="4"/>
  <c r="J44" i="17" s="1"/>
  <c r="G20" i="4"/>
  <c r="J14" i="17" s="1"/>
  <c r="G28" i="4"/>
  <c r="J22" i="17" s="1"/>
  <c r="G36" i="4"/>
  <c r="J30" i="17" s="1"/>
  <c r="G44" i="4"/>
  <c r="J38" i="17" s="1"/>
  <c r="G52" i="4"/>
  <c r="J46" i="17" s="1"/>
  <c r="G60" i="4"/>
  <c r="J54" i="17" s="1"/>
  <c r="G68" i="4"/>
  <c r="J62" i="17" s="1"/>
  <c r="G76" i="4"/>
  <c r="J70" i="17" s="1"/>
  <c r="G26" i="4"/>
  <c r="J20" i="17" s="1"/>
  <c r="G21" i="4"/>
  <c r="J15" i="17" s="1"/>
  <c r="G29" i="4"/>
  <c r="J23" i="17" s="1"/>
  <c r="G37" i="4"/>
  <c r="J31" i="17" s="1"/>
  <c r="G45" i="4"/>
  <c r="J39" i="17" s="1"/>
  <c r="G53" i="4"/>
  <c r="J47" i="17" s="1"/>
  <c r="G61" i="4"/>
  <c r="J55" i="17" s="1"/>
  <c r="G69" i="4"/>
  <c r="J63" i="17" s="1"/>
  <c r="G77" i="4"/>
  <c r="J71" i="17" s="1"/>
  <c r="G58" i="4"/>
  <c r="J52" i="17" s="1"/>
  <c r="G22" i="4"/>
  <c r="J16" i="17" s="1"/>
  <c r="G30" i="4"/>
  <c r="J24" i="17" s="1"/>
  <c r="G38" i="4"/>
  <c r="J32" i="17" s="1"/>
  <c r="G46" i="4"/>
  <c r="J40" i="17" s="1"/>
  <c r="G54" i="4"/>
  <c r="J48" i="17" s="1"/>
  <c r="G62" i="4"/>
  <c r="J56" i="17" s="1"/>
  <c r="G70" i="4"/>
  <c r="J64" i="17" s="1"/>
  <c r="G78" i="4"/>
  <c r="J72" i="17" s="1"/>
  <c r="G66" i="4"/>
  <c r="J60" i="17" s="1"/>
  <c r="J9" i="17"/>
  <c r="G23" i="4"/>
  <c r="J17" i="17" s="1"/>
  <c r="G31" i="4"/>
  <c r="J25" i="17" s="1"/>
  <c r="G39" i="4"/>
  <c r="J33" i="17" s="1"/>
  <c r="G47" i="4"/>
  <c r="J41" i="17" s="1"/>
  <c r="G55" i="4"/>
  <c r="J49" i="17" s="1"/>
  <c r="G63" i="4"/>
  <c r="J57" i="17" s="1"/>
  <c r="G71" i="4"/>
  <c r="J65" i="17" s="1"/>
  <c r="G79" i="4"/>
  <c r="J73" i="17" s="1"/>
  <c r="G42" i="4"/>
  <c r="J36" i="17" s="1"/>
  <c r="G16" i="4"/>
  <c r="J10" i="17" s="1"/>
  <c r="G24" i="4"/>
  <c r="J18" i="17" s="1"/>
  <c r="G32" i="4"/>
  <c r="J26" i="17" s="1"/>
  <c r="G40" i="4"/>
  <c r="J34" i="17" s="1"/>
  <c r="G48" i="4"/>
  <c r="J42" i="17" s="1"/>
  <c r="G56" i="4"/>
  <c r="J50" i="17" s="1"/>
  <c r="G64" i="4"/>
  <c r="J58" i="17" s="1"/>
  <c r="G72" i="4"/>
  <c r="J66" i="17" s="1"/>
  <c r="G80" i="4"/>
  <c r="J74" i="17" s="1"/>
  <c r="G18" i="4"/>
  <c r="J12" i="17" s="1"/>
  <c r="G74" i="4"/>
  <c r="J68" i="17" s="1"/>
  <c r="G17" i="4"/>
  <c r="J11" i="17" s="1"/>
  <c r="G25" i="4"/>
  <c r="J19" i="17" s="1"/>
  <c r="G33" i="4"/>
  <c r="J27" i="17" s="1"/>
  <c r="G41" i="4"/>
  <c r="J35" i="17" s="1"/>
  <c r="G49" i="4"/>
  <c r="J43" i="17" s="1"/>
  <c r="G57" i="4"/>
  <c r="J51" i="17" s="1"/>
  <c r="G65" i="4"/>
  <c r="J59" i="17" s="1"/>
  <c r="G73" i="4"/>
  <c r="J67" i="17" s="1"/>
  <c r="G81" i="4"/>
  <c r="J75" i="17" s="1"/>
  <c r="G34" i="4"/>
  <c r="J28" i="17" s="1"/>
  <c r="T5" i="4"/>
  <c r="T7" i="4"/>
  <c r="T9" i="4"/>
  <c r="T11" i="4"/>
  <c r="T13" i="4"/>
  <c r="T15" i="4"/>
  <c r="T4" i="4"/>
  <c r="T6" i="4"/>
  <c r="T8" i="4"/>
  <c r="T10" i="4"/>
  <c r="T12" i="4"/>
  <c r="T14" i="4"/>
  <c r="T16" i="4"/>
  <c r="X4" i="4"/>
  <c r="X6" i="4"/>
  <c r="X8" i="4"/>
  <c r="X10" i="4"/>
  <c r="X12" i="4"/>
  <c r="X14" i="4"/>
  <c r="X16" i="4"/>
  <c r="S11" i="4"/>
  <c r="S15" i="4"/>
  <c r="S7" i="4"/>
  <c r="S4" i="4"/>
  <c r="S6" i="4"/>
  <c r="S8" i="4"/>
  <c r="S10" i="4"/>
  <c r="S12" i="4"/>
  <c r="S14" i="4"/>
  <c r="S16" i="4"/>
  <c r="X5" i="4"/>
  <c r="X7" i="4"/>
  <c r="X9" i="4"/>
  <c r="X11" i="4"/>
  <c r="X13" i="4"/>
  <c r="X15" i="4"/>
  <c r="S5" i="4"/>
  <c r="S9" i="4"/>
  <c r="S13" i="4"/>
  <c r="L8" i="4"/>
  <c r="K3" i="10"/>
  <c r="L3" i="10" s="1"/>
  <c r="U3" i="10" l="1"/>
  <c r="AA4" i="4"/>
  <c r="Z14" i="4"/>
  <c r="Z6" i="4"/>
  <c r="Z10" i="4"/>
  <c r="F22" i="4"/>
  <c r="M16" i="17" s="1"/>
  <c r="F34" i="4"/>
  <c r="M28" i="17" s="1"/>
  <c r="F46" i="4"/>
  <c r="M40" i="17" s="1"/>
  <c r="F70" i="4"/>
  <c r="M64" i="17" s="1"/>
  <c r="F47" i="4"/>
  <c r="M41" i="17" s="1"/>
  <c r="F72" i="4"/>
  <c r="M66" i="17" s="1"/>
  <c r="F24" i="4"/>
  <c r="M18" i="17" s="1"/>
  <c r="F25" i="4"/>
  <c r="M19" i="17" s="1"/>
  <c r="F37" i="4"/>
  <c r="M31" i="17" s="1"/>
  <c r="F49" i="4"/>
  <c r="M43" i="17" s="1"/>
  <c r="F61" i="4"/>
  <c r="M55" i="17" s="1"/>
  <c r="F73" i="4"/>
  <c r="M67" i="17" s="1"/>
  <c r="F38" i="4"/>
  <c r="M32" i="17" s="1"/>
  <c r="F50" i="4"/>
  <c r="M44" i="17" s="1"/>
  <c r="F62" i="4"/>
  <c r="M56" i="17" s="1"/>
  <c r="F74" i="4"/>
  <c r="M68" i="17" s="1"/>
  <c r="F23" i="4"/>
  <c r="M17" i="17" s="1"/>
  <c r="F71" i="4"/>
  <c r="M65" i="17" s="1"/>
  <c r="F36" i="4"/>
  <c r="M30" i="17" s="1"/>
  <c r="F26" i="4"/>
  <c r="M20" i="17" s="1"/>
  <c r="F35" i="4"/>
  <c r="M29" i="17" s="1"/>
  <c r="F15" i="4"/>
  <c r="M9" i="17" s="1"/>
  <c r="F27" i="4"/>
  <c r="M21" i="17" s="1"/>
  <c r="F39" i="4"/>
  <c r="M33" i="17" s="1"/>
  <c r="F51" i="4"/>
  <c r="M45" i="17" s="1"/>
  <c r="F63" i="4"/>
  <c r="M57" i="17" s="1"/>
  <c r="F75" i="4"/>
  <c r="M69" i="17" s="1"/>
  <c r="F29" i="4"/>
  <c r="M23" i="17" s="1"/>
  <c r="F53" i="4"/>
  <c r="M47" i="17" s="1"/>
  <c r="F16" i="4"/>
  <c r="M10" i="17" s="1"/>
  <c r="F28" i="4"/>
  <c r="M22" i="17" s="1"/>
  <c r="F40" i="4"/>
  <c r="M34" i="17" s="1"/>
  <c r="F52" i="4"/>
  <c r="M46" i="17" s="1"/>
  <c r="F64" i="4"/>
  <c r="M58" i="17" s="1"/>
  <c r="F76" i="4"/>
  <c r="M70" i="17" s="1"/>
  <c r="F17" i="4"/>
  <c r="M11" i="17" s="1"/>
  <c r="F41" i="4"/>
  <c r="M35" i="17" s="1"/>
  <c r="F65" i="4"/>
  <c r="M59" i="17" s="1"/>
  <c r="F78" i="4"/>
  <c r="M72" i="17" s="1"/>
  <c r="F14" i="4"/>
  <c r="M8" i="17" s="1"/>
  <c r="F77" i="4"/>
  <c r="M71" i="17" s="1"/>
  <c r="F59" i="4"/>
  <c r="M53" i="17" s="1"/>
  <c r="F60" i="4"/>
  <c r="M54" i="17" s="1"/>
  <c r="F18" i="4"/>
  <c r="M12" i="17" s="1"/>
  <c r="F30" i="4"/>
  <c r="M24" i="17" s="1"/>
  <c r="F42" i="4"/>
  <c r="M36" i="17" s="1"/>
  <c r="F54" i="4"/>
  <c r="M48" i="17" s="1"/>
  <c r="F66" i="4"/>
  <c r="M60" i="17" s="1"/>
  <c r="F19" i="4"/>
  <c r="M13" i="17" s="1"/>
  <c r="F31" i="4"/>
  <c r="M25" i="17" s="1"/>
  <c r="F43" i="4"/>
  <c r="M37" i="17" s="1"/>
  <c r="F55" i="4"/>
  <c r="M49" i="17" s="1"/>
  <c r="F67" i="4"/>
  <c r="M61" i="17" s="1"/>
  <c r="F79" i="4"/>
  <c r="M73" i="17" s="1"/>
  <c r="F20" i="4"/>
  <c r="M14" i="17" s="1"/>
  <c r="F32" i="4"/>
  <c r="M26" i="17" s="1"/>
  <c r="F44" i="4"/>
  <c r="M38" i="17" s="1"/>
  <c r="F56" i="4"/>
  <c r="M50" i="17" s="1"/>
  <c r="F68" i="4"/>
  <c r="M62" i="17" s="1"/>
  <c r="F80" i="4"/>
  <c r="M74" i="17" s="1"/>
  <c r="F48" i="4"/>
  <c r="M42" i="17" s="1"/>
  <c r="F21" i="4"/>
  <c r="M15" i="17" s="1"/>
  <c r="F33" i="4"/>
  <c r="M27" i="17" s="1"/>
  <c r="F45" i="4"/>
  <c r="M39" i="17" s="1"/>
  <c r="F57" i="4"/>
  <c r="M51" i="17" s="1"/>
  <c r="F69" i="4"/>
  <c r="M63" i="17" s="1"/>
  <c r="F81" i="4"/>
  <c r="M75" i="17" s="1"/>
  <c r="F58" i="4"/>
  <c r="M52" i="17" s="1"/>
  <c r="Y13" i="4"/>
  <c r="Y14" i="4"/>
  <c r="Y8" i="4"/>
  <c r="AA6" i="4"/>
  <c r="AA5" i="4"/>
  <c r="Y12" i="4"/>
  <c r="Y7" i="4"/>
  <c r="Y9" i="4"/>
  <c r="Y16" i="4"/>
  <c r="Y11" i="4"/>
  <c r="E15" i="4"/>
  <c r="G9" i="17" s="1"/>
  <c r="L9" i="17" s="1"/>
  <c r="E23" i="4"/>
  <c r="G17" i="17" s="1"/>
  <c r="L17" i="17" s="1"/>
  <c r="E31" i="4"/>
  <c r="G25" i="17" s="1"/>
  <c r="L25" i="17" s="1"/>
  <c r="E39" i="4"/>
  <c r="G33" i="17" s="1"/>
  <c r="L33" i="17" s="1"/>
  <c r="E47" i="4"/>
  <c r="G41" i="17" s="1"/>
  <c r="L41" i="17" s="1"/>
  <c r="E55" i="4"/>
  <c r="G49" i="17" s="1"/>
  <c r="L49" i="17" s="1"/>
  <c r="E63" i="4"/>
  <c r="G57" i="17" s="1"/>
  <c r="L57" i="17" s="1"/>
  <c r="E71" i="4"/>
  <c r="G65" i="17" s="1"/>
  <c r="L65" i="17" s="1"/>
  <c r="E79" i="4"/>
  <c r="G73" i="17" s="1"/>
  <c r="L73" i="17" s="1"/>
  <c r="E46" i="4"/>
  <c r="G40" i="17" s="1"/>
  <c r="L40" i="17" s="1"/>
  <c r="E16" i="4"/>
  <c r="G10" i="17" s="1"/>
  <c r="L10" i="17" s="1"/>
  <c r="E24" i="4"/>
  <c r="G18" i="17" s="1"/>
  <c r="L18" i="17" s="1"/>
  <c r="E32" i="4"/>
  <c r="G26" i="17" s="1"/>
  <c r="L26" i="17" s="1"/>
  <c r="E40" i="4"/>
  <c r="G34" i="17" s="1"/>
  <c r="L34" i="17" s="1"/>
  <c r="E48" i="4"/>
  <c r="G42" i="17" s="1"/>
  <c r="L42" i="17" s="1"/>
  <c r="E56" i="4"/>
  <c r="G50" i="17" s="1"/>
  <c r="L50" i="17" s="1"/>
  <c r="E64" i="4"/>
  <c r="G58" i="17" s="1"/>
  <c r="L58" i="17" s="1"/>
  <c r="E72" i="4"/>
  <c r="G66" i="17" s="1"/>
  <c r="L66" i="17" s="1"/>
  <c r="E80" i="4"/>
  <c r="G74" i="17" s="1"/>
  <c r="L74" i="17" s="1"/>
  <c r="E22" i="4"/>
  <c r="G16" i="17" s="1"/>
  <c r="L16" i="17" s="1"/>
  <c r="E17" i="4"/>
  <c r="G11" i="17" s="1"/>
  <c r="L11" i="17" s="1"/>
  <c r="E25" i="4"/>
  <c r="G19" i="17" s="1"/>
  <c r="L19" i="17" s="1"/>
  <c r="E33" i="4"/>
  <c r="G27" i="17" s="1"/>
  <c r="L27" i="17" s="1"/>
  <c r="E41" i="4"/>
  <c r="G35" i="17" s="1"/>
  <c r="L35" i="17" s="1"/>
  <c r="E49" i="4"/>
  <c r="G43" i="17" s="1"/>
  <c r="L43" i="17" s="1"/>
  <c r="E57" i="4"/>
  <c r="G51" i="17" s="1"/>
  <c r="L51" i="17" s="1"/>
  <c r="E65" i="4"/>
  <c r="G59" i="17" s="1"/>
  <c r="L59" i="17" s="1"/>
  <c r="E73" i="4"/>
  <c r="G67" i="17" s="1"/>
  <c r="L67" i="17" s="1"/>
  <c r="E81" i="4"/>
  <c r="G75" i="17" s="1"/>
  <c r="L75" i="17" s="1"/>
  <c r="E38" i="4"/>
  <c r="G32" i="17" s="1"/>
  <c r="L32" i="17" s="1"/>
  <c r="E70" i="4"/>
  <c r="G64" i="17" s="1"/>
  <c r="L64" i="17" s="1"/>
  <c r="E18" i="4"/>
  <c r="G12" i="17" s="1"/>
  <c r="L12" i="17" s="1"/>
  <c r="E26" i="4"/>
  <c r="G20" i="17" s="1"/>
  <c r="L20" i="17" s="1"/>
  <c r="E34" i="4"/>
  <c r="G28" i="17" s="1"/>
  <c r="L28" i="17" s="1"/>
  <c r="E42" i="4"/>
  <c r="G36" i="17" s="1"/>
  <c r="L36" i="17" s="1"/>
  <c r="E50" i="4"/>
  <c r="G44" i="17" s="1"/>
  <c r="L44" i="17" s="1"/>
  <c r="E58" i="4"/>
  <c r="G52" i="17" s="1"/>
  <c r="L52" i="17" s="1"/>
  <c r="E66" i="4"/>
  <c r="G60" i="17" s="1"/>
  <c r="L60" i="17" s="1"/>
  <c r="E74" i="4"/>
  <c r="G68" i="17" s="1"/>
  <c r="L68" i="17" s="1"/>
  <c r="E62" i="4"/>
  <c r="G56" i="17" s="1"/>
  <c r="L56" i="17" s="1"/>
  <c r="E19" i="4"/>
  <c r="G13" i="17" s="1"/>
  <c r="L13" i="17" s="1"/>
  <c r="E27" i="4"/>
  <c r="G21" i="17" s="1"/>
  <c r="L21" i="17" s="1"/>
  <c r="E35" i="4"/>
  <c r="G29" i="17" s="1"/>
  <c r="L29" i="17" s="1"/>
  <c r="E43" i="4"/>
  <c r="G37" i="17" s="1"/>
  <c r="L37" i="17" s="1"/>
  <c r="E51" i="4"/>
  <c r="G45" i="17" s="1"/>
  <c r="L45" i="17" s="1"/>
  <c r="E59" i="4"/>
  <c r="G53" i="17" s="1"/>
  <c r="L53" i="17" s="1"/>
  <c r="E67" i="4"/>
  <c r="G61" i="17" s="1"/>
  <c r="L61" i="17" s="1"/>
  <c r="E75" i="4"/>
  <c r="G69" i="17" s="1"/>
  <c r="L69" i="17" s="1"/>
  <c r="E30" i="4"/>
  <c r="G24" i="17" s="1"/>
  <c r="L24" i="17" s="1"/>
  <c r="E20" i="4"/>
  <c r="G14" i="17" s="1"/>
  <c r="L14" i="17" s="1"/>
  <c r="E28" i="4"/>
  <c r="G22" i="17" s="1"/>
  <c r="L22" i="17" s="1"/>
  <c r="E36" i="4"/>
  <c r="G30" i="17" s="1"/>
  <c r="L30" i="17" s="1"/>
  <c r="E44" i="4"/>
  <c r="G38" i="17" s="1"/>
  <c r="L38" i="17" s="1"/>
  <c r="E52" i="4"/>
  <c r="G46" i="17" s="1"/>
  <c r="L46" i="17" s="1"/>
  <c r="E60" i="4"/>
  <c r="G54" i="17" s="1"/>
  <c r="L54" i="17" s="1"/>
  <c r="E68" i="4"/>
  <c r="G62" i="17" s="1"/>
  <c r="L62" i="17" s="1"/>
  <c r="E76" i="4"/>
  <c r="G70" i="17" s="1"/>
  <c r="L70" i="17" s="1"/>
  <c r="E54" i="4"/>
  <c r="G48" i="17" s="1"/>
  <c r="L48" i="17" s="1"/>
  <c r="E21" i="4"/>
  <c r="G15" i="17" s="1"/>
  <c r="L15" i="17" s="1"/>
  <c r="E29" i="4"/>
  <c r="G23" i="17" s="1"/>
  <c r="L23" i="17" s="1"/>
  <c r="E37" i="4"/>
  <c r="G31" i="17" s="1"/>
  <c r="L31" i="17" s="1"/>
  <c r="E45" i="4"/>
  <c r="G39" i="17" s="1"/>
  <c r="L39" i="17" s="1"/>
  <c r="E53" i="4"/>
  <c r="G47" i="17" s="1"/>
  <c r="L47" i="17" s="1"/>
  <c r="E61" i="4"/>
  <c r="G55" i="17" s="1"/>
  <c r="L55" i="17" s="1"/>
  <c r="E69" i="4"/>
  <c r="G63" i="17" s="1"/>
  <c r="L63" i="17" s="1"/>
  <c r="E77" i="4"/>
  <c r="G71" i="17" s="1"/>
  <c r="L71" i="17" s="1"/>
  <c r="E78" i="4"/>
  <c r="G72" i="17" s="1"/>
  <c r="L72" i="17" s="1"/>
  <c r="Y10" i="4"/>
  <c r="B21" i="10" s="1"/>
  <c r="Z4" i="4"/>
  <c r="Z11" i="4"/>
  <c r="Y15" i="4"/>
  <c r="Z15" i="4"/>
  <c r="Y5" i="4"/>
  <c r="AA15" i="4"/>
  <c r="AA16" i="4"/>
  <c r="Z16" i="4"/>
  <c r="Z13" i="4"/>
  <c r="U5" i="4"/>
  <c r="U7" i="4"/>
  <c r="U9" i="4"/>
  <c r="U11" i="4"/>
  <c r="U13" i="4"/>
  <c r="U15" i="4"/>
  <c r="U4" i="4"/>
  <c r="U6" i="4"/>
  <c r="U8" i="4"/>
  <c r="U10" i="4"/>
  <c r="U12" i="4"/>
  <c r="U14" i="4"/>
  <c r="U16" i="4"/>
  <c r="AA12" i="4"/>
  <c r="Z12" i="4"/>
  <c r="Z9" i="4"/>
  <c r="AA13" i="4"/>
  <c r="AA14" i="4"/>
  <c r="AA11" i="4"/>
  <c r="AA9" i="4"/>
  <c r="Y6" i="4"/>
  <c r="AD6" i="17" s="1"/>
  <c r="AA10" i="4"/>
  <c r="Z7" i="4"/>
  <c r="AA7" i="4"/>
  <c r="Y4" i="4"/>
  <c r="AA8" i="4"/>
  <c r="Z8" i="4"/>
  <c r="Z5" i="4"/>
  <c r="O3" i="10"/>
  <c r="P3" i="10" s="1"/>
  <c r="R8" i="17" l="1" a="1"/>
  <c r="R8" i="17" s="1"/>
  <c r="I61" i="4"/>
  <c r="I75" i="4"/>
  <c r="I62" i="4"/>
  <c r="I49" i="4"/>
  <c r="I32" i="4"/>
  <c r="I47" i="4"/>
  <c r="J45" i="4"/>
  <c r="J32" i="4"/>
  <c r="J66" i="4"/>
  <c r="J14" i="4"/>
  <c r="J40" i="4"/>
  <c r="J39" i="4"/>
  <c r="J73" i="4"/>
  <c r="I78" i="4"/>
  <c r="I53" i="4"/>
  <c r="I21" i="4"/>
  <c r="I60" i="4"/>
  <c r="I28" i="4"/>
  <c r="I67" i="4"/>
  <c r="I35" i="4"/>
  <c r="I50" i="4"/>
  <c r="I18" i="4"/>
  <c r="I73" i="4"/>
  <c r="I41" i="4"/>
  <c r="I22" i="4"/>
  <c r="I56" i="4"/>
  <c r="I24" i="4"/>
  <c r="I71" i="4"/>
  <c r="I39" i="4"/>
  <c r="J81" i="4"/>
  <c r="J33" i="4"/>
  <c r="J68" i="4"/>
  <c r="J20" i="4"/>
  <c r="J43" i="4"/>
  <c r="J54" i="4"/>
  <c r="J60" i="4"/>
  <c r="J78" i="4"/>
  <c r="J76" i="4"/>
  <c r="J28" i="4"/>
  <c r="J75" i="4"/>
  <c r="J27" i="4"/>
  <c r="J36" i="4"/>
  <c r="J62" i="4"/>
  <c r="J61" i="4"/>
  <c r="J24" i="4"/>
  <c r="J46" i="4"/>
  <c r="I68" i="4"/>
  <c r="I43" i="4"/>
  <c r="I26" i="4"/>
  <c r="I17" i="4"/>
  <c r="I79" i="4"/>
  <c r="J58" i="4"/>
  <c r="J74" i="4"/>
  <c r="I77" i="4"/>
  <c r="I45" i="4"/>
  <c r="I54" i="4"/>
  <c r="I52" i="4"/>
  <c r="I20" i="4"/>
  <c r="I59" i="4"/>
  <c r="I27" i="4"/>
  <c r="I74" i="4"/>
  <c r="I42" i="4"/>
  <c r="I70" i="4"/>
  <c r="I65" i="4"/>
  <c r="I33" i="4"/>
  <c r="I80" i="4"/>
  <c r="I48" i="4"/>
  <c r="I16" i="4"/>
  <c r="I63" i="4"/>
  <c r="I31" i="4"/>
  <c r="J69" i="4"/>
  <c r="J21" i="4"/>
  <c r="J56" i="4"/>
  <c r="J79" i="4"/>
  <c r="J31" i="4"/>
  <c r="J42" i="4"/>
  <c r="J59" i="4"/>
  <c r="J65" i="4"/>
  <c r="J64" i="4"/>
  <c r="J16" i="4"/>
  <c r="J63" i="4"/>
  <c r="J15" i="4"/>
  <c r="J71" i="4"/>
  <c r="J50" i="4"/>
  <c r="J49" i="4"/>
  <c r="J72" i="4"/>
  <c r="J34" i="4"/>
  <c r="I29" i="4"/>
  <c r="I36" i="4"/>
  <c r="I58" i="4"/>
  <c r="I81" i="4"/>
  <c r="I64" i="4"/>
  <c r="I15" i="4"/>
  <c r="J80" i="4"/>
  <c r="J55" i="4"/>
  <c r="J18" i="4"/>
  <c r="J17" i="4"/>
  <c r="J29" i="4"/>
  <c r="J26" i="4"/>
  <c r="J25" i="4"/>
  <c r="J70" i="4"/>
  <c r="I69" i="4"/>
  <c r="I37" i="4"/>
  <c r="I76" i="4"/>
  <c r="I44" i="4"/>
  <c r="I30" i="4"/>
  <c r="I51" i="4"/>
  <c r="I19" i="4"/>
  <c r="I66" i="4"/>
  <c r="I34" i="4"/>
  <c r="I38" i="4"/>
  <c r="I57" i="4"/>
  <c r="I25" i="4"/>
  <c r="I72" i="4"/>
  <c r="I40" i="4"/>
  <c r="I46" i="4"/>
  <c r="I55" i="4"/>
  <c r="I23" i="4"/>
  <c r="J57" i="4"/>
  <c r="J48" i="4"/>
  <c r="J44" i="4"/>
  <c r="J67" i="4"/>
  <c r="J19" i="4"/>
  <c r="J30" i="4"/>
  <c r="J77" i="4"/>
  <c r="J41" i="4"/>
  <c r="J52" i="4"/>
  <c r="J53" i="4"/>
  <c r="J51" i="4"/>
  <c r="J35" i="4"/>
  <c r="J23" i="4"/>
  <c r="J38" i="4"/>
  <c r="J37" i="4"/>
  <c r="J47" i="4"/>
  <c r="J22" i="4"/>
  <c r="W8" i="4"/>
  <c r="W14" i="4"/>
  <c r="W10" i="4"/>
  <c r="W5" i="4"/>
  <c r="W7" i="4"/>
  <c r="W9" i="4"/>
  <c r="W11" i="4"/>
  <c r="W13" i="4"/>
  <c r="W15" i="4"/>
  <c r="W6" i="4"/>
  <c r="W16" i="4"/>
  <c r="W12" i="4"/>
  <c r="W4" i="4"/>
  <c r="E11" i="1"/>
  <c r="E28" i="1"/>
  <c r="E10" i="1"/>
  <c r="S8" i="17" l="1"/>
  <c r="F6" i="10" a="1"/>
  <c r="F6" i="10" s="1"/>
  <c r="H6" i="10" s="1"/>
  <c r="R7" i="17" a="1"/>
  <c r="R7" i="17" s="1"/>
  <c r="S7" i="17" s="1"/>
  <c r="F7" i="10" a="1"/>
  <c r="F7" i="10" s="1"/>
  <c r="L20" i="1"/>
  <c r="H7" i="10" l="1"/>
  <c r="F9" i="10" s="1"/>
  <c r="M7" i="10" s="1"/>
  <c r="N7" i="10" s="1"/>
  <c r="R11" i="17"/>
  <c r="S15" i="17" s="1"/>
  <c r="I10" i="1"/>
  <c r="L10" i="1" s="1"/>
  <c r="I11" i="1"/>
  <c r="L11" i="1" s="1"/>
  <c r="E32" i="1"/>
  <c r="E29" i="1"/>
  <c r="E27" i="1" s="1"/>
  <c r="E30" i="1" s="1"/>
  <c r="E14" i="1"/>
  <c r="B14" i="1"/>
  <c r="I19" i="1" l="1"/>
  <c r="L26" i="1"/>
  <c r="L9" i="1"/>
  <c r="L12" i="1" s="1"/>
  <c r="P7" i="10"/>
  <c r="U15" i="17"/>
  <c r="V15" i="17" s="1"/>
  <c r="M8" i="10"/>
  <c r="N8" i="10" s="1"/>
  <c r="S16" i="17"/>
  <c r="U16" i="17" s="1"/>
  <c r="I14" i="1"/>
  <c r="I26" i="1" s="1"/>
  <c r="B31" i="1"/>
  <c r="E9" i="1"/>
  <c r="E12" i="1" l="1"/>
  <c r="B13" i="1"/>
  <c r="B34" i="1"/>
  <c r="A38" i="1" s="1"/>
  <c r="B38" i="1" s="1"/>
  <c r="I20" i="1"/>
  <c r="P8" i="10"/>
  <c r="S17" i="17"/>
  <c r="V16" i="17"/>
  <c r="M9" i="10"/>
  <c r="N9" i="10" s="1"/>
  <c r="L27" i="1"/>
  <c r="L28" i="1" s="1"/>
  <c r="L22" i="1"/>
  <c r="L23" i="1" s="1"/>
  <c r="L24" i="1" s="1"/>
  <c r="I27" i="1"/>
  <c r="I28" i="1" s="1"/>
  <c r="I13" i="1"/>
  <c r="I16" i="1" s="1"/>
  <c r="H23" i="1" s="1"/>
  <c r="I23" i="1" s="1"/>
  <c r="J26" i="1" l="1"/>
  <c r="B16" i="1"/>
  <c r="A20" i="1" s="1"/>
  <c r="B20" i="1" s="1"/>
  <c r="J27" i="1"/>
  <c r="S18" i="17"/>
  <c r="U17" i="17"/>
  <c r="V17" i="17" s="1"/>
  <c r="P9" i="10"/>
  <c r="M10" i="10"/>
  <c r="N10" i="10" s="1"/>
  <c r="J28" i="1" l="1"/>
  <c r="S19" i="17"/>
  <c r="U18" i="17"/>
  <c r="V18" i="17" s="1"/>
  <c r="M11" i="10"/>
  <c r="N11" i="10" s="1"/>
  <c r="P10" i="10"/>
  <c r="S20" i="17" l="1"/>
  <c r="U19" i="17"/>
  <c r="V19" i="17" s="1"/>
  <c r="P11" i="10"/>
  <c r="M12" i="10"/>
  <c r="N12" i="10" s="1"/>
  <c r="S21" i="17" l="1"/>
  <c r="U20" i="17"/>
  <c r="V20" i="17" s="1"/>
  <c r="M13" i="10"/>
  <c r="N13" i="10" s="1"/>
  <c r="P12" i="10"/>
  <c r="S22" i="17" l="1"/>
  <c r="U21" i="17"/>
  <c r="V21" i="17" s="1"/>
  <c r="M14" i="10"/>
  <c r="N14" i="10" s="1"/>
  <c r="P13" i="10"/>
  <c r="S23" i="17" l="1"/>
  <c r="U22" i="17"/>
  <c r="V22" i="17" s="1"/>
  <c r="M15" i="10"/>
  <c r="N15" i="10" s="1"/>
  <c r="P14" i="10"/>
  <c r="S24" i="17" l="1"/>
  <c r="U23" i="17"/>
  <c r="V23" i="17" s="1"/>
  <c r="M16" i="10"/>
  <c r="N16" i="10" s="1"/>
  <c r="P15" i="10"/>
  <c r="S25" i="17" l="1"/>
  <c r="U24" i="17"/>
  <c r="V24" i="17" s="1"/>
  <c r="M17" i="10"/>
  <c r="N17" i="10" s="1"/>
  <c r="P16" i="10"/>
  <c r="S26" i="17" l="1"/>
  <c r="U25" i="17"/>
  <c r="V25" i="17" s="1"/>
  <c r="M18" i="10"/>
  <c r="N18" i="10" s="1"/>
  <c r="P17" i="10"/>
  <c r="S27" i="17" l="1"/>
  <c r="U26" i="17"/>
  <c r="V26" i="17" s="1"/>
  <c r="M19" i="10"/>
  <c r="N19" i="10" s="1"/>
  <c r="P18" i="10"/>
  <c r="S28" i="17" l="1"/>
  <c r="U27" i="17"/>
  <c r="V27" i="17" s="1"/>
  <c r="M20" i="10"/>
  <c r="N20" i="10" s="1"/>
  <c r="P19" i="10"/>
  <c r="S29" i="17" l="1"/>
  <c r="U28" i="17"/>
  <c r="V28" i="17" s="1"/>
  <c r="M21" i="10"/>
  <c r="N21" i="10" s="1"/>
  <c r="P20" i="10"/>
  <c r="S30" i="17" l="1"/>
  <c r="U30" i="17" s="1"/>
  <c r="V30" i="17" s="1"/>
  <c r="U29" i="17"/>
  <c r="V29" i="17" s="1"/>
  <c r="M22" i="10"/>
  <c r="P21" i="10"/>
  <c r="W15" i="17" l="1"/>
  <c r="X15" i="17" s="1"/>
  <c r="N22" i="10"/>
  <c r="P22" i="10" s="1"/>
  <c r="Q7" i="10" l="1"/>
  <c r="R7" i="10" s="1"/>
</calcChain>
</file>

<file path=xl/sharedStrings.xml><?xml version="1.0" encoding="utf-8"?>
<sst xmlns="http://schemas.openxmlformats.org/spreadsheetml/2006/main" count="751" uniqueCount="249">
  <si>
    <t>O2</t>
  </si>
  <si>
    <t>N2</t>
  </si>
  <si>
    <t xml:space="preserve">HC Fuel Balance </t>
  </si>
  <si>
    <t>Where…</t>
  </si>
  <si>
    <t>Carbon (x)</t>
  </si>
  <si>
    <t>Hydrogen (y)</t>
  </si>
  <si>
    <t>Molecular Weight</t>
  </si>
  <si>
    <t>Air</t>
  </si>
  <si>
    <t>Carbon</t>
  </si>
  <si>
    <t>Hydrogen</t>
  </si>
  <si>
    <t>Oxygen</t>
  </si>
  <si>
    <t>Nitrogen</t>
  </si>
  <si>
    <t>Methanol</t>
  </si>
  <si>
    <t>x</t>
  </si>
  <si>
    <t>x = (2n1+n2)/2</t>
  </si>
  <si>
    <t>Molecules</t>
  </si>
  <si>
    <t>CO2 (n1)</t>
  </si>
  <si>
    <t>H20 (n2)</t>
  </si>
  <si>
    <t>N2 (n3)</t>
  </si>
  <si>
    <t>kg/kmol</t>
  </si>
  <si>
    <t xml:space="preserve">Atmospheric Composition </t>
  </si>
  <si>
    <t xml:space="preserve">Ratio </t>
  </si>
  <si>
    <t xml:space="preserve">Stoichiometric Air/Fuel Ratio </t>
  </si>
  <si>
    <t xml:space="preserve">Kg </t>
  </si>
  <si>
    <t>Kg</t>
  </si>
  <si>
    <t>Iso-octane</t>
  </si>
  <si>
    <t>Oxygen (z)</t>
  </si>
  <si>
    <t>x = (2n1+n2-O)/2</t>
  </si>
  <si>
    <t>Iso-Octane &amp; Methanol  Blend</t>
  </si>
  <si>
    <t>Enthalpy of formation</t>
  </si>
  <si>
    <t>kJ/mol</t>
  </si>
  <si>
    <t>h</t>
  </si>
  <si>
    <t>MJ</t>
  </si>
  <si>
    <t>MJ/Kg</t>
  </si>
  <si>
    <t>Net Enthalpy</t>
  </si>
  <si>
    <t>LHV</t>
  </si>
  <si>
    <t>Calorific Value</t>
  </si>
  <si>
    <t>HHV</t>
  </si>
  <si>
    <t>kg</t>
  </si>
  <si>
    <t xml:space="preserve">Nomenclature </t>
  </si>
  <si>
    <t xml:space="preserve">Enthalpy released from reaction </t>
  </si>
  <si>
    <t>Properties of Fuels</t>
  </si>
  <si>
    <t>Formula</t>
  </si>
  <si>
    <t>M</t>
  </si>
  <si>
    <t>Cpg^a</t>
  </si>
  <si>
    <t>hfg^b</t>
  </si>
  <si>
    <t>delta h^0</t>
  </si>
  <si>
    <t>Fuel</t>
  </si>
  <si>
    <t>(kg/kmol)</t>
  </si>
  <si>
    <t>Tb (degC)</t>
  </si>
  <si>
    <t>(kJ/kg-K)</t>
  </si>
  <si>
    <t>Tig (degC)</t>
  </si>
  <si>
    <t>(MJ/kg)</t>
  </si>
  <si>
    <t>(kJ/kg)</t>
  </si>
  <si>
    <t>AFRs</t>
  </si>
  <si>
    <t>Tf (K)c</t>
  </si>
  <si>
    <t>(kJ/mol)</t>
  </si>
  <si>
    <t>RONd</t>
  </si>
  <si>
    <t>MONe</t>
  </si>
  <si>
    <t>CH4</t>
  </si>
  <si>
    <t>Methane</t>
  </si>
  <si>
    <t>C2H2</t>
  </si>
  <si>
    <t>Acetylene</t>
  </si>
  <si>
    <t>-</t>
  </si>
  <si>
    <t>C2H4</t>
  </si>
  <si>
    <t>Ethylene</t>
  </si>
  <si>
    <t>C2H6</t>
  </si>
  <si>
    <t>Ethane</t>
  </si>
  <si>
    <t>C3H8</t>
  </si>
  <si>
    <t>Propane</t>
  </si>
  <si>
    <t>C4H10</t>
  </si>
  <si>
    <t>n-Butane</t>
  </si>
  <si>
    <t>iso-Butane</t>
  </si>
  <si>
    <t>C5H12</t>
  </si>
  <si>
    <t>n-Pentane</t>
  </si>
  <si>
    <t>iso-Pentane</t>
  </si>
  <si>
    <t>C6H14</t>
  </si>
  <si>
    <t>n-Hexane</t>
  </si>
  <si>
    <t>iso-Hexane</t>
  </si>
  <si>
    <t>C7H16</t>
  </si>
  <si>
    <t>n-Heptane</t>
  </si>
  <si>
    <t>C8H18</t>
  </si>
  <si>
    <t>n-Octane</t>
  </si>
  <si>
    <t>C9H20</t>
  </si>
  <si>
    <t>n-Nonane</t>
  </si>
  <si>
    <t>C10H22</t>
  </si>
  <si>
    <t>n-Decane</t>
  </si>
  <si>
    <t>iso-Decane</t>
  </si>
  <si>
    <t>C12H26</t>
  </si>
  <si>
    <t>n-Dodecane</t>
  </si>
  <si>
    <t>CH4O</t>
  </si>
  <si>
    <t>C2H6O</t>
  </si>
  <si>
    <t>Ethanol</t>
  </si>
  <si>
    <t>H2</t>
  </si>
  <si>
    <t>a Gas phase specific heat evaluated at 25 Deg C</t>
  </si>
  <si>
    <t>b Heat of vaporization at 1 atm</t>
  </si>
  <si>
    <t>c Estimated equilibrium flame temperature</t>
  </si>
  <si>
    <t>d Research octane number</t>
  </si>
  <si>
    <t>e Motoring octane number</t>
  </si>
  <si>
    <t>Ratio of</t>
  </si>
  <si>
    <t>Thermal</t>
  </si>
  <si>
    <t>Kinematic</t>
  </si>
  <si>
    <t>Specific</t>
  </si>
  <si>
    <t>specific</t>
  </si>
  <si>
    <t>Viscosity,</t>
  </si>
  <si>
    <t>conductivity,</t>
  </si>
  <si>
    <t>Prandtl</t>
  </si>
  <si>
    <t>viscosity,</t>
  </si>
  <si>
    <t>Density</t>
  </si>
  <si>
    <t>Temp</t>
  </si>
  <si>
    <t>heat cp</t>
  </si>
  <si>
    <t>heat cv</t>
  </si>
  <si>
    <t>heats g,</t>
  </si>
  <si>
    <t>m 105</t>
  </si>
  <si>
    <t>k 105</t>
  </si>
  <si>
    <t>number</t>
  </si>
  <si>
    <t>n 105</t>
  </si>
  <si>
    <t>r</t>
  </si>
  <si>
    <t>(K)</t>
  </si>
  <si>
    <t>(cp/cv)</t>
  </si>
  <si>
    <t>(kg/m-s)</t>
  </si>
  <si>
    <t>(kW/m-K)</t>
  </si>
  <si>
    <t>n/a</t>
  </si>
  <si>
    <t>(m2/s)</t>
  </si>
  <si>
    <t>(kg/m3)</t>
  </si>
  <si>
    <t>Properties of Air at 1bar Atmosphere</t>
  </si>
  <si>
    <t xml:space="preserve">pressure (1 atm) </t>
  </si>
  <si>
    <t>CO2</t>
  </si>
  <si>
    <t>T (K)</t>
  </si>
  <si>
    <t>cp (kJ/kmol-K)</t>
  </si>
  <si>
    <t>h0 (MJ/kmol)</t>
  </si>
  <si>
    <t>s (kJ/kmol-K)</t>
  </si>
  <si>
    <t>g0</t>
  </si>
  <si>
    <t>H2O</t>
  </si>
  <si>
    <t>g</t>
  </si>
  <si>
    <t>Mass Percentages</t>
  </si>
  <si>
    <t>Iso-Octane</t>
  </si>
  <si>
    <t>Fuel Ratio</t>
  </si>
  <si>
    <t xml:space="preserve">Equivalence Ratio </t>
  </si>
  <si>
    <t>NO𝑥 Model</t>
  </si>
  <si>
    <t xml:space="preserve">Fuel </t>
  </si>
  <si>
    <t>ɸ</t>
  </si>
  <si>
    <t>𝜆</t>
  </si>
  <si>
    <t>Equivalence Ratio</t>
  </si>
  <si>
    <t>CO₂ (n1)</t>
  </si>
  <si>
    <t>N₂ (n3)</t>
  </si>
  <si>
    <t>H₂O (n2)</t>
  </si>
  <si>
    <t>CO₂</t>
  </si>
  <si>
    <t>H₂O</t>
  </si>
  <si>
    <t>O</t>
  </si>
  <si>
    <t>N</t>
  </si>
  <si>
    <t>KJ/Mol</t>
  </si>
  <si>
    <r>
      <t>The standard </t>
    </r>
    <r>
      <rPr>
        <b/>
        <sz val="9"/>
        <rFont val="Calibri"/>
        <family val="2"/>
        <scheme val="minor"/>
      </rPr>
      <t>enthalpy of formation</t>
    </r>
    <r>
      <rPr>
        <sz val="9"/>
        <rFont val="Calibri"/>
        <family val="2"/>
        <scheme val="minor"/>
      </rPr>
      <t> is zero for elements in their standard states.</t>
    </r>
  </si>
  <si>
    <t>ℎ (MJ/Mol)</t>
  </si>
  <si>
    <t>NET Enthalpy</t>
  </si>
  <si>
    <t>CO</t>
  </si>
  <si>
    <t>H₂0 (n2)</t>
  </si>
  <si>
    <t>O₂ (n3)</t>
  </si>
  <si>
    <t>N₂ (n4)</t>
  </si>
  <si>
    <t>NET Enthalpy (MJ)</t>
  </si>
  <si>
    <t>Atmosphere</t>
  </si>
  <si>
    <t>RPM</t>
  </si>
  <si>
    <t>Fuel Enthalpy (MJ)</t>
  </si>
  <si>
    <t>Reaction Enthalpy (MJ)</t>
  </si>
  <si>
    <t xml:space="preserve">Moles Number </t>
  </si>
  <si>
    <t>P</t>
  </si>
  <si>
    <t>V</t>
  </si>
  <si>
    <t>R</t>
  </si>
  <si>
    <t>T</t>
  </si>
  <si>
    <t>Alpha</t>
  </si>
  <si>
    <t xml:space="preserve">O₂ (n3) </t>
  </si>
  <si>
    <t>Oxygen Concentration</t>
  </si>
  <si>
    <t xml:space="preserve">Nitrogen Concentration </t>
  </si>
  <si>
    <t>Clearance Volume</t>
  </si>
  <si>
    <t>Total Exhaust kmols</t>
  </si>
  <si>
    <t>H20</t>
  </si>
  <si>
    <t>C02</t>
  </si>
  <si>
    <t>h0 (MJ/kmol) (Enthalpy of Formation)</t>
  </si>
  <si>
    <r>
      <t>y = (6.6506859177*(10^-19)*(x^</t>
    </r>
    <r>
      <rPr>
        <vertAlign val="superscript"/>
        <sz val="9"/>
        <rFont val="Calibri"/>
        <family val="2"/>
        <scheme val="minor"/>
      </rPr>
      <t>6))</t>
    </r>
    <r>
      <rPr>
        <sz val="9"/>
        <rFont val="Calibri"/>
        <family val="2"/>
        <scheme val="minor"/>
      </rPr>
      <t xml:space="preserve"> -(7.8984343104*(10^-15)*(x^</t>
    </r>
    <r>
      <rPr>
        <vertAlign val="superscript"/>
        <sz val="9"/>
        <rFont val="Calibri"/>
        <family val="2"/>
        <scheme val="minor"/>
      </rPr>
      <t>5))</t>
    </r>
    <r>
      <rPr>
        <sz val="9"/>
        <rFont val="Calibri"/>
        <family val="2"/>
        <scheme val="minor"/>
      </rPr>
      <t>+(3.6879849877*(10^-11)*(x^</t>
    </r>
    <r>
      <rPr>
        <vertAlign val="superscript"/>
        <sz val="9"/>
        <rFont val="Calibri"/>
        <family val="2"/>
        <scheme val="minor"/>
      </rPr>
      <t>4))</t>
    </r>
    <r>
      <rPr>
        <sz val="9"/>
        <rFont val="Calibri"/>
        <family val="2"/>
        <scheme val="minor"/>
      </rPr>
      <t>-(8.6386228559*(10^-08)*(x^</t>
    </r>
    <r>
      <rPr>
        <vertAlign val="superscript"/>
        <sz val="9"/>
        <rFont val="Calibri"/>
        <family val="2"/>
        <scheme val="minor"/>
      </rPr>
      <t>3))</t>
    </r>
    <r>
      <rPr>
        <sz val="9"/>
        <rFont val="Calibri"/>
        <family val="2"/>
        <scheme val="minor"/>
      </rPr>
      <t>+(1.1074017861*(10^-04)*(x^</t>
    </r>
    <r>
      <rPr>
        <vertAlign val="superscript"/>
        <sz val="9"/>
        <rFont val="Calibri"/>
        <family val="2"/>
        <scheme val="minor"/>
      </rPr>
      <t>2))</t>
    </r>
    <r>
      <rPr>
        <sz val="9"/>
        <rFont val="Calibri"/>
        <family val="2"/>
        <scheme val="minor"/>
      </rPr>
      <t>-(3.1241611608*(10^-02)*(x))+(3.3006694533)</t>
    </r>
  </si>
  <si>
    <t>Temperature</t>
  </si>
  <si>
    <t>Total Enthalpy</t>
  </si>
  <si>
    <t>Reaction Enthalpy ℎ (MJ/Mol)</t>
  </si>
  <si>
    <t xml:space="preserve">CO₂ IF </t>
  </si>
  <si>
    <t>H₂O IF</t>
  </si>
  <si>
    <t>IF Reaction Enthalpy ℎ (MJ/Mol)</t>
  </si>
  <si>
    <t>IF NET Enthalpy (MJ)</t>
  </si>
  <si>
    <t>For Ideal Gas Law</t>
  </si>
  <si>
    <r>
      <t>y = (5.9376621671*(10^-19)*(x^</t>
    </r>
    <r>
      <rPr>
        <vertAlign val="superscript"/>
        <sz val="9"/>
        <rFont val="Calibri"/>
        <family val="2"/>
        <scheme val="minor"/>
      </rPr>
      <t>6))</t>
    </r>
    <r>
      <rPr>
        <sz val="9"/>
        <rFont val="Calibri"/>
        <family val="2"/>
        <scheme val="minor"/>
      </rPr>
      <t>-(7.1020711589*(10^-15)*(x^</t>
    </r>
    <r>
      <rPr>
        <vertAlign val="superscript"/>
        <sz val="9"/>
        <rFont val="Calibri"/>
        <family val="2"/>
        <scheme val="minor"/>
      </rPr>
      <t>5))</t>
    </r>
    <r>
      <rPr>
        <sz val="9"/>
        <rFont val="Calibri"/>
        <family val="2"/>
        <scheme val="minor"/>
      </rPr>
      <t>+)3.3460896805*(10^-11)*(x^</t>
    </r>
    <r>
      <rPr>
        <vertAlign val="superscript"/>
        <sz val="9"/>
        <rFont val="Calibri"/>
        <family val="2"/>
        <scheme val="minor"/>
      </rPr>
      <t>4)</t>
    </r>
    <r>
      <rPr>
        <sz val="9"/>
        <rFont val="Calibri"/>
        <family val="2"/>
        <scheme val="minor"/>
      </rPr>
      <t>-(7.8909601634*(10^-08)*(x^</t>
    </r>
    <r>
      <rPr>
        <vertAlign val="superscript"/>
        <sz val="9"/>
        <rFont val="Calibri"/>
        <family val="2"/>
        <scheme val="minor"/>
      </rPr>
      <t>3))</t>
    </r>
    <r>
      <rPr>
        <sz val="9"/>
        <rFont val="Calibri"/>
        <family val="2"/>
        <scheme val="minor"/>
      </rPr>
      <t>+(9.8599769212*(10^-5)*(x^</t>
    </r>
    <r>
      <rPr>
        <vertAlign val="superscript"/>
        <sz val="9"/>
        <rFont val="Calibri"/>
        <family val="2"/>
        <scheme val="minor"/>
      </rPr>
      <t>2))</t>
    </r>
    <r>
      <rPr>
        <sz val="9"/>
        <rFont val="Calibri"/>
        <family val="2"/>
        <scheme val="minor"/>
      </rPr>
      <t>-(2.8172899156*(10^-02)*(x))+(3.0537890800)</t>
    </r>
  </si>
  <si>
    <r>
      <t>y = (8.5770134353*(10^-19)*(x^</t>
    </r>
    <r>
      <rPr>
        <vertAlign val="superscript"/>
        <sz val="9"/>
        <rFont val="Calibri"/>
        <family val="2"/>
        <scheme val="minor"/>
      </rPr>
      <t>6))</t>
    </r>
    <r>
      <rPr>
        <sz val="9"/>
        <rFont val="Calibri"/>
        <family val="2"/>
        <scheme val="minor"/>
      </rPr>
      <t>-(1.0374875556*(10^-14)(x^</t>
    </r>
    <r>
      <rPr>
        <vertAlign val="superscript"/>
        <sz val="9"/>
        <rFont val="Calibri"/>
        <family val="2"/>
        <scheme val="minor"/>
      </rPr>
      <t>5))</t>
    </r>
    <r>
      <rPr>
        <sz val="9"/>
        <rFont val="Calibri"/>
        <family val="2"/>
        <scheme val="minor"/>
      </rPr>
      <t>+(4.9689475953*(10^-11)*(x^</t>
    </r>
    <r>
      <rPr>
        <vertAlign val="superscript"/>
        <sz val="9"/>
        <rFont val="Calibri"/>
        <family val="2"/>
        <scheme val="minor"/>
      </rPr>
      <t>4))</t>
    </r>
    <r>
      <rPr>
        <sz val="9"/>
        <rFont val="Calibri"/>
        <family val="2"/>
        <scheme val="minor"/>
      </rPr>
      <t>-(1.2019118054*(10^-07)*(x^</t>
    </r>
    <r>
      <rPr>
        <vertAlign val="superscript"/>
        <sz val="9"/>
        <rFont val="Calibri"/>
        <family val="2"/>
        <scheme val="minor"/>
      </rPr>
      <t>3))</t>
    </r>
    <r>
      <rPr>
        <sz val="9"/>
        <rFont val="Calibri"/>
        <family val="2"/>
        <scheme val="minor"/>
      </rPr>
      <t>+(1.5650954893*(10^-04)*(x^</t>
    </r>
    <r>
      <rPr>
        <vertAlign val="superscript"/>
        <sz val="9"/>
        <rFont val="Calibri"/>
        <family val="2"/>
        <scheme val="minor"/>
      </rPr>
      <t>2))</t>
    </r>
    <r>
      <rPr>
        <sz val="9"/>
        <rFont val="Calibri"/>
        <family val="2"/>
        <scheme val="minor"/>
      </rPr>
      <t>-(4.8239362033*(10^-02)*(x))+(5.2084519626)</t>
    </r>
  </si>
  <si>
    <t>y = (6.4958291549*(10^-19)*(x^6))-(7.8224528491*(10^-15)*(x^5))+(3.7120417697*(10^-11)*(x^4))-(8.7983176170*(10^-08)*(x^3))+(1.0982327235*(10^-04)*(x^2))-(3.2606444641*(10^-02)*(x))+(3.5786489003)</t>
  </si>
  <si>
    <t>Atmospheric Composition Ratio</t>
  </si>
  <si>
    <t>Enthalpy</t>
  </si>
  <si>
    <t>Enthalpys</t>
  </si>
  <si>
    <t>K</t>
  </si>
  <si>
    <t>Above</t>
  </si>
  <si>
    <t>Below</t>
  </si>
  <si>
    <t>Temperature (K)</t>
  </si>
  <si>
    <t>Initial Flame Temperature (K)</t>
  </si>
  <si>
    <t xml:space="preserve">Pressure </t>
  </si>
  <si>
    <t>S.O.C</t>
  </si>
  <si>
    <t>E.O.C</t>
  </si>
  <si>
    <t>Bar</t>
  </si>
  <si>
    <t>Volumetric Efficiency</t>
  </si>
  <si>
    <t>Clearance volume</t>
  </si>
  <si>
    <t>Assumptions/Constants</t>
  </si>
  <si>
    <t>NOx PPM</t>
  </si>
  <si>
    <t>Kmols/°</t>
  </si>
  <si>
    <t>Kmols/m³/°</t>
  </si>
  <si>
    <t>Kmols/Cycle</t>
  </si>
  <si>
    <t xml:space="preserve">NOx </t>
  </si>
  <si>
    <t xml:space="preserve">Propane </t>
  </si>
  <si>
    <t xml:space="preserve">Methanol </t>
  </si>
  <si>
    <t xml:space="preserve">Ethanol </t>
  </si>
  <si>
    <t>Hyrdrogen</t>
  </si>
  <si>
    <t>EGR %</t>
  </si>
  <si>
    <t>CO₂ IF</t>
  </si>
  <si>
    <t>NO𝑥 Model with EGR</t>
  </si>
  <si>
    <t xml:space="preserve">       </t>
  </si>
  <si>
    <t>5% EGR</t>
  </si>
  <si>
    <t>EGR</t>
  </si>
  <si>
    <t>10 % EGR</t>
  </si>
  <si>
    <t>15% EGR</t>
  </si>
  <si>
    <t>20% EGR</t>
  </si>
  <si>
    <t>25% EGR</t>
  </si>
  <si>
    <t>30% EGR</t>
  </si>
  <si>
    <t>35% EGR</t>
  </si>
  <si>
    <t>40% EGR</t>
  </si>
  <si>
    <t>45% EGR</t>
  </si>
  <si>
    <t>50% EGR</t>
  </si>
  <si>
    <t>Stoichemetric</t>
  </si>
  <si>
    <t>Total</t>
  </si>
  <si>
    <t>Air Mass</t>
  </si>
  <si>
    <t>Fuel Mass</t>
  </si>
  <si>
    <r>
      <t>CO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per 1kg of fuel</t>
    </r>
  </si>
  <si>
    <r>
      <t>mass of CO</t>
    </r>
    <r>
      <rPr>
        <sz val="8"/>
        <color theme="1"/>
        <rFont val="Calibri"/>
        <family val="2"/>
        <scheme val="minor"/>
      </rPr>
      <t>2</t>
    </r>
  </si>
  <si>
    <t xml:space="preserve"> </t>
  </si>
  <si>
    <t xml:space="preserve">Iso-Octane </t>
  </si>
  <si>
    <t>Pressure (Bar)</t>
  </si>
  <si>
    <t xml:space="preserve">    </t>
  </si>
  <si>
    <t>S.O.C (K)</t>
  </si>
  <si>
    <t>Please Select a Fuel, ɸ &amp; EGR% from the dropdown boxes</t>
  </si>
  <si>
    <t>O₂ (n3) Without EGR</t>
  </si>
  <si>
    <t>O₂ (n3) with EGR</t>
  </si>
  <si>
    <t>N₂ (n4) with EGR</t>
  </si>
  <si>
    <t>CO₂ (n1) without EGR</t>
  </si>
  <si>
    <t>CO₂ (n1) with EGR</t>
  </si>
  <si>
    <t>H₂O (n2) without EGR</t>
  </si>
  <si>
    <t>H₂O (n2) with EGR</t>
  </si>
  <si>
    <t>N₂  (n4) without EGR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</si>
</sst>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.0"/>
    <numFmt numFmtId="166" formatCode="0.0000E+00"/>
    <numFmt numFmtId="167" formatCode="0.000000"/>
    <numFmt numFmtId="168" formatCode="0.0000"/>
  </numFmts>
  <fonts count="3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b/>
      <sz val="18"/>
      <color theme="0"/>
      <name val="Calibri Light"/>
      <family val="2"/>
      <scheme val="major"/>
    </font>
    <font>
      <sz val="9"/>
      <name val="Times New Roman"/>
      <family val="2"/>
    </font>
    <font>
      <sz val="9"/>
      <name val="Arial"/>
      <family val="2"/>
    </font>
    <font>
      <sz val="8"/>
      <name val="Times New Roman"/>
      <family val="2"/>
    </font>
    <font>
      <b/>
      <sz val="14"/>
      <color theme="0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8"/>
      <color theme="0"/>
      <name val="Times New Roman"/>
      <family val="1"/>
    </font>
    <font>
      <b/>
      <sz val="9"/>
      <color theme="0"/>
      <name val="Times New Roman"/>
      <family val="1"/>
    </font>
    <font>
      <u/>
      <sz val="11"/>
      <color theme="1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4"/>
      <color theme="0"/>
      <name val="Calibri"/>
      <family val="2"/>
      <scheme val="minor"/>
    </font>
    <font>
      <vertAlign val="superscript"/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Times New Roman"/>
      <family val="1"/>
    </font>
    <font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DBF4F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BA7FB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84B093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9" fontId="10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619">
    <xf numFmtId="0" fontId="0" fillId="0" borderId="0" xfId="0"/>
    <xf numFmtId="2" fontId="0" fillId="2" borderId="38" xfId="0" applyNumberFormat="1" applyFill="1" applyBorder="1" applyAlignment="1">
      <alignment horizontal="center"/>
    </xf>
    <xf numFmtId="2" fontId="0" fillId="3" borderId="0" xfId="0" applyNumberFormat="1" applyFill="1" applyBorder="1"/>
    <xf numFmtId="2" fontId="0" fillId="3" borderId="29" xfId="0" applyNumberFormat="1" applyFill="1" applyBorder="1"/>
    <xf numFmtId="2" fontId="0" fillId="3" borderId="0" xfId="0" applyNumberFormat="1" applyFill="1" applyBorder="1" applyAlignment="1">
      <alignment horizontal="center"/>
    </xf>
    <xf numFmtId="2" fontId="0" fillId="3" borderId="33" xfId="0" applyNumberFormat="1" applyFill="1" applyBorder="1"/>
    <xf numFmtId="2" fontId="0" fillId="3" borderId="32" xfId="0" applyNumberFormat="1" applyFill="1" applyBorder="1"/>
    <xf numFmtId="2" fontId="0" fillId="3" borderId="28" xfId="0" applyNumberFormat="1" applyFill="1" applyBorder="1"/>
    <xf numFmtId="2" fontId="0" fillId="3" borderId="34" xfId="0" applyNumberFormat="1" applyFill="1" applyBorder="1"/>
    <xf numFmtId="2" fontId="0" fillId="3" borderId="34" xfId="0" applyNumberFormat="1" applyFill="1" applyBorder="1" applyAlignment="1">
      <alignment horizontal="center"/>
    </xf>
    <xf numFmtId="2" fontId="0" fillId="4" borderId="15" xfId="0" applyNumberFormat="1" applyFill="1" applyBorder="1" applyAlignment="1">
      <alignment horizontal="center"/>
    </xf>
    <xf numFmtId="2" fontId="0" fillId="4" borderId="6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6" borderId="16" xfId="0" applyNumberFormat="1" applyFill="1" applyBorder="1" applyAlignment="1">
      <alignment horizontal="center"/>
    </xf>
    <xf numFmtId="2" fontId="0" fillId="6" borderId="21" xfId="0" applyNumberFormat="1" applyFill="1" applyBorder="1" applyAlignment="1">
      <alignment horizontal="center"/>
    </xf>
    <xf numFmtId="2" fontId="0" fillId="6" borderId="22" xfId="0" applyNumberFormat="1" applyFill="1" applyBorder="1" applyAlignment="1">
      <alignment horizontal="center"/>
    </xf>
    <xf numFmtId="2" fontId="0" fillId="6" borderId="17" xfId="0" applyNumberFormat="1" applyFill="1" applyBorder="1" applyAlignment="1">
      <alignment horizontal="center"/>
    </xf>
    <xf numFmtId="2" fontId="0" fillId="6" borderId="23" xfId="0" applyNumberFormat="1" applyFill="1" applyBorder="1" applyAlignment="1">
      <alignment horizontal="center"/>
    </xf>
    <xf numFmtId="2" fontId="0" fillId="6" borderId="10" xfId="0" applyNumberFormat="1" applyFill="1" applyBorder="1" applyAlignment="1">
      <alignment horizontal="center"/>
    </xf>
    <xf numFmtId="2" fontId="0" fillId="3" borderId="8" xfId="0" applyNumberFormat="1" applyFill="1" applyBorder="1"/>
    <xf numFmtId="2" fontId="0" fillId="3" borderId="39" xfId="0" applyNumberFormat="1" applyFill="1" applyBorder="1"/>
    <xf numFmtId="2" fontId="0" fillId="6" borderId="35" xfId="0" applyNumberFormat="1" applyFill="1" applyBorder="1" applyAlignment="1">
      <alignment horizontal="center"/>
    </xf>
    <xf numFmtId="2" fontId="0" fillId="6" borderId="12" xfId="0" applyNumberFormat="1" applyFill="1" applyBorder="1" applyAlignment="1">
      <alignment horizontal="center"/>
    </xf>
    <xf numFmtId="2" fontId="0" fillId="6" borderId="14" xfId="0" applyNumberFormat="1" applyFill="1" applyBorder="1" applyAlignment="1">
      <alignment horizontal="center"/>
    </xf>
    <xf numFmtId="0" fontId="0" fillId="5" borderId="0" xfId="0" applyFill="1"/>
    <xf numFmtId="0" fontId="0" fillId="5" borderId="0" xfId="0" applyFill="1" applyBorder="1"/>
    <xf numFmtId="2" fontId="0" fillId="5" borderId="0" xfId="0" applyNumberFormat="1" applyFill="1" applyBorder="1"/>
    <xf numFmtId="2" fontId="0" fillId="5" borderId="4" xfId="0" applyNumberFormat="1" applyFill="1" applyBorder="1" applyAlignment="1">
      <alignment horizontal="center"/>
    </xf>
    <xf numFmtId="2" fontId="0" fillId="5" borderId="11" xfId="0" applyNumberFormat="1" applyFill="1" applyBorder="1" applyAlignment="1">
      <alignment horizontal="center"/>
    </xf>
    <xf numFmtId="2" fontId="0" fillId="5" borderId="31" xfId="0" applyNumberFormat="1" applyFill="1" applyBorder="1" applyAlignment="1">
      <alignment horizontal="center"/>
    </xf>
    <xf numFmtId="2" fontId="4" fillId="5" borderId="9" xfId="0" applyNumberFormat="1" applyFont="1" applyFill="1" applyBorder="1" applyAlignment="1">
      <alignment horizontal="center"/>
    </xf>
    <xf numFmtId="2" fontId="0" fillId="5" borderId="35" xfId="0" applyNumberFormat="1" applyFill="1" applyBorder="1" applyAlignment="1">
      <alignment horizontal="center"/>
    </xf>
    <xf numFmtId="2" fontId="0" fillId="5" borderId="0" xfId="0" applyNumberFormat="1" applyFill="1"/>
    <xf numFmtId="2" fontId="0" fillId="5" borderId="0" xfId="0" applyNumberFormat="1" applyFill="1" applyAlignment="1">
      <alignment horizontal="center"/>
    </xf>
    <xf numFmtId="2" fontId="0" fillId="4" borderId="9" xfId="0" applyNumberFormat="1" applyFill="1" applyBorder="1" applyAlignment="1">
      <alignment horizontal="center" vertical="center"/>
    </xf>
    <xf numFmtId="2" fontId="0" fillId="4" borderId="9" xfId="0" applyNumberFormat="1" applyFill="1" applyBorder="1" applyAlignment="1">
      <alignment horizontal="center"/>
    </xf>
    <xf numFmtId="2" fontId="0" fillId="4" borderId="4" xfId="0" applyNumberFormat="1" applyFill="1" applyBorder="1" applyAlignment="1">
      <alignment horizontal="center"/>
    </xf>
    <xf numFmtId="2" fontId="0" fillId="2" borderId="10" xfId="0" applyNumberFormat="1" applyFill="1" applyBorder="1"/>
    <xf numFmtId="2" fontId="0" fillId="2" borderId="24" xfId="0" applyNumberFormat="1" applyFill="1" applyBorder="1" applyAlignment="1">
      <alignment horizontal="center"/>
    </xf>
    <xf numFmtId="2" fontId="0" fillId="2" borderId="20" xfId="0" applyNumberFormat="1" applyFill="1" applyBorder="1" applyAlignment="1">
      <alignment horizontal="center"/>
    </xf>
    <xf numFmtId="2" fontId="0" fillId="2" borderId="27" xfId="0" applyNumberFormat="1" applyFill="1" applyBorder="1" applyAlignment="1">
      <alignment horizontal="center"/>
    </xf>
    <xf numFmtId="2" fontId="0" fillId="2" borderId="14" xfId="0" applyNumberFormat="1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2" fontId="0" fillId="2" borderId="18" xfId="0" applyNumberFormat="1" applyFill="1" applyBorder="1" applyAlignment="1">
      <alignment horizontal="center"/>
    </xf>
    <xf numFmtId="2" fontId="0" fillId="2" borderId="19" xfId="0" applyNumberFormat="1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2" fontId="0" fillId="2" borderId="42" xfId="0" applyNumberFormat="1" applyFill="1" applyBorder="1" applyAlignment="1">
      <alignment horizontal="center"/>
    </xf>
    <xf numFmtId="2" fontId="0" fillId="2" borderId="44" xfId="0" applyNumberFormat="1" applyFill="1" applyBorder="1" applyAlignment="1">
      <alignment horizontal="center"/>
    </xf>
    <xf numFmtId="2" fontId="0" fillId="4" borderId="25" xfId="0" applyNumberFormat="1" applyFill="1" applyBorder="1" applyAlignment="1">
      <alignment horizontal="center"/>
    </xf>
    <xf numFmtId="2" fontId="0" fillId="4" borderId="26" xfId="0" applyNumberFormat="1" applyFill="1" applyBorder="1" applyAlignment="1">
      <alignment horizontal="center"/>
    </xf>
    <xf numFmtId="2" fontId="0" fillId="4" borderId="31" xfId="0" applyNumberFormat="1" applyFill="1" applyBorder="1" applyAlignment="1">
      <alignment horizontal="center"/>
    </xf>
    <xf numFmtId="2" fontId="0" fillId="4" borderId="11" xfId="0" applyNumberFormat="1" applyFill="1" applyBorder="1" applyAlignment="1">
      <alignment horizontal="center"/>
    </xf>
    <xf numFmtId="2" fontId="0" fillId="4" borderId="16" xfId="0" applyNumberFormat="1" applyFill="1" applyBorder="1" applyAlignment="1">
      <alignment horizontal="center"/>
    </xf>
    <xf numFmtId="2" fontId="2" fillId="4" borderId="11" xfId="0" applyNumberFormat="1" applyFont="1" applyFill="1" applyBorder="1" applyAlignment="1">
      <alignment horizontal="center"/>
    </xf>
    <xf numFmtId="2" fontId="4" fillId="4" borderId="36" xfId="0" applyNumberFormat="1" applyFont="1" applyFill="1" applyBorder="1" applyAlignment="1">
      <alignment horizontal="center"/>
    </xf>
    <xf numFmtId="2" fontId="2" fillId="4" borderId="48" xfId="0" applyNumberFormat="1" applyFont="1" applyFill="1" applyBorder="1" applyAlignment="1">
      <alignment horizontal="center"/>
    </xf>
    <xf numFmtId="0" fontId="0" fillId="10" borderId="29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6" fillId="10" borderId="8" xfId="0" applyNumberFormat="1" applyFont="1" applyFill="1" applyBorder="1" applyAlignment="1">
      <alignment horizontal="center"/>
    </xf>
    <xf numFmtId="0" fontId="0" fillId="10" borderId="39" xfId="0" applyFill="1" applyBorder="1" applyAlignment="1">
      <alignment horizontal="center"/>
    </xf>
    <xf numFmtId="0" fontId="0" fillId="10" borderId="34" xfId="0" applyFill="1" applyBorder="1" applyAlignment="1">
      <alignment horizontal="center"/>
    </xf>
    <xf numFmtId="0" fontId="6" fillId="10" borderId="0" xfId="0" applyNumberFormat="1" applyFont="1" applyFill="1" applyBorder="1" applyAlignment="1">
      <alignment horizontal="center"/>
    </xf>
    <xf numFmtId="0" fontId="6" fillId="10" borderId="33" xfId="0" applyNumberFormat="1" applyFont="1" applyFill="1" applyBorder="1" applyAlignment="1">
      <alignment horizontal="center"/>
    </xf>
    <xf numFmtId="0" fontId="6" fillId="10" borderId="34" xfId="0" applyNumberFormat="1" applyFont="1" applyFill="1" applyBorder="1" applyAlignment="1">
      <alignment horizontal="center"/>
    </xf>
    <xf numFmtId="0" fontId="7" fillId="10" borderId="0" xfId="0" applyNumberFormat="1" applyFont="1" applyFill="1" applyBorder="1" applyAlignment="1">
      <alignment horizontal="center"/>
    </xf>
    <xf numFmtId="0" fontId="7" fillId="10" borderId="33" xfId="0" applyNumberFormat="1" applyFont="1" applyFill="1" applyBorder="1" applyAlignment="1">
      <alignment horizontal="center"/>
    </xf>
    <xf numFmtId="0" fontId="6" fillId="13" borderId="29" xfId="0" applyNumberFormat="1" applyFont="1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6" fillId="13" borderId="8" xfId="0" applyNumberFormat="1" applyFont="1" applyFill="1" applyBorder="1" applyAlignment="1">
      <alignment horizontal="center"/>
    </xf>
    <xf numFmtId="0" fontId="6" fillId="14" borderId="8" xfId="0" applyNumberFormat="1" applyFont="1" applyFill="1" applyBorder="1" applyAlignment="1">
      <alignment horizontal="center"/>
    </xf>
    <xf numFmtId="0" fontId="7" fillId="13" borderId="8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6" fillId="5" borderId="0" xfId="0" applyNumberFormat="1" applyFont="1" applyFill="1" applyAlignment="1">
      <alignment horizontal="center"/>
    </xf>
    <xf numFmtId="0" fontId="6" fillId="2" borderId="37" xfId="0" applyNumberFormat="1" applyFont="1" applyFill="1" applyBorder="1" applyAlignment="1">
      <alignment horizontal="center"/>
    </xf>
    <xf numFmtId="2" fontId="6" fillId="2" borderId="37" xfId="0" applyNumberFormat="1" applyFont="1" applyFill="1" applyBorder="1" applyAlignment="1">
      <alignment horizontal="center"/>
    </xf>
    <xf numFmtId="1" fontId="6" fillId="2" borderId="37" xfId="0" applyNumberFormat="1" applyFont="1" applyFill="1" applyBorder="1" applyAlignment="1">
      <alignment horizontal="center"/>
    </xf>
    <xf numFmtId="164" fontId="6" fillId="2" borderId="37" xfId="0" applyNumberFormat="1" applyFont="1" applyFill="1" applyBorder="1" applyAlignment="1">
      <alignment horizontal="center"/>
    </xf>
    <xf numFmtId="165" fontId="6" fillId="2" borderId="37" xfId="0" applyNumberFormat="1" applyFont="1" applyFill="1" applyBorder="1" applyAlignment="1">
      <alignment horizontal="center"/>
    </xf>
    <xf numFmtId="3" fontId="6" fillId="2" borderId="37" xfId="0" applyNumberFormat="1" applyFont="1" applyFill="1" applyBorder="1" applyAlignment="1">
      <alignment horizontal="center"/>
    </xf>
    <xf numFmtId="1" fontId="6" fillId="2" borderId="12" xfId="0" applyNumberFormat="1" applyFont="1" applyFill="1" applyBorder="1" applyAlignment="1">
      <alignment horizontal="center"/>
    </xf>
    <xf numFmtId="0" fontId="8" fillId="2" borderId="11" xfId="0" applyNumberFormat="1" applyFont="1" applyFill="1" applyBorder="1" applyAlignment="1">
      <alignment horizontal="center"/>
    </xf>
    <xf numFmtId="0" fontId="6" fillId="2" borderId="12" xfId="0" applyNumberFormat="1" applyFont="1" applyFill="1" applyBorder="1" applyAlignment="1">
      <alignment horizontal="center"/>
    </xf>
    <xf numFmtId="0" fontId="6" fillId="2" borderId="42" xfId="0" applyNumberFormat="1" applyFont="1" applyFill="1" applyBorder="1" applyAlignment="1">
      <alignment horizontal="center"/>
    </xf>
    <xf numFmtId="2" fontId="6" fillId="2" borderId="42" xfId="0" applyNumberFormat="1" applyFont="1" applyFill="1" applyBorder="1" applyAlignment="1">
      <alignment horizontal="center"/>
    </xf>
    <xf numFmtId="165" fontId="6" fillId="2" borderId="42" xfId="0" applyNumberFormat="1" applyFont="1" applyFill="1" applyBorder="1" applyAlignment="1">
      <alignment horizontal="center"/>
    </xf>
    <xf numFmtId="0" fontId="6" fillId="2" borderId="7" xfId="0" applyNumberFormat="1" applyFont="1" applyFill="1" applyBorder="1" applyAlignment="1">
      <alignment horizontal="center"/>
    </xf>
    <xf numFmtId="1" fontId="6" fillId="2" borderId="11" xfId="0" applyNumberFormat="1" applyFont="1" applyFill="1" applyBorder="1" applyAlignment="1">
      <alignment horizontal="center"/>
    </xf>
    <xf numFmtId="164" fontId="6" fillId="2" borderId="12" xfId="0" applyNumberFormat="1" applyFont="1" applyFill="1" applyBorder="1" applyAlignment="1">
      <alignment horizontal="center"/>
    </xf>
    <xf numFmtId="3" fontId="6" fillId="2" borderId="11" xfId="0" applyNumberFormat="1" applyFont="1" applyFill="1" applyBorder="1" applyAlignment="1">
      <alignment horizontal="center"/>
    </xf>
    <xf numFmtId="3" fontId="6" fillId="2" borderId="6" xfId="0" applyNumberFormat="1" applyFont="1" applyFill="1" applyBorder="1" applyAlignment="1">
      <alignment horizontal="center"/>
    </xf>
    <xf numFmtId="164" fontId="6" fillId="2" borderId="42" xfId="0" applyNumberFormat="1" applyFont="1" applyFill="1" applyBorder="1" applyAlignment="1">
      <alignment horizontal="center"/>
    </xf>
    <xf numFmtId="1" fontId="6" fillId="2" borderId="15" xfId="0" applyNumberFormat="1" applyFont="1" applyFill="1" applyBorder="1" applyAlignment="1">
      <alignment horizontal="center"/>
    </xf>
    <xf numFmtId="0" fontId="6" fillId="2" borderId="46" xfId="0" applyNumberFormat="1" applyFont="1" applyFill="1" applyBorder="1" applyAlignment="1">
      <alignment horizontal="center"/>
    </xf>
    <xf numFmtId="164" fontId="6" fillId="2" borderId="46" xfId="0" applyNumberFormat="1" applyFont="1" applyFill="1" applyBorder="1" applyAlignment="1">
      <alignment horizontal="center"/>
    </xf>
    <xf numFmtId="164" fontId="6" fillId="2" borderId="14" xfId="0" applyNumberFormat="1" applyFont="1" applyFill="1" applyBorder="1" applyAlignment="1">
      <alignment horizontal="center"/>
    </xf>
    <xf numFmtId="0" fontId="6" fillId="10" borderId="49" xfId="0" applyNumberFormat="1" applyFont="1" applyFill="1" applyBorder="1" applyAlignment="1">
      <alignment horizontal="center"/>
    </xf>
    <xf numFmtId="0" fontId="6" fillId="10" borderId="50" xfId="0" applyNumberFormat="1" applyFont="1" applyFill="1" applyBorder="1" applyAlignment="1">
      <alignment horizontal="center"/>
    </xf>
    <xf numFmtId="0" fontId="8" fillId="10" borderId="50" xfId="0" applyNumberFormat="1" applyFont="1" applyFill="1" applyBorder="1" applyAlignment="1">
      <alignment horizontal="center"/>
    </xf>
    <xf numFmtId="0" fontId="7" fillId="10" borderId="50" xfId="0" applyNumberFormat="1" applyFont="1" applyFill="1" applyBorder="1" applyAlignment="1">
      <alignment horizontal="center"/>
    </xf>
    <xf numFmtId="0" fontId="6" fillId="10" borderId="47" xfId="0" applyNumberFormat="1" applyFont="1" applyFill="1" applyBorder="1" applyAlignment="1">
      <alignment horizontal="center"/>
    </xf>
    <xf numFmtId="2" fontId="6" fillId="2" borderId="46" xfId="0" applyNumberFormat="1" applyFont="1" applyFill="1" applyBorder="1" applyAlignment="1">
      <alignment horizontal="center"/>
    </xf>
    <xf numFmtId="1" fontId="6" fillId="2" borderId="46" xfId="0" applyNumberFormat="1" applyFont="1" applyFill="1" applyBorder="1" applyAlignment="1">
      <alignment horizontal="center"/>
    </xf>
    <xf numFmtId="165" fontId="6" fillId="2" borderId="46" xfId="0" applyNumberFormat="1" applyFont="1" applyFill="1" applyBorder="1" applyAlignment="1">
      <alignment horizontal="center"/>
    </xf>
    <xf numFmtId="3" fontId="6" fillId="2" borderId="46" xfId="0" applyNumberFormat="1" applyFont="1" applyFill="1" applyBorder="1" applyAlignment="1">
      <alignment horizontal="center"/>
    </xf>
    <xf numFmtId="1" fontId="6" fillId="2" borderId="14" xfId="0" applyNumberFormat="1" applyFont="1" applyFill="1" applyBorder="1" applyAlignment="1">
      <alignment horizontal="center"/>
    </xf>
    <xf numFmtId="0" fontId="0" fillId="13" borderId="49" xfId="0" applyFill="1" applyBorder="1" applyAlignment="1">
      <alignment horizontal="center"/>
    </xf>
    <xf numFmtId="0" fontId="6" fillId="13" borderId="50" xfId="0" applyNumberFormat="1" applyFont="1" applyFill="1" applyBorder="1" applyAlignment="1">
      <alignment horizontal="center"/>
    </xf>
    <xf numFmtId="0" fontId="6" fillId="14" borderId="50" xfId="0" applyNumberFormat="1" applyFont="1" applyFill="1" applyBorder="1" applyAlignment="1">
      <alignment horizontal="center"/>
    </xf>
    <xf numFmtId="0" fontId="8" fillId="14" borderId="50" xfId="0" applyNumberFormat="1" applyFont="1" applyFill="1" applyBorder="1" applyAlignment="1">
      <alignment horizontal="center"/>
    </xf>
    <xf numFmtId="0" fontId="6" fillId="14" borderId="47" xfId="0" applyNumberFormat="1" applyFont="1" applyFill="1" applyBorder="1" applyAlignment="1">
      <alignment horizontal="center"/>
    </xf>
    <xf numFmtId="0" fontId="0" fillId="13" borderId="39" xfId="0" applyFill="1" applyBorder="1" applyAlignment="1">
      <alignment horizontal="center"/>
    </xf>
    <xf numFmtId="2" fontId="6" fillId="2" borderId="12" xfId="0" applyNumberFormat="1" applyFont="1" applyFill="1" applyBorder="1" applyAlignment="1">
      <alignment horizontal="center"/>
    </xf>
    <xf numFmtId="165" fontId="6" fillId="2" borderId="12" xfId="0" applyNumberFormat="1" applyFont="1" applyFill="1" applyBorder="1" applyAlignment="1">
      <alignment horizontal="center"/>
    </xf>
    <xf numFmtId="2" fontId="6" fillId="2" borderId="7" xfId="0" applyNumberFormat="1" applyFont="1" applyFill="1" applyBorder="1" applyAlignment="1">
      <alignment horizontal="center"/>
    </xf>
    <xf numFmtId="2" fontId="6" fillId="2" borderId="14" xfId="0" applyNumberFormat="1" applyFont="1" applyFill="1" applyBorder="1" applyAlignment="1">
      <alignment horizontal="center"/>
    </xf>
    <xf numFmtId="165" fontId="6" fillId="2" borderId="14" xfId="0" applyNumberFormat="1" applyFont="1" applyFill="1" applyBorder="1" applyAlignment="1">
      <alignment horizontal="center"/>
    </xf>
    <xf numFmtId="0" fontId="6" fillId="15" borderId="9" xfId="0" applyNumberFormat="1" applyFont="1" applyFill="1" applyBorder="1" applyAlignment="1">
      <alignment horizontal="center"/>
    </xf>
    <xf numFmtId="0" fontId="7" fillId="15" borderId="38" xfId="0" applyNumberFormat="1" applyFont="1" applyFill="1" applyBorder="1" applyAlignment="1">
      <alignment horizontal="center"/>
    </xf>
    <xf numFmtId="0" fontId="7" fillId="15" borderId="10" xfId="0" applyNumberFormat="1" applyFont="1" applyFill="1" applyBorder="1" applyAlignment="1">
      <alignment horizontal="center"/>
    </xf>
    <xf numFmtId="0" fontId="6" fillId="12" borderId="9" xfId="0" applyNumberFormat="1" applyFont="1" applyFill="1" applyBorder="1" applyAlignment="1">
      <alignment horizontal="center"/>
    </xf>
    <xf numFmtId="0" fontId="7" fillId="12" borderId="38" xfId="0" applyNumberFormat="1" applyFont="1" applyFill="1" applyBorder="1" applyAlignment="1">
      <alignment horizontal="center"/>
    </xf>
    <xf numFmtId="0" fontId="7" fillId="12" borderId="10" xfId="0" applyNumberFormat="1" applyFont="1" applyFill="1" applyBorder="1" applyAlignment="1">
      <alignment horizontal="center"/>
    </xf>
    <xf numFmtId="0" fontId="6" fillId="9" borderId="9" xfId="0" applyNumberFormat="1" applyFont="1" applyFill="1" applyBorder="1" applyAlignment="1">
      <alignment horizontal="center"/>
    </xf>
    <xf numFmtId="0" fontId="7" fillId="9" borderId="38" xfId="0" applyNumberFormat="1" applyFont="1" applyFill="1" applyBorder="1" applyAlignment="1">
      <alignment horizontal="center"/>
    </xf>
    <xf numFmtId="0" fontId="7" fillId="9" borderId="10" xfId="0" applyNumberFormat="1" applyFont="1" applyFill="1" applyBorder="1" applyAlignment="1">
      <alignment horizontal="center"/>
    </xf>
    <xf numFmtId="0" fontId="6" fillId="11" borderId="9" xfId="0" applyNumberFormat="1" applyFont="1" applyFill="1" applyBorder="1" applyAlignment="1">
      <alignment horizontal="center"/>
    </xf>
    <xf numFmtId="0" fontId="7" fillId="11" borderId="38" xfId="0" applyNumberFormat="1" applyFont="1" applyFill="1" applyBorder="1" applyAlignment="1">
      <alignment horizontal="center"/>
    </xf>
    <xf numFmtId="0" fontId="7" fillId="11" borderId="10" xfId="0" applyNumberFormat="1" applyFont="1" applyFill="1" applyBorder="1" applyAlignment="1">
      <alignment horizontal="center"/>
    </xf>
    <xf numFmtId="2" fontId="0" fillId="2" borderId="11" xfId="0" applyNumberFormat="1" applyFill="1" applyBorder="1" applyAlignment="1">
      <alignment horizontal="center"/>
    </xf>
    <xf numFmtId="2" fontId="0" fillId="2" borderId="37" xfId="0" applyNumberFormat="1" applyFill="1" applyBorder="1" applyAlignment="1">
      <alignment horizontal="center"/>
    </xf>
    <xf numFmtId="2" fontId="0" fillId="2" borderId="12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2" fontId="0" fillId="2" borderId="25" xfId="0" applyNumberFormat="1" applyFill="1" applyBorder="1" applyAlignment="1">
      <alignment horizontal="center"/>
    </xf>
    <xf numFmtId="2" fontId="0" fillId="2" borderId="51" xfId="0" applyNumberForma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4" borderId="6" xfId="0" applyFont="1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2" fontId="0" fillId="4" borderId="15" xfId="0" applyNumberFormat="1" applyFill="1" applyBorder="1" applyAlignment="1">
      <alignment horizontal="center" vertical="center" wrapText="1"/>
    </xf>
    <xf numFmtId="2" fontId="0" fillId="2" borderId="18" xfId="0" applyNumberFormat="1" applyFill="1" applyBorder="1" applyAlignment="1">
      <alignment horizontal="center" vertical="center" wrapText="1"/>
    </xf>
    <xf numFmtId="2" fontId="0" fillId="6" borderId="21" xfId="0" applyNumberFormat="1" applyFill="1" applyBorder="1" applyAlignment="1">
      <alignment horizontal="center" vertical="center" wrapText="1"/>
    </xf>
    <xf numFmtId="2" fontId="0" fillId="3" borderId="0" xfId="0" applyNumberFormat="1" applyFill="1" applyBorder="1" applyAlignment="1">
      <alignment vertical="center" wrapText="1"/>
    </xf>
    <xf numFmtId="2" fontId="0" fillId="3" borderId="33" xfId="0" applyNumberFormat="1" applyFill="1" applyBorder="1" applyAlignment="1">
      <alignment vertical="center" wrapText="1"/>
    </xf>
    <xf numFmtId="0" fontId="0" fillId="5" borderId="0" xfId="0" applyFill="1" applyBorder="1" applyAlignment="1">
      <alignment vertical="center" wrapText="1"/>
    </xf>
    <xf numFmtId="0" fontId="0" fillId="5" borderId="0" xfId="0" applyFill="1" applyAlignment="1">
      <alignment vertical="center" wrapText="1"/>
    </xf>
    <xf numFmtId="2" fontId="0" fillId="2" borderId="41" xfId="0" applyNumberFormat="1" applyFill="1" applyBorder="1" applyAlignment="1">
      <alignment horizontal="center"/>
    </xf>
    <xf numFmtId="2" fontId="0" fillId="6" borderId="5" xfId="0" applyNumberFormat="1" applyFill="1" applyBorder="1" applyAlignment="1">
      <alignment horizontal="center"/>
    </xf>
    <xf numFmtId="2" fontId="0" fillId="6" borderId="7" xfId="0" applyNumberFormat="1" applyFill="1" applyBorder="1" applyAlignment="1">
      <alignment horizontal="center"/>
    </xf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vertical="top" wrapText="1"/>
    </xf>
    <xf numFmtId="2" fontId="0" fillId="2" borderId="46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0" fontId="8" fillId="2" borderId="40" xfId="0" applyNumberFormat="1" applyFont="1" applyFill="1" applyBorder="1" applyAlignment="1">
      <alignment horizontal="center"/>
    </xf>
    <xf numFmtId="0" fontId="6" fillId="2" borderId="45" xfId="0" applyNumberFormat="1" applyFont="1" applyFill="1" applyBorder="1" applyAlignment="1">
      <alignment horizontal="center"/>
    </xf>
    <xf numFmtId="2" fontId="6" fillId="2" borderId="45" xfId="0" applyNumberFormat="1" applyFont="1" applyFill="1" applyBorder="1" applyAlignment="1">
      <alignment horizontal="center"/>
    </xf>
    <xf numFmtId="1" fontId="6" fillId="2" borderId="45" xfId="0" applyNumberFormat="1" applyFont="1" applyFill="1" applyBorder="1" applyAlignment="1">
      <alignment horizontal="center"/>
    </xf>
    <xf numFmtId="164" fontId="6" fillId="2" borderId="45" xfId="0" applyNumberFormat="1" applyFont="1" applyFill="1" applyBorder="1" applyAlignment="1">
      <alignment horizontal="center"/>
    </xf>
    <xf numFmtId="165" fontId="6" fillId="2" borderId="45" xfId="0" applyNumberFormat="1" applyFont="1" applyFill="1" applyBorder="1" applyAlignment="1">
      <alignment horizontal="center"/>
    </xf>
    <xf numFmtId="3" fontId="6" fillId="2" borderId="45" xfId="0" applyNumberFormat="1" applyFont="1" applyFill="1" applyBorder="1" applyAlignment="1">
      <alignment horizontal="center"/>
    </xf>
    <xf numFmtId="1" fontId="6" fillId="2" borderId="43" xfId="0" applyNumberFormat="1" applyFont="1" applyFill="1" applyBorder="1" applyAlignment="1">
      <alignment horizontal="center"/>
    </xf>
    <xf numFmtId="0" fontId="8" fillId="2" borderId="15" xfId="0" applyNumberFormat="1" applyFont="1" applyFill="1" applyBorder="1" applyAlignment="1">
      <alignment horizontal="center"/>
    </xf>
    <xf numFmtId="0" fontId="6" fillId="2" borderId="14" xfId="0" applyNumberFormat="1" applyFont="1" applyFill="1" applyBorder="1" applyAlignment="1">
      <alignment horizontal="center"/>
    </xf>
    <xf numFmtId="0" fontId="13" fillId="17" borderId="9" xfId="0" applyNumberFormat="1" applyFont="1" applyFill="1" applyBorder="1" applyAlignment="1">
      <alignment horizontal="center"/>
    </xf>
    <xf numFmtId="0" fontId="14" fillId="17" borderId="38" xfId="0" applyNumberFormat="1" applyFont="1" applyFill="1" applyBorder="1" applyAlignment="1">
      <alignment horizontal="center"/>
    </xf>
    <xf numFmtId="2" fontId="14" fillId="17" borderId="38" xfId="0" applyNumberFormat="1" applyFont="1" applyFill="1" applyBorder="1" applyAlignment="1">
      <alignment horizontal="center"/>
    </xf>
    <xf numFmtId="1" fontId="14" fillId="17" borderId="38" xfId="0" applyNumberFormat="1" applyFont="1" applyFill="1" applyBorder="1" applyAlignment="1">
      <alignment horizontal="center"/>
    </xf>
    <xf numFmtId="164" fontId="14" fillId="17" borderId="38" xfId="0" applyNumberFormat="1" applyFont="1" applyFill="1" applyBorder="1" applyAlignment="1">
      <alignment horizontal="center"/>
    </xf>
    <xf numFmtId="165" fontId="14" fillId="17" borderId="38" xfId="0" applyNumberFormat="1" applyFont="1" applyFill="1" applyBorder="1" applyAlignment="1">
      <alignment horizontal="center"/>
    </xf>
    <xf numFmtId="3" fontId="14" fillId="17" borderId="38" xfId="0" applyNumberFormat="1" applyFont="1" applyFill="1" applyBorder="1" applyAlignment="1">
      <alignment horizontal="center"/>
    </xf>
    <xf numFmtId="1" fontId="14" fillId="17" borderId="10" xfId="0" applyNumberFormat="1" applyFont="1" applyFill="1" applyBorder="1" applyAlignment="1">
      <alignment horizontal="center"/>
    </xf>
    <xf numFmtId="0" fontId="14" fillId="17" borderId="9" xfId="0" applyNumberFormat="1" applyFont="1" applyFill="1" applyBorder="1" applyAlignment="1">
      <alignment horizontal="center"/>
    </xf>
    <xf numFmtId="0" fontId="14" fillId="17" borderId="10" xfId="0" applyNumberFormat="1" applyFont="1" applyFill="1" applyBorder="1" applyAlignment="1">
      <alignment horizontal="center"/>
    </xf>
    <xf numFmtId="0" fontId="6" fillId="2" borderId="52" xfId="0" applyNumberFormat="1" applyFont="1" applyFill="1" applyBorder="1" applyAlignment="1">
      <alignment horizontal="center"/>
    </xf>
    <xf numFmtId="0" fontId="6" fillId="2" borderId="53" xfId="0" applyNumberFormat="1" applyFont="1" applyFill="1" applyBorder="1" applyAlignment="1">
      <alignment horizontal="center"/>
    </xf>
    <xf numFmtId="2" fontId="6" fillId="2" borderId="53" xfId="0" applyNumberFormat="1" applyFont="1" applyFill="1" applyBorder="1" applyAlignment="1">
      <alignment horizontal="center"/>
    </xf>
    <xf numFmtId="1" fontId="6" fillId="2" borderId="53" xfId="0" applyNumberFormat="1" applyFont="1" applyFill="1" applyBorder="1" applyAlignment="1">
      <alignment horizontal="center"/>
    </xf>
    <xf numFmtId="164" fontId="6" fillId="2" borderId="53" xfId="0" applyNumberFormat="1" applyFont="1" applyFill="1" applyBorder="1" applyAlignment="1">
      <alignment horizontal="center"/>
    </xf>
    <xf numFmtId="165" fontId="6" fillId="2" borderId="53" xfId="0" applyNumberFormat="1" applyFont="1" applyFill="1" applyBorder="1" applyAlignment="1">
      <alignment horizontal="center"/>
    </xf>
    <xf numFmtId="3" fontId="6" fillId="2" borderId="53" xfId="0" applyNumberFormat="1" applyFont="1" applyFill="1" applyBorder="1" applyAlignment="1">
      <alignment horizontal="center"/>
    </xf>
    <xf numFmtId="1" fontId="6" fillId="2" borderId="54" xfId="0" applyNumberFormat="1" applyFont="1" applyFill="1" applyBorder="1" applyAlignment="1">
      <alignment horizontal="center"/>
    </xf>
    <xf numFmtId="0" fontId="8" fillId="2" borderId="52" xfId="0" applyNumberFormat="1" applyFont="1" applyFill="1" applyBorder="1" applyAlignment="1">
      <alignment horizontal="center"/>
    </xf>
    <xf numFmtId="0" fontId="6" fillId="2" borderId="54" xfId="0" applyNumberFormat="1" applyFont="1" applyFill="1" applyBorder="1" applyAlignment="1">
      <alignment horizontal="center"/>
    </xf>
    <xf numFmtId="0" fontId="1" fillId="7" borderId="35" xfId="0" applyFont="1" applyFill="1" applyBorder="1" applyAlignment="1">
      <alignment horizontal="center"/>
    </xf>
    <xf numFmtId="2" fontId="0" fillId="5" borderId="29" xfId="0" applyNumberFormat="1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0" fontId="11" fillId="4" borderId="55" xfId="0" applyFont="1" applyFill="1" applyBorder="1" applyAlignment="1">
      <alignment horizontal="center"/>
    </xf>
    <xf numFmtId="0" fontId="11" fillId="4" borderId="49" xfId="0" applyFont="1" applyFill="1" applyBorder="1" applyAlignment="1">
      <alignment horizontal="center"/>
    </xf>
    <xf numFmtId="0" fontId="11" fillId="4" borderId="56" xfId="0" applyFont="1" applyFill="1" applyBorder="1" applyAlignment="1">
      <alignment horizontal="center"/>
    </xf>
    <xf numFmtId="2" fontId="0" fillId="2" borderId="57" xfId="0" applyNumberForma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7" borderId="36" xfId="0" applyFill="1" applyBorder="1"/>
    <xf numFmtId="0" fontId="0" fillId="4" borderId="4" xfId="0" applyFill="1" applyBorder="1" applyAlignment="1">
      <alignment horizontal="center"/>
    </xf>
    <xf numFmtId="2" fontId="0" fillId="4" borderId="11" xfId="0" applyNumberFormat="1" applyFill="1" applyBorder="1" applyAlignment="1">
      <alignment horizontal="center"/>
    </xf>
    <xf numFmtId="2" fontId="1" fillId="3" borderId="0" xfId="0" applyNumberFormat="1" applyFont="1" applyFill="1" applyBorder="1" applyAlignment="1">
      <alignment horizontal="center"/>
    </xf>
    <xf numFmtId="2" fontId="1" fillId="3" borderId="33" xfId="0" applyNumberFormat="1" applyFont="1" applyFill="1" applyBorder="1" applyAlignment="1">
      <alignment horizontal="center"/>
    </xf>
    <xf numFmtId="2" fontId="0" fillId="4" borderId="58" xfId="0" applyNumberFormat="1" applyFill="1" applyBorder="1" applyAlignment="1">
      <alignment horizontal="center"/>
    </xf>
    <xf numFmtId="2" fontId="0" fillId="4" borderId="49" xfId="0" applyNumberFormat="1" applyFill="1" applyBorder="1" applyAlignment="1">
      <alignment horizontal="center"/>
    </xf>
    <xf numFmtId="2" fontId="0" fillId="2" borderId="21" xfId="0" applyNumberFormat="1" applyFill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2" fontId="1" fillId="7" borderId="21" xfId="0" applyNumberFormat="1" applyFont="1" applyFill="1" applyBorder="1" applyAlignment="1">
      <alignment horizontal="center"/>
    </xf>
    <xf numFmtId="1" fontId="0" fillId="2" borderId="17" xfId="0" applyNumberFormat="1" applyFill="1" applyBorder="1" applyAlignment="1">
      <alignment horizontal="center"/>
    </xf>
    <xf numFmtId="0" fontId="18" fillId="5" borderId="0" xfId="0" applyFont="1" applyFill="1"/>
    <xf numFmtId="2" fontId="0" fillId="2" borderId="15" xfId="0" applyNumberFormat="1" applyFill="1" applyBorder="1" applyAlignment="1">
      <alignment horizontal="center"/>
    </xf>
    <xf numFmtId="2" fontId="11" fillId="4" borderId="4" xfId="0" applyNumberFormat="1" applyFont="1" applyFill="1" applyBorder="1" applyAlignment="1">
      <alignment horizontal="center"/>
    </xf>
    <xf numFmtId="2" fontId="11" fillId="4" borderId="11" xfId="0" applyNumberFormat="1" applyFont="1" applyFill="1" applyBorder="1" applyAlignment="1">
      <alignment horizontal="center"/>
    </xf>
    <xf numFmtId="2" fontId="11" fillId="4" borderId="6" xfId="0" applyNumberFormat="1" applyFont="1" applyFill="1" applyBorder="1" applyAlignment="1">
      <alignment horizontal="center"/>
    </xf>
    <xf numFmtId="11" fontId="0" fillId="5" borderId="0" xfId="0" applyNumberFormat="1" applyFill="1"/>
    <xf numFmtId="166" fontId="0" fillId="5" borderId="0" xfId="0" applyNumberFormat="1" applyFill="1"/>
    <xf numFmtId="166" fontId="0" fillId="2" borderId="18" xfId="0" applyNumberForma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2" fontId="1" fillId="7" borderId="9" xfId="0" applyNumberFormat="1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166" fontId="0" fillId="2" borderId="19" xfId="0" applyNumberFormat="1" applyFill="1" applyBorder="1" applyAlignment="1">
      <alignment horizontal="center"/>
    </xf>
    <xf numFmtId="166" fontId="0" fillId="2" borderId="20" xfId="0" applyNumberFormat="1" applyFill="1" applyBorder="1" applyAlignment="1">
      <alignment horizontal="center"/>
    </xf>
    <xf numFmtId="166" fontId="1" fillId="7" borderId="13" xfId="0" applyNumberFormat="1" applyFont="1" applyFill="1" applyBorder="1" applyAlignment="1">
      <alignment horizontal="center" vertical="center"/>
    </xf>
    <xf numFmtId="167" fontId="0" fillId="5" borderId="0" xfId="0" applyNumberFormat="1" applyFill="1"/>
    <xf numFmtId="167" fontId="0" fillId="2" borderId="46" xfId="0" applyNumberFormat="1" applyFill="1" applyBorder="1" applyAlignment="1">
      <alignment horizontal="center"/>
    </xf>
    <xf numFmtId="167" fontId="1" fillId="7" borderId="38" xfId="0" applyNumberFormat="1" applyFont="1" applyFill="1" applyBorder="1" applyAlignment="1">
      <alignment horizontal="center" vertical="center" wrapText="1"/>
    </xf>
    <xf numFmtId="167" fontId="1" fillId="7" borderId="13" xfId="0" applyNumberFormat="1" applyFont="1" applyFill="1" applyBorder="1" applyAlignment="1">
      <alignment horizontal="center" vertical="center" wrapText="1"/>
    </xf>
    <xf numFmtId="167" fontId="0" fillId="2" borderId="18" xfId="0" applyNumberFormat="1" applyFill="1" applyBorder="1" applyAlignment="1">
      <alignment horizontal="center"/>
    </xf>
    <xf numFmtId="167" fontId="0" fillId="2" borderId="19" xfId="0" applyNumberFormat="1" applyFill="1" applyBorder="1" applyAlignment="1">
      <alignment horizontal="center"/>
    </xf>
    <xf numFmtId="167" fontId="0" fillId="2" borderId="20" xfId="0" applyNumberFormat="1" applyFill="1" applyBorder="1" applyAlignment="1">
      <alignment horizontal="center"/>
    </xf>
    <xf numFmtId="0" fontId="18" fillId="5" borderId="0" xfId="0" applyFont="1" applyFill="1" applyBorder="1" applyAlignment="1">
      <alignment horizontal="center"/>
    </xf>
    <xf numFmtId="167" fontId="0" fillId="2" borderId="57" xfId="0" applyNumberFormat="1" applyFill="1" applyBorder="1" applyAlignment="1">
      <alignment horizontal="center"/>
    </xf>
    <xf numFmtId="167" fontId="1" fillId="5" borderId="0" xfId="0" applyNumberFormat="1" applyFont="1" applyFill="1" applyBorder="1" applyAlignment="1">
      <alignment horizontal="center" vertical="center" wrapText="1"/>
    </xf>
    <xf numFmtId="167" fontId="0" fillId="5" borderId="0" xfId="0" applyNumberFormat="1" applyFill="1" applyBorder="1" applyAlignment="1">
      <alignment horizontal="center"/>
    </xf>
    <xf numFmtId="2" fontId="1" fillId="7" borderId="53" xfId="0" applyNumberFormat="1" applyFont="1" applyFill="1" applyBorder="1" applyAlignment="1">
      <alignment horizontal="center" vertical="center" wrapText="1"/>
    </xf>
    <xf numFmtId="2" fontId="1" fillId="7" borderId="61" xfId="0" applyNumberFormat="1" applyFont="1" applyFill="1" applyBorder="1" applyAlignment="1">
      <alignment horizontal="center" vertical="center" wrapText="1"/>
    </xf>
    <xf numFmtId="2" fontId="0" fillId="15" borderId="21" xfId="0" applyNumberFormat="1" applyFill="1" applyBorder="1" applyAlignment="1">
      <alignment horizontal="center"/>
    </xf>
    <xf numFmtId="2" fontId="0" fillId="15" borderId="22" xfId="0" applyNumberFormat="1" applyFill="1" applyBorder="1" applyAlignment="1">
      <alignment horizontal="center"/>
    </xf>
    <xf numFmtId="2" fontId="0" fillId="15" borderId="17" xfId="0" applyNumberFormat="1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1" fillId="7" borderId="5" xfId="0" applyFont="1" applyFill="1" applyBorder="1" applyAlignment="1">
      <alignment horizontal="center" vertical="center" wrapText="1"/>
    </xf>
    <xf numFmtId="166" fontId="0" fillId="2" borderId="12" xfId="0" applyNumberFormat="1" applyFill="1" applyBorder="1" applyAlignment="1">
      <alignment horizontal="center"/>
    </xf>
    <xf numFmtId="166" fontId="0" fillId="2" borderId="7" xfId="0" applyNumberFormat="1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2" fontId="11" fillId="15" borderId="21" xfId="0" applyNumberFormat="1" applyFont="1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1" fontId="2" fillId="2" borderId="21" xfId="0" applyNumberFormat="1" applyFont="1" applyFill="1" applyBorder="1" applyAlignment="1">
      <alignment horizontal="center"/>
    </xf>
    <xf numFmtId="1" fontId="2" fillId="2" borderId="22" xfId="0" applyNumberFormat="1" applyFont="1" applyFill="1" applyBorder="1" applyAlignment="1">
      <alignment horizontal="center"/>
    </xf>
    <xf numFmtId="3" fontId="2" fillId="2" borderId="22" xfId="0" applyNumberFormat="1" applyFont="1" applyFill="1" applyBorder="1" applyAlignment="1">
      <alignment horizontal="center"/>
    </xf>
    <xf numFmtId="3" fontId="2" fillId="2" borderId="17" xfId="0" applyNumberFormat="1" applyFont="1" applyFill="1" applyBorder="1" applyAlignment="1">
      <alignment horizontal="center"/>
    </xf>
    <xf numFmtId="2" fontId="11" fillId="15" borderId="1" xfId="0" applyNumberFormat="1" applyFont="1" applyFill="1" applyBorder="1" applyAlignment="1">
      <alignment horizontal="center"/>
    </xf>
    <xf numFmtId="2" fontId="1" fillId="7" borderId="36" xfId="0" applyNumberFormat="1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2" fontId="0" fillId="9" borderId="9" xfId="0" applyNumberFormat="1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1" fontId="11" fillId="4" borderId="15" xfId="0" applyNumberFormat="1" applyFont="1" applyFill="1" applyBorder="1" applyAlignment="1">
      <alignment horizontal="center"/>
    </xf>
    <xf numFmtId="1" fontId="11" fillId="4" borderId="11" xfId="0" applyNumberFormat="1" applyFont="1" applyFill="1" applyBorder="1" applyAlignment="1">
      <alignment horizontal="center"/>
    </xf>
    <xf numFmtId="1" fontId="11" fillId="4" borderId="6" xfId="0" applyNumberFormat="1" applyFont="1" applyFill="1" applyBorder="1" applyAlignment="1">
      <alignment horizontal="center"/>
    </xf>
    <xf numFmtId="2" fontId="0" fillId="4" borderId="11" xfId="0" applyNumberFormat="1" applyFill="1" applyBorder="1" applyAlignment="1">
      <alignment horizontal="center"/>
    </xf>
    <xf numFmtId="2" fontId="0" fillId="2" borderId="50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5" borderId="0" xfId="0" applyFill="1" applyAlignment="1"/>
    <xf numFmtId="2" fontId="4" fillId="7" borderId="11" xfId="0" applyNumberFormat="1" applyFont="1" applyFill="1" applyBorder="1" applyAlignment="1">
      <alignment horizontal="center"/>
    </xf>
    <xf numFmtId="2" fontId="4" fillId="7" borderId="6" xfId="0" applyNumberFormat="1" applyFont="1" applyFill="1" applyBorder="1" applyAlignment="1">
      <alignment horizontal="center"/>
    </xf>
    <xf numFmtId="2" fontId="0" fillId="2" borderId="28" xfId="0" applyNumberFormat="1" applyFill="1" applyBorder="1" applyAlignment="1">
      <alignment vertical="center"/>
    </xf>
    <xf numFmtId="2" fontId="0" fillId="2" borderId="47" xfId="0" applyNumberFormat="1" applyFill="1" applyBorder="1" applyAlignment="1">
      <alignment horizontal="center" vertical="center"/>
    </xf>
    <xf numFmtId="0" fontId="1" fillId="7" borderId="3" xfId="0" applyFont="1" applyFill="1" applyBorder="1" applyAlignment="1"/>
    <xf numFmtId="2" fontId="0" fillId="2" borderId="62" xfId="0" applyNumberForma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/>
    </xf>
    <xf numFmtId="2" fontId="0" fillId="2" borderId="59" xfId="0" applyNumberFormat="1" applyFill="1" applyBorder="1" applyAlignment="1">
      <alignment horizontal="center" vertical="center"/>
    </xf>
    <xf numFmtId="2" fontId="0" fillId="2" borderId="17" xfId="0" applyNumberFormat="1" applyFill="1" applyBorder="1" applyAlignment="1">
      <alignment horizontal="center" vertical="center"/>
    </xf>
    <xf numFmtId="2" fontId="19" fillId="7" borderId="52" xfId="0" applyNumberFormat="1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wrapText="1"/>
    </xf>
    <xf numFmtId="2" fontId="11" fillId="15" borderId="17" xfId="0" applyNumberFormat="1" applyFont="1" applyFill="1" applyBorder="1" applyAlignment="1">
      <alignment horizontal="center"/>
    </xf>
    <xf numFmtId="2" fontId="11" fillId="4" borderId="15" xfId="0" applyNumberFormat="1" applyFont="1" applyFill="1" applyBorder="1" applyAlignment="1">
      <alignment horizontal="center"/>
    </xf>
    <xf numFmtId="11" fontId="0" fillId="2" borderId="21" xfId="0" applyNumberFormat="1" applyFill="1" applyBorder="1" applyAlignment="1">
      <alignment horizontal="center"/>
    </xf>
    <xf numFmtId="11" fontId="0" fillId="2" borderId="22" xfId="0" applyNumberFormat="1" applyFill="1" applyBorder="1" applyAlignment="1">
      <alignment horizontal="center"/>
    </xf>
    <xf numFmtId="11" fontId="0" fillId="2" borderId="17" xfId="0" applyNumberFormat="1" applyFill="1" applyBorder="1" applyAlignment="1">
      <alignment horizontal="center"/>
    </xf>
    <xf numFmtId="11" fontId="0" fillId="5" borderId="0" xfId="0" applyNumberFormat="1" applyFill="1" applyAlignment="1"/>
    <xf numFmtId="0" fontId="0" fillId="9" borderId="6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11" fontId="0" fillId="2" borderId="14" xfId="0" applyNumberFormat="1" applyFill="1" applyBorder="1" applyAlignment="1">
      <alignment horizontal="center"/>
    </xf>
    <xf numFmtId="11" fontId="0" fillId="2" borderId="12" xfId="0" applyNumberForma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11" fontId="0" fillId="2" borderId="7" xfId="0" applyNumberFormat="1" applyFill="1" applyBorder="1" applyAlignment="1">
      <alignment horizontal="center"/>
    </xf>
    <xf numFmtId="2" fontId="0" fillId="11" borderId="14" xfId="0" applyNumberFormat="1" applyFill="1" applyBorder="1" applyAlignment="1">
      <alignment horizontal="center"/>
    </xf>
    <xf numFmtId="2" fontId="0" fillId="11" borderId="12" xfId="0" applyNumberFormat="1" applyFill="1" applyBorder="1" applyAlignment="1">
      <alignment horizontal="center"/>
    </xf>
    <xf numFmtId="2" fontId="0" fillId="11" borderId="7" xfId="0" applyNumberFormat="1" applyFill="1" applyBorder="1" applyAlignment="1">
      <alignment horizontal="center"/>
    </xf>
    <xf numFmtId="11" fontId="2" fillId="2" borderId="1" xfId="0" applyNumberFormat="1" applyFont="1" applyFill="1" applyBorder="1" applyAlignment="1">
      <alignment horizontal="center"/>
    </xf>
    <xf numFmtId="168" fontId="0" fillId="2" borderId="60" xfId="0" applyNumberFormat="1" applyFill="1" applyBorder="1" applyAlignment="1">
      <alignment horizontal="center"/>
    </xf>
    <xf numFmtId="0" fontId="0" fillId="9" borderId="30" xfId="0" applyFill="1" applyBorder="1" applyAlignment="1">
      <alignment horizontal="center"/>
    </xf>
    <xf numFmtId="166" fontId="2" fillId="9" borderId="60" xfId="0" applyNumberFormat="1" applyFont="1" applyFill="1" applyBorder="1" applyAlignment="1">
      <alignment horizontal="center"/>
    </xf>
    <xf numFmtId="2" fontId="0" fillId="9" borderId="11" xfId="0" applyNumberFormat="1" applyFill="1" applyBorder="1" applyAlignment="1">
      <alignment horizontal="center"/>
    </xf>
    <xf numFmtId="2" fontId="0" fillId="9" borderId="12" xfId="0" applyNumberFormat="1" applyFill="1" applyBorder="1" applyAlignment="1">
      <alignment horizontal="center"/>
    </xf>
    <xf numFmtId="2" fontId="0" fillId="9" borderId="6" xfId="0" applyNumberFormat="1" applyFill="1" applyBorder="1" applyAlignment="1">
      <alignment horizontal="center"/>
    </xf>
    <xf numFmtId="2" fontId="0" fillId="9" borderId="7" xfId="0" applyNumberFormat="1" applyFill="1" applyBorder="1" applyAlignment="1">
      <alignment horizontal="center"/>
    </xf>
    <xf numFmtId="2" fontId="0" fillId="15" borderId="4" xfId="0" applyNumberFormat="1" applyFill="1" applyBorder="1" applyAlignment="1">
      <alignment horizontal="center"/>
    </xf>
    <xf numFmtId="2" fontId="0" fillId="15" borderId="5" xfId="0" applyNumberFormat="1" applyFill="1" applyBorder="1" applyAlignment="1">
      <alignment horizontal="center"/>
    </xf>
    <xf numFmtId="0" fontId="11" fillId="5" borderId="0" xfId="0" applyFont="1" applyFill="1" applyBorder="1" applyAlignment="1">
      <alignment horizontal="center"/>
    </xf>
    <xf numFmtId="0" fontId="1" fillId="7" borderId="52" xfId="0" applyFont="1" applyFill="1" applyBorder="1" applyAlignment="1">
      <alignment horizontal="center" vertical="center" wrapText="1"/>
    </xf>
    <xf numFmtId="0" fontId="1" fillId="7" borderId="53" xfId="0" applyFont="1" applyFill="1" applyBorder="1" applyAlignment="1">
      <alignment horizontal="center" vertical="center" wrapText="1"/>
    </xf>
    <xf numFmtId="0" fontId="1" fillId="7" borderId="54" xfId="0" applyFont="1" applyFill="1" applyBorder="1" applyAlignment="1">
      <alignment horizontal="center" vertical="center" wrapText="1"/>
    </xf>
    <xf numFmtId="0" fontId="11" fillId="7" borderId="53" xfId="0" applyFont="1" applyFill="1" applyBorder="1" applyAlignment="1">
      <alignment horizontal="center" vertical="center" wrapText="1"/>
    </xf>
    <xf numFmtId="0" fontId="1" fillId="7" borderId="53" xfId="0" applyFont="1" applyFill="1" applyBorder="1" applyAlignment="1">
      <alignment vertical="center"/>
    </xf>
    <xf numFmtId="0" fontId="1" fillId="7" borderId="5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7" borderId="63" xfId="0" applyFont="1" applyFill="1" applyBorder="1" applyAlignment="1">
      <alignment horizontal="center" vertical="center" wrapText="1"/>
    </xf>
    <xf numFmtId="2" fontId="0" fillId="2" borderId="64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1" fillId="7" borderId="4" xfId="0" applyFont="1" applyFill="1" applyBorder="1" applyAlignment="1">
      <alignment horizontal="center" vertical="center" wrapText="1"/>
    </xf>
    <xf numFmtId="0" fontId="21" fillId="18" borderId="41" xfId="0" applyFont="1" applyFill="1" applyBorder="1" applyAlignment="1">
      <alignment horizontal="center" vertical="center" wrapText="1"/>
    </xf>
    <xf numFmtId="0" fontId="1" fillId="7" borderId="41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2" fontId="1" fillId="7" borderId="41" xfId="0" applyNumberFormat="1" applyFont="1" applyFill="1" applyBorder="1" applyAlignment="1">
      <alignment horizontal="center" vertical="center" wrapText="1"/>
    </xf>
    <xf numFmtId="2" fontId="21" fillId="18" borderId="41" xfId="0" applyNumberFormat="1" applyFont="1" applyFill="1" applyBorder="1" applyAlignment="1">
      <alignment horizontal="center" vertical="center" wrapText="1"/>
    </xf>
    <xf numFmtId="2" fontId="0" fillId="2" borderId="66" xfId="0" applyNumberFormat="1" applyFill="1" applyBorder="1" applyAlignment="1">
      <alignment horizontal="center" vertical="center"/>
    </xf>
    <xf numFmtId="2" fontId="0" fillId="2" borderId="67" xfId="0" applyNumberForma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 wrapText="1"/>
    </xf>
    <xf numFmtId="0" fontId="18" fillId="5" borderId="0" xfId="0" applyFont="1" applyFill="1" applyBorder="1"/>
    <xf numFmtId="2" fontId="18" fillId="5" borderId="0" xfId="0" applyNumberFormat="1" applyFont="1" applyFill="1" applyBorder="1" applyAlignment="1">
      <alignment vertical="center"/>
    </xf>
    <xf numFmtId="2" fontId="11" fillId="15" borderId="58" xfId="0" applyNumberFormat="1" applyFont="1" applyFill="1" applyBorder="1" applyAlignment="1">
      <alignment horizontal="center"/>
    </xf>
    <xf numFmtId="2" fontId="11" fillId="15" borderId="49" xfId="0" applyNumberFormat="1" applyFont="1" applyFill="1" applyBorder="1" applyAlignment="1">
      <alignment horizontal="center"/>
    </xf>
    <xf numFmtId="0" fontId="11" fillId="7" borderId="41" xfId="0" applyFont="1" applyFill="1" applyBorder="1" applyAlignment="1">
      <alignment horizontal="center" vertical="center" wrapText="1"/>
    </xf>
    <xf numFmtId="0" fontId="1" fillId="7" borderId="41" xfId="0" applyFont="1" applyFill="1" applyBorder="1" applyAlignment="1">
      <alignment horizontal="center" vertical="center"/>
    </xf>
    <xf numFmtId="166" fontId="1" fillId="7" borderId="41" xfId="0" applyNumberFormat="1" applyFont="1" applyFill="1" applyBorder="1" applyAlignment="1">
      <alignment horizontal="center" vertical="center"/>
    </xf>
    <xf numFmtId="167" fontId="1" fillId="7" borderId="41" xfId="0" applyNumberFormat="1" applyFont="1" applyFill="1" applyBorder="1" applyAlignment="1">
      <alignment horizontal="center" vertical="center" wrapText="1"/>
    </xf>
    <xf numFmtId="11" fontId="1" fillId="7" borderId="5" xfId="0" applyNumberFormat="1" applyFont="1" applyFill="1" applyBorder="1" applyAlignment="1">
      <alignment horizontal="center" vertical="center" wrapText="1"/>
    </xf>
    <xf numFmtId="0" fontId="21" fillId="18" borderId="69" xfId="0" applyFont="1" applyFill="1" applyBorder="1" applyAlignment="1">
      <alignment horizontal="center" vertical="center" wrapText="1"/>
    </xf>
    <xf numFmtId="0" fontId="1" fillId="7" borderId="64" xfId="0" applyFont="1" applyFill="1" applyBorder="1" applyAlignment="1">
      <alignment horizontal="center" vertical="center"/>
    </xf>
    <xf numFmtId="2" fontId="1" fillId="7" borderId="5" xfId="0" applyNumberFormat="1" applyFont="1" applyFill="1" applyBorder="1" applyAlignment="1">
      <alignment horizontal="center" vertical="center" wrapText="1"/>
    </xf>
    <xf numFmtId="2" fontId="18" fillId="5" borderId="0" xfId="0" applyNumberFormat="1" applyFont="1" applyFill="1" applyBorder="1"/>
    <xf numFmtId="2" fontId="24" fillId="5" borderId="0" xfId="0" applyNumberFormat="1" applyFont="1" applyFill="1" applyBorder="1" applyAlignment="1">
      <alignment wrapText="1"/>
    </xf>
    <xf numFmtId="2" fontId="1" fillId="7" borderId="35" xfId="0" applyNumberFormat="1" applyFont="1" applyFill="1" applyBorder="1" applyAlignment="1">
      <alignment horizontal="center" vertical="center"/>
    </xf>
    <xf numFmtId="2" fontId="0" fillId="9" borderId="10" xfId="0" applyNumberFormat="1" applyFill="1" applyBorder="1" applyAlignment="1">
      <alignment horizontal="center"/>
    </xf>
    <xf numFmtId="168" fontId="0" fillId="2" borderId="42" xfId="0" applyNumberFormat="1" applyFill="1" applyBorder="1" applyAlignment="1">
      <alignment horizontal="center"/>
    </xf>
    <xf numFmtId="11" fontId="0" fillId="2" borderId="51" xfId="0" applyNumberFormat="1" applyFill="1" applyBorder="1" applyAlignment="1">
      <alignment horizontal="center"/>
    </xf>
    <xf numFmtId="11" fontId="0" fillId="2" borderId="42" xfId="0" applyNumberFormat="1" applyFill="1" applyBorder="1" applyAlignment="1">
      <alignment horizontal="center"/>
    </xf>
    <xf numFmtId="2" fontId="0" fillId="4" borderId="15" xfId="0" applyNumberFormat="1" applyFill="1" applyBorder="1" applyAlignment="1">
      <alignment horizontal="center" vertical="center"/>
    </xf>
    <xf numFmtId="2" fontId="0" fillId="2" borderId="14" xfId="0" applyNumberFormat="1" applyFill="1" applyBorder="1" applyAlignment="1">
      <alignment horizontal="center" vertical="center"/>
    </xf>
    <xf numFmtId="2" fontId="0" fillId="15" borderId="65" xfId="0" applyNumberFormat="1" applyFill="1" applyBorder="1" applyAlignment="1">
      <alignment horizontal="center" vertical="center"/>
    </xf>
    <xf numFmtId="2" fontId="0" fillId="4" borderId="11" xfId="0" applyNumberForma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  <xf numFmtId="2" fontId="0" fillId="15" borderId="68" xfId="0" applyNumberFormat="1" applyFill="1" applyBorder="1" applyAlignment="1">
      <alignment horizontal="center" vertical="center"/>
    </xf>
    <xf numFmtId="2" fontId="0" fillId="4" borderId="6" xfId="0" applyNumberFormat="1" applyFill="1" applyBorder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  <xf numFmtId="2" fontId="0" fillId="15" borderId="47" xfId="0" applyNumberFormat="1" applyFill="1" applyBorder="1" applyAlignment="1">
      <alignment horizontal="center" vertical="center"/>
    </xf>
    <xf numFmtId="2" fontId="11" fillId="4" borderId="4" xfId="0" applyNumberFormat="1" applyFont="1" applyFill="1" applyBorder="1" applyAlignment="1">
      <alignment horizontal="center" vertical="center"/>
    </xf>
    <xf numFmtId="1" fontId="0" fillId="2" borderId="5" xfId="0" applyNumberFormat="1" applyFill="1" applyBorder="1" applyAlignment="1">
      <alignment horizontal="center" vertical="center"/>
    </xf>
    <xf numFmtId="2" fontId="11" fillId="4" borderId="11" xfId="0" applyNumberFormat="1" applyFont="1" applyFill="1" applyBorder="1" applyAlignment="1">
      <alignment horizontal="center" vertical="center"/>
    </xf>
    <xf numFmtId="1" fontId="0" fillId="2" borderId="12" xfId="0" applyNumberFormat="1" applyFill="1" applyBorder="1" applyAlignment="1">
      <alignment horizontal="center" vertical="center"/>
    </xf>
    <xf numFmtId="2" fontId="11" fillId="4" borderId="6" xfId="0" applyNumberFormat="1" applyFon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5" fillId="5" borderId="0" xfId="0" applyFont="1" applyFill="1" applyBorder="1" applyAlignment="1"/>
    <xf numFmtId="166" fontId="2" fillId="9" borderId="16" xfId="0" applyNumberFormat="1" applyFont="1" applyFill="1" applyBorder="1" applyAlignment="1">
      <alignment horizontal="center"/>
    </xf>
    <xf numFmtId="2" fontId="0" fillId="15" borderId="36" xfId="0" applyNumberFormat="1" applyFill="1" applyBorder="1" applyAlignment="1">
      <alignment horizontal="center"/>
    </xf>
    <xf numFmtId="2" fontId="0" fillId="15" borderId="44" xfId="0" applyNumberFormat="1" applyFill="1" applyBorder="1" applyAlignment="1">
      <alignment horizontal="center"/>
    </xf>
    <xf numFmtId="2" fontId="0" fillId="15" borderId="35" xfId="0" applyNumberFormat="1" applyFill="1" applyBorder="1" applyAlignment="1">
      <alignment horizontal="center"/>
    </xf>
    <xf numFmtId="9" fontId="0" fillId="9" borderId="37" xfId="0" applyNumberFormat="1" applyFill="1" applyBorder="1" applyAlignment="1">
      <alignment horizontal="center"/>
    </xf>
    <xf numFmtId="9" fontId="0" fillId="9" borderId="42" xfId="0" applyNumberFormat="1" applyFill="1" applyBorder="1" applyAlignment="1">
      <alignment horizontal="center"/>
    </xf>
    <xf numFmtId="2" fontId="18" fillId="5" borderId="0" xfId="0" applyNumberFormat="1" applyFont="1" applyFill="1" applyBorder="1" applyAlignment="1">
      <alignment horizontal="center"/>
    </xf>
    <xf numFmtId="1" fontId="18" fillId="5" borderId="0" xfId="0" applyNumberFormat="1" applyFont="1" applyFill="1" applyBorder="1" applyAlignment="1">
      <alignment horizontal="center"/>
    </xf>
    <xf numFmtId="3" fontId="18" fillId="5" borderId="0" xfId="0" applyNumberFormat="1" applyFont="1" applyFill="1" applyBorder="1" applyAlignment="1">
      <alignment horizontal="center"/>
    </xf>
    <xf numFmtId="168" fontId="0" fillId="5" borderId="0" xfId="0" applyNumberFormat="1" applyFill="1" applyBorder="1" applyAlignment="1">
      <alignment horizontal="center"/>
    </xf>
    <xf numFmtId="166" fontId="0" fillId="5" borderId="0" xfId="0" applyNumberFormat="1" applyFill="1" applyBorder="1"/>
    <xf numFmtId="2" fontId="2" fillId="4" borderId="31" xfId="0" applyNumberFormat="1" applyFont="1" applyFill="1" applyBorder="1" applyAlignment="1">
      <alignment horizontal="center"/>
    </xf>
    <xf numFmtId="2" fontId="2" fillId="4" borderId="25" xfId="0" applyNumberFormat="1" applyFont="1" applyFill="1" applyBorder="1" applyAlignment="1">
      <alignment horizontal="center"/>
    </xf>
    <xf numFmtId="2" fontId="1" fillId="7" borderId="44" xfId="0" applyNumberFormat="1" applyFont="1" applyFill="1" applyBorder="1" applyAlignment="1">
      <alignment horizontal="center" vertical="center"/>
    </xf>
    <xf numFmtId="10" fontId="0" fillId="2" borderId="41" xfId="2" applyNumberFormat="1" applyFont="1" applyFill="1" applyBorder="1" applyAlignment="1">
      <alignment horizontal="center"/>
    </xf>
    <xf numFmtId="10" fontId="0" fillId="2" borderId="5" xfId="2" applyNumberFormat="1" applyFont="1" applyFill="1" applyBorder="1" applyAlignment="1">
      <alignment horizontal="center"/>
    </xf>
    <xf numFmtId="10" fontId="0" fillId="2" borderId="42" xfId="2" applyNumberFormat="1" applyFont="1" applyFill="1" applyBorder="1" applyAlignment="1">
      <alignment horizontal="center"/>
    </xf>
    <xf numFmtId="10" fontId="0" fillId="2" borderId="7" xfId="2" applyNumberFormat="1" applyFont="1" applyFill="1" applyBorder="1" applyAlignment="1">
      <alignment horizontal="center"/>
    </xf>
    <xf numFmtId="2" fontId="0" fillId="4" borderId="51" xfId="0" applyNumberFormat="1" applyFill="1" applyBorder="1" applyAlignment="1">
      <alignment horizontal="center"/>
    </xf>
    <xf numFmtId="165" fontId="27" fillId="18" borderId="38" xfId="0" applyNumberFormat="1" applyFon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0" fontId="0" fillId="5" borderId="0" xfId="0" applyFill="1" applyBorder="1" applyAlignment="1"/>
    <xf numFmtId="1" fontId="0" fillId="3" borderId="58" xfId="0" applyNumberFormat="1" applyFill="1" applyBorder="1" applyAlignment="1">
      <alignment horizontal="center"/>
    </xf>
    <xf numFmtId="1" fontId="0" fillId="3" borderId="55" xfId="0" applyNumberFormat="1" applyFill="1" applyBorder="1" applyAlignment="1">
      <alignment horizontal="center"/>
    </xf>
    <xf numFmtId="1" fontId="0" fillId="3" borderId="49" xfId="0" applyNumberFormat="1" applyFill="1" applyBorder="1" applyAlignment="1">
      <alignment horizontal="center"/>
    </xf>
    <xf numFmtId="2" fontId="0" fillId="9" borderId="37" xfId="0" applyNumberFormat="1" applyFill="1" applyBorder="1" applyAlignment="1">
      <alignment horizontal="center"/>
    </xf>
    <xf numFmtId="2" fontId="0" fillId="9" borderId="11" xfId="0" applyNumberFormat="1" applyFill="1" applyBorder="1" applyAlignment="1">
      <alignment horizontal="center" vertical="center" wrapText="1"/>
    </xf>
    <xf numFmtId="2" fontId="0" fillId="9" borderId="42" xfId="0" applyNumberFormat="1" applyFill="1" applyBorder="1" applyAlignment="1">
      <alignment horizontal="center"/>
    </xf>
    <xf numFmtId="2" fontId="0" fillId="9" borderId="15" xfId="0" applyNumberFormat="1" applyFill="1" applyBorder="1" applyAlignment="1">
      <alignment horizontal="center"/>
    </xf>
    <xf numFmtId="2" fontId="0" fillId="9" borderId="46" xfId="0" applyNumberFormat="1" applyFill="1" applyBorder="1" applyAlignment="1">
      <alignment horizontal="center"/>
    </xf>
    <xf numFmtId="2" fontId="0" fillId="9" borderId="14" xfId="0" applyNumberFormat="1" applyFill="1" applyBorder="1" applyAlignment="1">
      <alignment horizontal="center"/>
    </xf>
    <xf numFmtId="2" fontId="11" fillId="6" borderId="16" xfId="0" applyNumberFormat="1" applyFont="1" applyFill="1" applyBorder="1" applyAlignment="1">
      <alignment horizontal="center"/>
    </xf>
    <xf numFmtId="2" fontId="0" fillId="21" borderId="9" xfId="0" applyNumberFormat="1" applyFont="1" applyFill="1" applyBorder="1" applyAlignment="1">
      <alignment horizontal="center"/>
    </xf>
    <xf numFmtId="2" fontId="0" fillId="21" borderId="38" xfId="0" applyNumberFormat="1" applyFont="1" applyFill="1" applyBorder="1" applyAlignment="1">
      <alignment horizontal="center"/>
    </xf>
    <xf numFmtId="2" fontId="0" fillId="21" borderId="10" xfId="0" applyNumberFormat="1" applyFont="1" applyFill="1" applyBorder="1" applyAlignment="1">
      <alignment horizontal="center"/>
    </xf>
    <xf numFmtId="0" fontId="0" fillId="22" borderId="16" xfId="0" applyFill="1" applyBorder="1" applyAlignment="1">
      <alignment horizontal="center"/>
    </xf>
    <xf numFmtId="2" fontId="0" fillId="4" borderId="11" xfId="0" applyNumberFormat="1" applyFill="1" applyBorder="1" applyAlignment="1">
      <alignment horizontal="center"/>
    </xf>
    <xf numFmtId="2" fontId="1" fillId="7" borderId="3" xfId="0" applyNumberFormat="1" applyFont="1" applyFill="1" applyBorder="1" applyAlignment="1">
      <alignment horizontal="center" vertical="center" wrapText="1"/>
    </xf>
    <xf numFmtId="2" fontId="0" fillId="9" borderId="19" xfId="0" applyNumberFormat="1" applyFill="1" applyBorder="1" applyAlignment="1">
      <alignment horizontal="center"/>
    </xf>
    <xf numFmtId="2" fontId="0" fillId="9" borderId="20" xfId="0" applyNumberFormat="1" applyFill="1" applyBorder="1" applyAlignment="1">
      <alignment horizontal="center"/>
    </xf>
    <xf numFmtId="2" fontId="0" fillId="9" borderId="25" xfId="0" applyNumberFormat="1" applyFill="1" applyBorder="1" applyAlignment="1">
      <alignment horizontal="center"/>
    </xf>
    <xf numFmtId="2" fontId="0" fillId="15" borderId="64" xfId="0" applyNumberFormat="1" applyFill="1" applyBorder="1" applyAlignment="1">
      <alignment horizontal="center"/>
    </xf>
    <xf numFmtId="10" fontId="0" fillId="23" borderId="22" xfId="0" applyNumberFormat="1" applyFont="1" applyFill="1" applyBorder="1" applyAlignment="1">
      <alignment horizontal="center"/>
    </xf>
    <xf numFmtId="10" fontId="0" fillId="23" borderId="17" xfId="0" applyNumberFormat="1" applyFont="1" applyFill="1" applyBorder="1" applyAlignment="1">
      <alignment horizontal="center"/>
    </xf>
    <xf numFmtId="9" fontId="0" fillId="23" borderId="21" xfId="0" applyNumberFormat="1" applyFont="1" applyFill="1" applyBorder="1" applyAlignment="1">
      <alignment horizontal="center"/>
    </xf>
    <xf numFmtId="9" fontId="0" fillId="23" borderId="65" xfId="0" applyNumberFormat="1" applyFont="1" applyFill="1" applyBorder="1" applyAlignment="1">
      <alignment horizontal="center"/>
    </xf>
    <xf numFmtId="10" fontId="0" fillId="23" borderId="68" xfId="0" applyNumberFormat="1" applyFont="1" applyFill="1" applyBorder="1" applyAlignment="1">
      <alignment horizontal="center"/>
    </xf>
    <xf numFmtId="10" fontId="0" fillId="23" borderId="47" xfId="0" applyNumberFormat="1" applyFont="1" applyFill="1" applyBorder="1" applyAlignment="1">
      <alignment horizontal="center"/>
    </xf>
    <xf numFmtId="2" fontId="0" fillId="15" borderId="41" xfId="0" applyNumberFormat="1" applyFill="1" applyBorder="1" applyAlignment="1">
      <alignment horizontal="center"/>
    </xf>
    <xf numFmtId="0" fontId="30" fillId="21" borderId="23" xfId="0" applyFont="1" applyFill="1" applyBorder="1" applyAlignment="1">
      <alignment horizontal="center" vertical="center" wrapText="1"/>
    </xf>
    <xf numFmtId="0" fontId="30" fillId="21" borderId="60" xfId="0" applyFont="1" applyFill="1" applyBorder="1" applyAlignment="1">
      <alignment vertical="center" wrapText="1"/>
    </xf>
    <xf numFmtId="0" fontId="1" fillId="8" borderId="41" xfId="0" applyFont="1" applyFill="1" applyBorder="1" applyAlignment="1">
      <alignment horizontal="center" vertical="center" wrapText="1"/>
    </xf>
    <xf numFmtId="0" fontId="1" fillId="8" borderId="64" xfId="0" applyFont="1" applyFill="1" applyBorder="1" applyAlignment="1">
      <alignment horizontal="center" vertical="center" wrapText="1"/>
    </xf>
    <xf numFmtId="2" fontId="0" fillId="2" borderId="12" xfId="0" applyNumberFormat="1" applyFill="1" applyBorder="1"/>
    <xf numFmtId="2" fontId="0" fillId="2" borderId="7" xfId="0" applyNumberFormat="1" applyFill="1" applyBorder="1" applyAlignment="1">
      <alignment vertical="center" wrapText="1"/>
    </xf>
    <xf numFmtId="2" fontId="0" fillId="14" borderId="0" xfId="0" applyNumberFormat="1" applyFill="1" applyBorder="1"/>
    <xf numFmtId="2" fontId="0" fillId="5" borderId="64" xfId="0" applyNumberFormat="1" applyFill="1" applyBorder="1" applyAlignment="1">
      <alignment horizontal="center"/>
    </xf>
    <xf numFmtId="2" fontId="1" fillId="7" borderId="48" xfId="0" applyNumberFormat="1" applyFont="1" applyFill="1" applyBorder="1" applyAlignment="1">
      <alignment horizontal="center" vertical="center"/>
    </xf>
    <xf numFmtId="2" fontId="0" fillId="5" borderId="51" xfId="0" applyNumberFormat="1" applyFill="1" applyBorder="1" applyAlignment="1">
      <alignment horizontal="center"/>
    </xf>
    <xf numFmtId="2" fontId="0" fillId="4" borderId="51" xfId="0" applyNumberFormat="1" applyFill="1" applyBorder="1" applyAlignment="1">
      <alignment horizontal="center" vertical="center" wrapText="1"/>
    </xf>
    <xf numFmtId="0" fontId="11" fillId="21" borderId="6" xfId="0" applyFont="1" applyFill="1" applyBorder="1" applyAlignment="1">
      <alignment horizontal="center"/>
    </xf>
    <xf numFmtId="0" fontId="11" fillId="21" borderId="7" xfId="0" applyFont="1" applyFill="1" applyBorder="1" applyAlignment="1">
      <alignment horizontal="center"/>
    </xf>
    <xf numFmtId="0" fontId="1" fillId="5" borderId="0" xfId="0" applyFont="1" applyFill="1" applyBorder="1" applyAlignment="1"/>
    <xf numFmtId="2" fontId="0" fillId="2" borderId="49" xfId="0" applyNumberFormat="1" applyFill="1" applyBorder="1" applyAlignment="1">
      <alignment vertical="center"/>
    </xf>
    <xf numFmtId="2" fontId="0" fillId="2" borderId="47" xfId="0" applyNumberFormat="1" applyFill="1" applyBorder="1" applyAlignment="1">
      <alignment vertical="center"/>
    </xf>
    <xf numFmtId="9" fontId="0" fillId="2" borderId="49" xfId="0" applyNumberFormat="1" applyFill="1" applyBorder="1" applyAlignment="1"/>
    <xf numFmtId="9" fontId="0" fillId="2" borderId="47" xfId="0" applyNumberFormat="1" applyFill="1" applyBorder="1" applyAlignment="1"/>
    <xf numFmtId="0" fontId="0" fillId="2" borderId="49" xfId="0" applyFill="1" applyBorder="1" applyAlignment="1"/>
    <xf numFmtId="0" fontId="0" fillId="2" borderId="47" xfId="0" applyFill="1" applyBorder="1" applyAlignment="1"/>
    <xf numFmtId="0" fontId="2" fillId="2" borderId="49" xfId="0" applyFont="1" applyFill="1" applyBorder="1" applyAlignment="1"/>
    <xf numFmtId="0" fontId="2" fillId="2" borderId="47" xfId="0" applyFont="1" applyFill="1" applyBorder="1" applyAlignment="1"/>
    <xf numFmtId="0" fontId="0" fillId="5" borderId="0" xfId="0" applyFill="1" applyAlignment="1">
      <alignment horizontal="center" vertical="center"/>
    </xf>
    <xf numFmtId="0" fontId="0" fillId="9" borderId="8" xfId="0" applyFill="1" applyBorder="1" applyAlignment="1">
      <alignment vertical="center"/>
    </xf>
    <xf numFmtId="0" fontId="0" fillId="9" borderId="60" xfId="0" applyFill="1" applyBorder="1" applyAlignment="1">
      <alignment horizontal="center" vertical="center"/>
    </xf>
    <xf numFmtId="0" fontId="30" fillId="20" borderId="41" xfId="0" applyFont="1" applyFill="1" applyBorder="1" applyAlignment="1">
      <alignment horizontal="center" vertical="center" wrapText="1"/>
    </xf>
    <xf numFmtId="2" fontId="30" fillId="20" borderId="41" xfId="0" applyNumberFormat="1" applyFont="1" applyFill="1" applyBorder="1" applyAlignment="1">
      <alignment horizontal="center" vertical="center" wrapText="1"/>
    </xf>
    <xf numFmtId="0" fontId="11" fillId="21" borderId="51" xfId="0" applyFont="1" applyFill="1" applyBorder="1" applyAlignment="1">
      <alignment horizontal="center"/>
    </xf>
    <xf numFmtId="0" fontId="11" fillId="21" borderId="42" xfId="0" applyFont="1" applyFill="1" applyBorder="1" applyAlignment="1">
      <alignment horizontal="center"/>
    </xf>
    <xf numFmtId="1" fontId="0" fillId="2" borderId="14" xfId="0" applyNumberFormat="1" applyFill="1" applyBorder="1" applyAlignment="1">
      <alignment horizontal="center"/>
    </xf>
    <xf numFmtId="1" fontId="0" fillId="2" borderId="12" xfId="0" applyNumberFormat="1" applyFill="1" applyBorder="1" applyAlignment="1">
      <alignment horizontal="center"/>
    </xf>
    <xf numFmtId="1" fontId="0" fillId="2" borderId="7" xfId="0" applyNumberFormat="1" applyFill="1" applyBorder="1" applyAlignment="1">
      <alignment horizontal="center"/>
    </xf>
    <xf numFmtId="0" fontId="18" fillId="5" borderId="0" xfId="0" applyFont="1" applyFill="1" applyAlignment="1">
      <alignment horizontal="center"/>
    </xf>
    <xf numFmtId="2" fontId="0" fillId="20" borderId="9" xfId="0" applyNumberFormat="1" applyFill="1" applyBorder="1" applyAlignment="1">
      <alignment horizontal="center"/>
    </xf>
    <xf numFmtId="10" fontId="0" fillId="20" borderId="38" xfId="0" applyNumberFormat="1" applyFill="1" applyBorder="1" applyAlignment="1">
      <alignment horizontal="center"/>
    </xf>
    <xf numFmtId="10" fontId="0" fillId="20" borderId="10" xfId="0" applyNumberFormat="1" applyFill="1" applyBorder="1" applyAlignment="1">
      <alignment horizontal="center"/>
    </xf>
    <xf numFmtId="2" fontId="4" fillId="7" borderId="1" xfId="0" applyNumberFormat="1" applyFont="1" applyFill="1" applyBorder="1" applyAlignment="1">
      <alignment horizontal="center" vertical="center" wrapText="1"/>
    </xf>
    <xf numFmtId="2" fontId="4" fillId="7" borderId="3" xfId="0" applyNumberFormat="1" applyFont="1" applyFill="1" applyBorder="1" applyAlignment="1">
      <alignment horizontal="center" vertical="center" wrapText="1"/>
    </xf>
    <xf numFmtId="2" fontId="0" fillId="5" borderId="4" xfId="0" applyNumberFormat="1" applyFill="1" applyBorder="1" applyAlignment="1">
      <alignment horizontal="center" vertical="center" wrapText="1"/>
    </xf>
    <xf numFmtId="2" fontId="0" fillId="5" borderId="6" xfId="0" applyNumberFormat="1" applyFill="1" applyBorder="1" applyAlignment="1">
      <alignment horizontal="center" vertical="center" wrapText="1"/>
    </xf>
    <xf numFmtId="2" fontId="2" fillId="2" borderId="13" xfId="0" applyNumberFormat="1" applyFont="1" applyFill="1" applyBorder="1" applyAlignment="1">
      <alignment horizontal="center"/>
    </xf>
    <xf numFmtId="2" fontId="2" fillId="2" borderId="2" xfId="0" applyNumberFormat="1" applyFont="1" applyFill="1" applyBorder="1" applyAlignment="1">
      <alignment horizontal="center"/>
    </xf>
    <xf numFmtId="2" fontId="2" fillId="2" borderId="3" xfId="0" applyNumberFormat="1" applyFont="1" applyFill="1" applyBorder="1" applyAlignment="1">
      <alignment horizontal="center"/>
    </xf>
    <xf numFmtId="2" fontId="0" fillId="2" borderId="35" xfId="0" applyNumberFormat="1" applyFill="1" applyBorder="1" applyAlignment="1">
      <alignment horizontal="center" vertical="center" wrapText="1"/>
    </xf>
    <xf numFmtId="2" fontId="0" fillId="2" borderId="27" xfId="0" applyNumberFormat="1" applyFill="1" applyBorder="1" applyAlignment="1">
      <alignment horizontal="center" vertical="center" wrapText="1"/>
    </xf>
    <xf numFmtId="2" fontId="1" fillId="7" borderId="1" xfId="0" applyNumberFormat="1" applyFont="1" applyFill="1" applyBorder="1" applyAlignment="1">
      <alignment horizontal="center"/>
    </xf>
    <xf numFmtId="2" fontId="1" fillId="7" borderId="2" xfId="0" applyNumberFormat="1" applyFont="1" applyFill="1" applyBorder="1" applyAlignment="1">
      <alignment horizontal="center"/>
    </xf>
    <xf numFmtId="2" fontId="1" fillId="7" borderId="3" xfId="0" applyNumberFormat="1" applyFont="1" applyFill="1" applyBorder="1" applyAlignment="1">
      <alignment horizontal="center"/>
    </xf>
    <xf numFmtId="2" fontId="1" fillId="7" borderId="30" xfId="0" applyNumberFormat="1" applyFont="1" applyFill="1" applyBorder="1" applyAlignment="1">
      <alignment horizontal="center"/>
    </xf>
    <xf numFmtId="2" fontId="1" fillId="7" borderId="32" xfId="0" applyNumberFormat="1" applyFont="1" applyFill="1" applyBorder="1" applyAlignment="1">
      <alignment horizontal="center"/>
    </xf>
    <xf numFmtId="2" fontId="0" fillId="4" borderId="36" xfId="0" applyNumberFormat="1" applyFill="1" applyBorder="1" applyAlignment="1">
      <alignment horizontal="center" vertical="center" wrapText="1"/>
    </xf>
    <xf numFmtId="2" fontId="0" fillId="4" borderId="26" xfId="0" applyNumberFormat="1" applyFill="1" applyBorder="1" applyAlignment="1">
      <alignment horizontal="center" vertical="center" wrapText="1"/>
    </xf>
    <xf numFmtId="2" fontId="0" fillId="4" borderId="29" xfId="0" applyNumberFormat="1" applyFill="1" applyBorder="1" applyAlignment="1">
      <alignment horizontal="center" vertical="center" wrapText="1"/>
    </xf>
    <xf numFmtId="2" fontId="0" fillId="4" borderId="30" xfId="0" applyNumberFormat="1" applyFill="1" applyBorder="1" applyAlignment="1">
      <alignment horizontal="center" vertical="center" wrapText="1"/>
    </xf>
    <xf numFmtId="2" fontId="0" fillId="2" borderId="5" xfId="0" applyNumberFormat="1" applyFill="1" applyBorder="1" applyAlignment="1">
      <alignment horizontal="center" vertical="center" wrapText="1"/>
    </xf>
    <xf numFmtId="2" fontId="0" fillId="2" borderId="7" xfId="0" applyNumberFormat="1" applyFill="1" applyBorder="1" applyAlignment="1">
      <alignment horizontal="center" vertical="center" wrapText="1"/>
    </xf>
    <xf numFmtId="2" fontId="4" fillId="7" borderId="1" xfId="0" applyNumberFormat="1" applyFont="1" applyFill="1" applyBorder="1" applyAlignment="1">
      <alignment horizontal="center"/>
    </xf>
    <xf numFmtId="2" fontId="4" fillId="7" borderId="3" xfId="0" applyNumberFormat="1" applyFont="1" applyFill="1" applyBorder="1" applyAlignment="1">
      <alignment horizontal="center"/>
    </xf>
    <xf numFmtId="2" fontId="4" fillId="7" borderId="31" xfId="0" applyNumberFormat="1" applyFont="1" applyFill="1" applyBorder="1" applyAlignment="1">
      <alignment horizontal="center"/>
    </xf>
    <xf numFmtId="2" fontId="4" fillId="7" borderId="46" xfId="0" applyNumberFormat="1" applyFont="1" applyFill="1" applyBorder="1" applyAlignment="1">
      <alignment horizontal="center"/>
    </xf>
    <xf numFmtId="2" fontId="4" fillId="7" borderId="14" xfId="0" applyNumberFormat="1" applyFont="1" applyFill="1" applyBorder="1" applyAlignment="1">
      <alignment horizontal="center"/>
    </xf>
    <xf numFmtId="2" fontId="2" fillId="4" borderId="13" xfId="0" applyNumberFormat="1" applyFont="1" applyFill="1" applyBorder="1" applyAlignment="1">
      <alignment horizontal="center"/>
    </xf>
    <xf numFmtId="2" fontId="2" fillId="4" borderId="2" xfId="0" applyNumberFormat="1" applyFont="1" applyFill="1" applyBorder="1" applyAlignment="1">
      <alignment horizontal="center"/>
    </xf>
    <xf numFmtId="2" fontId="2" fillId="4" borderId="3" xfId="0" applyNumberFormat="1" applyFont="1" applyFill="1" applyBorder="1" applyAlignment="1">
      <alignment horizontal="center"/>
    </xf>
    <xf numFmtId="2" fontId="1" fillId="5" borderId="0" xfId="0" applyNumberFormat="1" applyFon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5" fillId="8" borderId="1" xfId="1" applyNumberFormat="1" applyFont="1" applyFill="1" applyBorder="1" applyAlignment="1">
      <alignment horizontal="center"/>
    </xf>
    <xf numFmtId="2" fontId="5" fillId="8" borderId="2" xfId="1" applyNumberFormat="1" applyFont="1" applyFill="1" applyBorder="1" applyAlignment="1">
      <alignment horizontal="center"/>
    </xf>
    <xf numFmtId="2" fontId="5" fillId="8" borderId="8" xfId="1" applyNumberFormat="1" applyFont="1" applyFill="1" applyBorder="1" applyAlignment="1">
      <alignment horizontal="center"/>
    </xf>
    <xf numFmtId="2" fontId="5" fillId="8" borderId="39" xfId="1" applyNumberFormat="1" applyFont="1" applyFill="1" applyBorder="1" applyAlignment="1">
      <alignment horizontal="center"/>
    </xf>
    <xf numFmtId="2" fontId="4" fillId="7" borderId="4" xfId="0" applyNumberFormat="1" applyFont="1" applyFill="1" applyBorder="1" applyAlignment="1">
      <alignment horizontal="center"/>
    </xf>
    <xf numFmtId="2" fontId="4" fillId="7" borderId="41" xfId="0" applyNumberFormat="1" applyFont="1" applyFill="1" applyBorder="1" applyAlignment="1">
      <alignment horizontal="center"/>
    </xf>
    <xf numFmtId="2" fontId="4" fillId="7" borderId="5" xfId="0" applyNumberFormat="1" applyFont="1" applyFill="1" applyBorder="1" applyAlignment="1">
      <alignment horizontal="center"/>
    </xf>
    <xf numFmtId="2" fontId="2" fillId="2" borderId="8" xfId="0" applyNumberFormat="1" applyFont="1" applyFill="1" applyBorder="1" applyAlignment="1">
      <alignment horizontal="center"/>
    </xf>
    <xf numFmtId="2" fontId="4" fillId="7" borderId="2" xfId="0" applyNumberFormat="1" applyFont="1" applyFill="1" applyBorder="1" applyAlignment="1">
      <alignment horizontal="center"/>
    </xf>
    <xf numFmtId="2" fontId="1" fillId="7" borderId="28" xfId="0" applyNumberFormat="1" applyFont="1" applyFill="1" applyBorder="1" applyAlignment="1">
      <alignment horizontal="center"/>
    </xf>
    <xf numFmtId="2" fontId="1" fillId="7" borderId="31" xfId="0" applyNumberFormat="1" applyFont="1" applyFill="1" applyBorder="1" applyAlignment="1">
      <alignment horizontal="center"/>
    </xf>
    <xf numFmtId="2" fontId="1" fillId="7" borderId="14" xfId="0" applyNumberFormat="1" applyFont="1" applyFill="1" applyBorder="1" applyAlignment="1">
      <alignment horizontal="center"/>
    </xf>
    <xf numFmtId="2" fontId="0" fillId="5" borderId="0" xfId="0" applyNumberFormat="1" applyFill="1" applyBorder="1" applyAlignment="1">
      <alignment horizontal="center" vertical="top" wrapText="1"/>
    </xf>
    <xf numFmtId="2" fontId="0" fillId="5" borderId="0" xfId="0" applyNumberFormat="1" applyFill="1" applyBorder="1" applyAlignment="1">
      <alignment horizontal="center" vertical="center" wrapText="1"/>
    </xf>
    <xf numFmtId="2" fontId="1" fillId="7" borderId="58" xfId="0" applyNumberFormat="1" applyFont="1" applyFill="1" applyBorder="1" applyAlignment="1">
      <alignment horizontal="center"/>
    </xf>
    <xf numFmtId="2" fontId="1" fillId="7" borderId="65" xfId="0" applyNumberFormat="1" applyFont="1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16" fillId="15" borderId="29" xfId="3" applyFont="1" applyFill="1" applyBorder="1" applyAlignment="1">
      <alignment horizontal="center" vertical="center" wrapText="1"/>
    </xf>
    <xf numFmtId="0" fontId="16" fillId="15" borderId="39" xfId="3" applyFont="1" applyFill="1" applyBorder="1" applyAlignment="1">
      <alignment horizontal="center" vertical="center" wrapText="1"/>
    </xf>
    <xf numFmtId="0" fontId="16" fillId="15" borderId="34" xfId="3" applyFont="1" applyFill="1" applyBorder="1" applyAlignment="1">
      <alignment horizontal="center" vertical="center" wrapText="1"/>
    </xf>
    <xf numFmtId="0" fontId="16" fillId="15" borderId="33" xfId="3" applyFont="1" applyFill="1" applyBorder="1" applyAlignment="1">
      <alignment horizontal="center" vertical="center" wrapText="1"/>
    </xf>
    <xf numFmtId="0" fontId="16" fillId="15" borderId="30" xfId="3" applyFont="1" applyFill="1" applyBorder="1" applyAlignment="1">
      <alignment horizontal="center" vertical="center" wrapText="1"/>
    </xf>
    <xf numFmtId="0" fontId="16" fillId="15" borderId="32" xfId="3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23" fillId="11" borderId="1" xfId="0" applyFont="1" applyFill="1" applyBorder="1" applyAlignment="1">
      <alignment horizontal="center" vertical="center"/>
    </xf>
    <xf numFmtId="0" fontId="23" fillId="11" borderId="2" xfId="0" applyFont="1" applyFill="1" applyBorder="1" applyAlignment="1">
      <alignment horizontal="center" vertical="center"/>
    </xf>
    <xf numFmtId="0" fontId="23" fillId="11" borderId="3" xfId="0" applyFont="1" applyFill="1" applyBorder="1" applyAlignment="1">
      <alignment horizontal="center" vertical="center"/>
    </xf>
    <xf numFmtId="1" fontId="2" fillId="2" borderId="49" xfId="0" applyNumberFormat="1" applyFont="1" applyFill="1" applyBorder="1" applyAlignment="1">
      <alignment horizontal="center"/>
    </xf>
    <xf numFmtId="1" fontId="2" fillId="2" borderId="47" xfId="0" applyNumberFormat="1" applyFont="1" applyFill="1" applyBorder="1" applyAlignment="1">
      <alignment horizontal="center"/>
    </xf>
    <xf numFmtId="0" fontId="1" fillId="7" borderId="29" xfId="0" applyFont="1" applyFill="1" applyBorder="1" applyAlignment="1">
      <alignment horizontal="center" vertical="center" wrapText="1"/>
    </xf>
    <xf numFmtId="0" fontId="1" fillId="7" borderId="39" xfId="0" applyFont="1" applyFill="1" applyBorder="1" applyAlignment="1">
      <alignment horizontal="center" vertical="center" wrapText="1"/>
    </xf>
    <xf numFmtId="0" fontId="1" fillId="7" borderId="56" xfId="0" applyFont="1" applyFill="1" applyBorder="1" applyAlignment="1">
      <alignment horizontal="center" vertical="center" wrapText="1"/>
    </xf>
    <xf numFmtId="0" fontId="1" fillId="7" borderId="62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/>
    </xf>
    <xf numFmtId="0" fontId="12" fillId="8" borderId="2" xfId="0" applyFont="1" applyFill="1" applyBorder="1" applyAlignment="1">
      <alignment horizontal="center"/>
    </xf>
    <xf numFmtId="0" fontId="12" fillId="8" borderId="3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1" fillId="7" borderId="29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7" borderId="39" xfId="0" applyFont="1" applyFill="1" applyBorder="1" applyAlignment="1">
      <alignment horizontal="center"/>
    </xf>
    <xf numFmtId="0" fontId="1" fillId="7" borderId="34" xfId="0" applyFont="1" applyFill="1" applyBorder="1" applyAlignment="1">
      <alignment horizontal="center" vertical="center" wrapText="1"/>
    </xf>
    <xf numFmtId="0" fontId="1" fillId="7" borderId="33" xfId="0" applyFont="1" applyFill="1" applyBorder="1" applyAlignment="1">
      <alignment horizontal="center" vertical="center" wrapText="1"/>
    </xf>
    <xf numFmtId="2" fontId="1" fillId="16" borderId="15" xfId="0" applyNumberFormat="1" applyFont="1" applyFill="1" applyBorder="1" applyAlignment="1">
      <alignment horizontal="center"/>
    </xf>
    <xf numFmtId="2" fontId="1" fillId="16" borderId="14" xfId="0" applyNumberFormat="1" applyFont="1" applyFill="1" applyBorder="1" applyAlignment="1">
      <alignment horizontal="center"/>
    </xf>
    <xf numFmtId="9" fontId="0" fillId="2" borderId="6" xfId="0" applyNumberFormat="1" applyFill="1" applyBorder="1" applyAlignment="1">
      <alignment horizontal="center"/>
    </xf>
    <xf numFmtId="9" fontId="0" fillId="2" borderId="7" xfId="0" applyNumberFormat="1" applyFill="1" applyBorder="1" applyAlignment="1">
      <alignment horizontal="center"/>
    </xf>
    <xf numFmtId="0" fontId="1" fillId="16" borderId="4" xfId="0" applyFont="1" applyFill="1" applyBorder="1" applyAlignment="1">
      <alignment horizontal="center"/>
    </xf>
    <xf numFmtId="0" fontId="1" fillId="16" borderId="5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9" fillId="7" borderId="1" xfId="0" applyFont="1" applyFill="1" applyBorder="1" applyAlignment="1">
      <alignment horizontal="center"/>
    </xf>
    <xf numFmtId="0" fontId="19" fillId="7" borderId="2" xfId="0" applyFont="1" applyFill="1" applyBorder="1" applyAlignment="1">
      <alignment horizontal="center"/>
    </xf>
    <xf numFmtId="0" fontId="19" fillId="7" borderId="3" xfId="0" applyFont="1" applyFill="1" applyBorder="1" applyAlignment="1">
      <alignment horizontal="center"/>
    </xf>
    <xf numFmtId="2" fontId="1" fillId="7" borderId="1" xfId="0" applyNumberFormat="1" applyFont="1" applyFill="1" applyBorder="1" applyAlignment="1">
      <alignment horizontal="center" vertical="center" wrapText="1"/>
    </xf>
    <xf numFmtId="2" fontId="1" fillId="7" borderId="2" xfId="0" applyNumberFormat="1" applyFont="1" applyFill="1" applyBorder="1" applyAlignment="1">
      <alignment horizontal="center" vertical="center" wrapText="1"/>
    </xf>
    <xf numFmtId="2" fontId="1" fillId="7" borderId="3" xfId="0" applyNumberFormat="1" applyFont="1" applyFill="1" applyBorder="1" applyAlignment="1">
      <alignment horizontal="center" vertical="center" wrapText="1"/>
    </xf>
    <xf numFmtId="0" fontId="1" fillId="7" borderId="34" xfId="0" applyFont="1" applyFill="1" applyBorder="1" applyAlignment="1">
      <alignment horizontal="center" wrapText="1"/>
    </xf>
    <xf numFmtId="0" fontId="1" fillId="7" borderId="0" xfId="0" applyFont="1" applyFill="1" applyBorder="1" applyAlignment="1">
      <alignment horizontal="center" wrapText="1"/>
    </xf>
    <xf numFmtId="0" fontId="1" fillId="7" borderId="33" xfId="0" applyFont="1" applyFill="1" applyBorder="1" applyAlignment="1">
      <alignment horizontal="center" wrapText="1"/>
    </xf>
    <xf numFmtId="2" fontId="0" fillId="2" borderId="1" xfId="0" applyNumberForma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" fillId="16" borderId="4" xfId="0" applyFont="1" applyFill="1" applyBorder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 wrapText="1"/>
    </xf>
    <xf numFmtId="0" fontId="1" fillId="16" borderId="11" xfId="0" applyFont="1" applyFill="1" applyBorder="1" applyAlignment="1">
      <alignment horizontal="center" vertical="center" wrapText="1"/>
    </xf>
    <xf numFmtId="0" fontId="1" fillId="16" borderId="12" xfId="0" applyFont="1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/>
    </xf>
    <xf numFmtId="0" fontId="0" fillId="19" borderId="3" xfId="0" applyFill="1" applyBorder="1" applyAlignment="1">
      <alignment horizontal="center"/>
    </xf>
    <xf numFmtId="0" fontId="0" fillId="19" borderId="1" xfId="0" applyFont="1" applyFill="1" applyBorder="1" applyAlignment="1">
      <alignment horizontal="center"/>
    </xf>
    <xf numFmtId="0" fontId="0" fillId="19" borderId="3" xfId="0" applyFont="1" applyFill="1" applyBorder="1" applyAlignment="1">
      <alignment horizontal="center"/>
    </xf>
    <xf numFmtId="0" fontId="29" fillId="19" borderId="1" xfId="0" applyFont="1" applyFill="1" applyBorder="1" applyAlignment="1">
      <alignment horizontal="center"/>
    </xf>
    <xf numFmtId="0" fontId="29" fillId="19" borderId="2" xfId="0" applyFont="1" applyFill="1" applyBorder="1" applyAlignment="1">
      <alignment horizontal="center"/>
    </xf>
    <xf numFmtId="0" fontId="29" fillId="19" borderId="3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19" borderId="29" xfId="0" applyFill="1" applyBorder="1" applyAlignment="1">
      <alignment horizontal="center"/>
    </xf>
    <xf numFmtId="0" fontId="0" fillId="19" borderId="39" xfId="0" applyFill="1" applyBorder="1" applyAlignment="1">
      <alignment horizontal="center"/>
    </xf>
    <xf numFmtId="0" fontId="22" fillId="15" borderId="1" xfId="0" applyFont="1" applyFill="1" applyBorder="1" applyAlignment="1">
      <alignment horizontal="center"/>
    </xf>
    <xf numFmtId="0" fontId="22" fillId="15" borderId="2" xfId="0" applyFont="1" applyFill="1" applyBorder="1" applyAlignment="1">
      <alignment horizontal="center"/>
    </xf>
    <xf numFmtId="0" fontId="22" fillId="15" borderId="3" xfId="0" applyFont="1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12" fillId="8" borderId="29" xfId="0" applyFont="1" applyFill="1" applyBorder="1" applyAlignment="1">
      <alignment horizontal="center"/>
    </xf>
    <xf numFmtId="0" fontId="12" fillId="8" borderId="8" xfId="0" applyFont="1" applyFill="1" applyBorder="1" applyAlignment="1">
      <alignment horizontal="center"/>
    </xf>
    <xf numFmtId="0" fontId="0" fillId="9" borderId="2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16" borderId="58" xfId="0" applyFont="1" applyFill="1" applyBorder="1" applyAlignment="1">
      <alignment horizontal="center" vertical="center" wrapText="1"/>
    </xf>
    <xf numFmtId="0" fontId="1" fillId="16" borderId="65" xfId="0" applyFont="1" applyFill="1" applyBorder="1" applyAlignment="1">
      <alignment horizontal="center" vertical="center" wrapText="1"/>
    </xf>
    <xf numFmtId="2" fontId="1" fillId="16" borderId="58" xfId="0" applyNumberFormat="1" applyFont="1" applyFill="1" applyBorder="1" applyAlignment="1">
      <alignment horizontal="center" vertical="center"/>
    </xf>
    <xf numFmtId="2" fontId="1" fillId="16" borderId="65" xfId="0" applyNumberFormat="1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/>
    </xf>
    <xf numFmtId="0" fontId="18" fillId="5" borderId="0" xfId="0" applyFont="1" applyFill="1" applyBorder="1" applyAlignment="1">
      <alignment horizontal="center"/>
    </xf>
    <xf numFmtId="0" fontId="19" fillId="7" borderId="1" xfId="0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/>
    </xf>
    <xf numFmtId="0" fontId="1" fillId="16" borderId="29" xfId="0" applyFont="1" applyFill="1" applyBorder="1" applyAlignment="1">
      <alignment horizontal="center" vertical="center" wrapText="1"/>
    </xf>
    <xf numFmtId="0" fontId="1" fillId="16" borderId="39" xfId="0" applyFont="1" applyFill="1" applyBorder="1" applyAlignment="1">
      <alignment horizontal="center" vertical="center" wrapText="1"/>
    </xf>
    <xf numFmtId="0" fontId="1" fillId="16" borderId="30" xfId="0" applyFont="1" applyFill="1" applyBorder="1" applyAlignment="1">
      <alignment horizontal="center" vertical="center" wrapText="1"/>
    </xf>
    <xf numFmtId="0" fontId="1" fillId="16" borderId="32" xfId="0" applyFont="1" applyFill="1" applyBorder="1" applyAlignment="1">
      <alignment horizontal="center" vertical="center" wrapText="1"/>
    </xf>
    <xf numFmtId="0" fontId="1" fillId="16" borderId="58" xfId="0" applyFont="1" applyFill="1" applyBorder="1" applyAlignment="1">
      <alignment horizontal="center"/>
    </xf>
    <xf numFmtId="0" fontId="1" fillId="16" borderId="65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11" fillId="19" borderId="2" xfId="0" applyFont="1" applyFill="1" applyBorder="1" applyAlignment="1">
      <alignment horizontal="center"/>
    </xf>
    <xf numFmtId="0" fontId="11" fillId="19" borderId="3" xfId="0" applyFont="1" applyFill="1" applyBorder="1" applyAlignment="1">
      <alignment horizontal="center"/>
    </xf>
    <xf numFmtId="0" fontId="26" fillId="6" borderId="1" xfId="0" applyFont="1" applyFill="1" applyBorder="1" applyAlignment="1">
      <alignment horizontal="center"/>
    </xf>
    <xf numFmtId="0" fontId="26" fillId="6" borderId="2" xfId="0" applyFont="1" applyFill="1" applyBorder="1" applyAlignment="1">
      <alignment horizontal="center"/>
    </xf>
    <xf numFmtId="0" fontId="26" fillId="6" borderId="3" xfId="0" applyFont="1" applyFill="1" applyBorder="1" applyAlignment="1">
      <alignment horizontal="center"/>
    </xf>
    <xf numFmtId="0" fontId="16" fillId="9" borderId="29" xfId="0" applyFont="1" applyFill="1" applyBorder="1" applyAlignment="1">
      <alignment horizontal="center" vertical="center" wrapText="1" readingOrder="1"/>
    </xf>
    <xf numFmtId="0" fontId="16" fillId="9" borderId="8" xfId="0" applyFont="1" applyFill="1" applyBorder="1" applyAlignment="1">
      <alignment horizontal="center" vertical="center" wrapText="1" readingOrder="1"/>
    </xf>
    <xf numFmtId="0" fontId="16" fillId="9" borderId="39" xfId="0" applyFont="1" applyFill="1" applyBorder="1" applyAlignment="1">
      <alignment horizontal="center" vertical="center" wrapText="1" readingOrder="1"/>
    </xf>
    <xf numFmtId="0" fontId="16" fillId="9" borderId="34" xfId="0" applyFont="1" applyFill="1" applyBorder="1" applyAlignment="1">
      <alignment horizontal="center" vertical="center" wrapText="1" readingOrder="1"/>
    </xf>
    <xf numFmtId="0" fontId="16" fillId="9" borderId="0" xfId="0" applyFont="1" applyFill="1" applyBorder="1" applyAlignment="1">
      <alignment horizontal="center" vertical="center" wrapText="1" readingOrder="1"/>
    </xf>
    <xf numFmtId="0" fontId="16" fillId="9" borderId="33" xfId="0" applyFont="1" applyFill="1" applyBorder="1" applyAlignment="1">
      <alignment horizontal="center" vertical="center" wrapText="1" readingOrder="1"/>
    </xf>
    <xf numFmtId="0" fontId="16" fillId="9" borderId="30" xfId="0" applyFont="1" applyFill="1" applyBorder="1" applyAlignment="1">
      <alignment horizontal="center" vertical="center" wrapText="1" readingOrder="1"/>
    </xf>
    <xf numFmtId="0" fontId="16" fillId="9" borderId="28" xfId="0" applyFont="1" applyFill="1" applyBorder="1" applyAlignment="1">
      <alignment horizontal="center" vertical="center" wrapText="1" readingOrder="1"/>
    </xf>
    <xf numFmtId="0" fontId="16" fillId="9" borderId="32" xfId="0" applyFont="1" applyFill="1" applyBorder="1" applyAlignment="1">
      <alignment horizontal="center" vertical="center" wrapText="1" readingOrder="1"/>
    </xf>
    <xf numFmtId="0" fontId="2" fillId="9" borderId="29" xfId="0" applyFont="1" applyFill="1" applyBorder="1" applyAlignment="1">
      <alignment horizontal="center" wrapText="1"/>
    </xf>
    <xf numFmtId="0" fontId="2" fillId="9" borderId="8" xfId="0" applyFont="1" applyFill="1" applyBorder="1" applyAlignment="1">
      <alignment horizontal="center" wrapText="1"/>
    </xf>
    <xf numFmtId="0" fontId="2" fillId="9" borderId="39" xfId="0" applyFont="1" applyFill="1" applyBorder="1" applyAlignment="1">
      <alignment horizontal="center" wrapText="1"/>
    </xf>
    <xf numFmtId="0" fontId="2" fillId="9" borderId="34" xfId="0" applyFont="1" applyFill="1" applyBorder="1" applyAlignment="1">
      <alignment horizontal="center" wrapText="1"/>
    </xf>
    <xf numFmtId="0" fontId="2" fillId="9" borderId="0" xfId="0" applyFont="1" applyFill="1" applyBorder="1" applyAlignment="1">
      <alignment horizontal="center" wrapText="1"/>
    </xf>
    <xf numFmtId="0" fontId="2" fillId="9" borderId="33" xfId="0" applyFont="1" applyFill="1" applyBorder="1" applyAlignment="1">
      <alignment horizontal="center" wrapText="1"/>
    </xf>
    <xf numFmtId="0" fontId="2" fillId="9" borderId="30" xfId="0" applyFont="1" applyFill="1" applyBorder="1" applyAlignment="1">
      <alignment horizontal="center" wrapText="1"/>
    </xf>
    <xf numFmtId="0" fontId="2" fillId="9" borderId="28" xfId="0" applyFont="1" applyFill="1" applyBorder="1" applyAlignment="1">
      <alignment horizontal="center" wrapText="1"/>
    </xf>
    <xf numFmtId="0" fontId="2" fillId="9" borderId="32" xfId="0" applyFont="1" applyFill="1" applyBorder="1" applyAlignment="1">
      <alignment horizontal="center" wrapText="1"/>
    </xf>
    <xf numFmtId="0" fontId="6" fillId="14" borderId="34" xfId="0" applyNumberFormat="1" applyFont="1" applyFill="1" applyBorder="1" applyAlignment="1">
      <alignment horizontal="center"/>
    </xf>
    <xf numFmtId="0" fontId="6" fillId="14" borderId="0" xfId="0" applyNumberFormat="1" applyFont="1" applyFill="1" applyBorder="1" applyAlignment="1">
      <alignment horizontal="center"/>
    </xf>
    <xf numFmtId="0" fontId="6" fillId="14" borderId="33" xfId="0" applyNumberFormat="1" applyFont="1" applyFill="1" applyBorder="1" applyAlignment="1">
      <alignment horizontal="center"/>
    </xf>
    <xf numFmtId="0" fontId="6" fillId="14" borderId="30" xfId="0" applyNumberFormat="1" applyFont="1" applyFill="1" applyBorder="1" applyAlignment="1">
      <alignment horizontal="center"/>
    </xf>
    <xf numFmtId="0" fontId="6" fillId="14" borderId="28" xfId="0" applyNumberFormat="1" applyFont="1" applyFill="1" applyBorder="1" applyAlignment="1">
      <alignment horizontal="center"/>
    </xf>
    <xf numFmtId="0" fontId="6" fillId="14" borderId="32" xfId="0" applyNumberFormat="1" applyFont="1" applyFill="1" applyBorder="1" applyAlignment="1">
      <alignment horizontal="center"/>
    </xf>
    <xf numFmtId="0" fontId="9" fillId="7" borderId="1" xfId="0" applyNumberFormat="1" applyFont="1" applyFill="1" applyBorder="1" applyAlignment="1">
      <alignment horizontal="center"/>
    </xf>
    <xf numFmtId="0" fontId="9" fillId="7" borderId="2" xfId="0" applyNumberFormat="1" applyFont="1" applyFill="1" applyBorder="1" applyAlignment="1">
      <alignment horizontal="center"/>
    </xf>
    <xf numFmtId="0" fontId="9" fillId="7" borderId="3" xfId="0" applyNumberFormat="1" applyFont="1" applyFill="1" applyBorder="1" applyAlignment="1">
      <alignment horizontal="center"/>
    </xf>
    <xf numFmtId="0" fontId="6" fillId="14" borderId="29" xfId="0" applyNumberFormat="1" applyFont="1" applyFill="1" applyBorder="1" applyAlignment="1">
      <alignment horizontal="center"/>
    </xf>
    <xf numFmtId="0" fontId="6" fillId="14" borderId="8" xfId="0" applyNumberFormat="1" applyFont="1" applyFill="1" applyBorder="1" applyAlignment="1">
      <alignment horizontal="center"/>
    </xf>
    <xf numFmtId="0" fontId="6" fillId="14" borderId="39" xfId="0" applyNumberFormat="1" applyFont="1" applyFill="1" applyBorder="1" applyAlignment="1">
      <alignment horizontal="center"/>
    </xf>
    <xf numFmtId="0" fontId="9" fillId="7" borderId="34" xfId="0" applyNumberFormat="1" applyFont="1" applyFill="1" applyBorder="1" applyAlignment="1">
      <alignment horizontal="center"/>
    </xf>
    <xf numFmtId="0" fontId="9" fillId="7" borderId="0" xfId="0" applyNumberFormat="1" applyFont="1" applyFill="1" applyBorder="1" applyAlignment="1">
      <alignment horizontal="center"/>
    </xf>
    <xf numFmtId="0" fontId="9" fillId="7" borderId="33" xfId="0" applyNumberFormat="1" applyFont="1" applyFill="1" applyBorder="1" applyAlignment="1">
      <alignment horizontal="center"/>
    </xf>
    <xf numFmtId="0" fontId="9" fillId="16" borderId="1" xfId="0" applyNumberFormat="1" applyFont="1" applyFill="1" applyBorder="1" applyAlignment="1">
      <alignment horizontal="center"/>
    </xf>
    <xf numFmtId="0" fontId="9" fillId="16" borderId="2" xfId="0" applyNumberFormat="1" applyFont="1" applyFill="1" applyBorder="1" applyAlignment="1">
      <alignment horizontal="center"/>
    </xf>
    <xf numFmtId="0" fontId="9" fillId="16" borderId="3" xfId="0" applyNumberFormat="1" applyFont="1" applyFill="1" applyBorder="1" applyAlignment="1">
      <alignment horizontal="center"/>
    </xf>
  </cellXfs>
  <cellStyles count="4">
    <cellStyle name="Hyperlink" xfId="3" builtinId="8"/>
    <cellStyle name="Normal" xfId="0" builtinId="0"/>
    <cellStyle name="Percent" xfId="2" builtinId="5"/>
    <cellStyle name="Title" xfId="1" builtinId="15"/>
  </cellStyles>
  <dxfs count="0"/>
  <tableStyles count="0" defaultTableStyle="TableStyleMedium2" defaultPivotStyle="PivotStyleLight16"/>
  <colors>
    <mruColors>
      <color rgb="FF00CCFF"/>
      <color rgb="FF84B093"/>
      <color rgb="FFFBA7FB"/>
      <color rgb="FFDBF4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200" b="1"/>
              <a:t>Flame</a:t>
            </a:r>
            <a:r>
              <a:rPr lang="en-GB" sz="1200" b="1" baseline="0"/>
              <a:t> Temperature with Pressure Increase at Different Fuel Equivalence Ratio's</a:t>
            </a:r>
            <a:endParaRPr lang="en-GB" sz="1200" b="1"/>
          </a:p>
        </c:rich>
      </c:tx>
      <c:layout>
        <c:manualLayout>
          <c:xMode val="edge"/>
          <c:yMode val="edge"/>
          <c:x val="0.12376550180736248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5452975057882"/>
          <c:y val="0.13534340738573133"/>
          <c:w val="0.84378736547911859"/>
          <c:h val="0.6438478734614232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'NOx PPM'!$L$5</c:f>
              <c:strCache>
                <c:ptCount val="1"/>
                <c:pt idx="0">
                  <c:v>0.60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PPM'!$L$7:$L$22</c:f>
              <c:numCache>
                <c:formatCode>0.00</c:formatCode>
                <c:ptCount val="16"/>
                <c:pt idx="0">
                  <c:v>1700.0149962509374</c:v>
                </c:pt>
                <c:pt idx="1">
                  <c:v>1745.6521987981773</c:v>
                </c:pt>
                <c:pt idx="2">
                  <c:v>1785.1924075111308</c:v>
                </c:pt>
                <c:pt idx="3">
                  <c:v>1820.1668959652875</c:v>
                </c:pt>
                <c:pt idx="4">
                  <c:v>1851.5848950807576</c:v>
                </c:pt>
                <c:pt idx="5">
                  <c:v>1880.148504070806</c:v>
                </c:pt>
                <c:pt idx="6">
                  <c:v>1906.3668405778192</c:v>
                </c:pt>
                <c:pt idx="7">
                  <c:v>1930.621422420583</c:v>
                </c:pt>
                <c:pt idx="8">
                  <c:v>1953.2058897428753</c:v>
                </c:pt>
                <c:pt idx="9">
                  <c:v>1974.3513097605492</c:v>
                </c:pt>
                <c:pt idx="10">
                  <c:v>1994.242938566407</c:v>
                </c:pt>
                <c:pt idx="11">
                  <c:v>2013.0316933411291</c:v>
                </c:pt>
                <c:pt idx="12">
                  <c:v>2030.8422258663222</c:v>
                </c:pt>
                <c:pt idx="13">
                  <c:v>2047.7787421425326</c:v>
                </c:pt>
                <c:pt idx="14">
                  <c:v>2063.9292858834046</c:v>
                </c:pt>
                <c:pt idx="15">
                  <c:v>2079.3689497771338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D05-4564-B654-F119B7EF1E3A}"/>
            </c:ext>
          </c:extLst>
        </c:ser>
        <c:ser>
          <c:idx val="1"/>
          <c:order val="1"/>
          <c:tx>
            <c:strRef>
              <c:f>'NOx PPM'!$M$5</c:f>
              <c:strCache>
                <c:ptCount val="1"/>
                <c:pt idx="0">
                  <c:v>0.65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PPM'!$M$7:$M$22</c:f>
              <c:numCache>
                <c:formatCode>0.00</c:formatCode>
                <c:ptCount val="16"/>
                <c:pt idx="0">
                  <c:v>1793.8068065191512</c:v>
                </c:pt>
                <c:pt idx="1">
                  <c:v>1841.9618667628952</c:v>
                </c:pt>
                <c:pt idx="2">
                  <c:v>1883.6835549108828</c:v>
                </c:pt>
                <c:pt idx="3">
                  <c:v>1920.5876266878654</c:v>
                </c:pt>
                <c:pt idx="4">
                  <c:v>1953.7389934609996</c:v>
                </c:pt>
                <c:pt idx="5">
                  <c:v>1983.8784900760854</c:v>
                </c:pt>
                <c:pt idx="6">
                  <c:v>2011.5433227896831</c:v>
                </c:pt>
                <c:pt idx="7">
                  <c:v>2037.1360582036496</c:v>
                </c:pt>
                <c:pt idx="8">
                  <c:v>2060.9665369310014</c:v>
                </c:pt>
                <c:pt idx="9">
                  <c:v>2083.278574435411</c:v>
                </c:pt>
                <c:pt idx="10">
                  <c:v>2104.2676476044062</c:v>
                </c:pt>
                <c:pt idx="11">
                  <c:v>2124.092999895558</c:v>
                </c:pt>
                <c:pt idx="12">
                  <c:v>2142.8861602746601</c:v>
                </c:pt>
                <c:pt idx="13">
                  <c:v>2160.7570839088562</c:v>
                </c:pt>
                <c:pt idx="14">
                  <c:v>2177.7986719861683</c:v>
                </c:pt>
                <c:pt idx="15">
                  <c:v>2194.0901601459891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D05-4564-B654-F119B7EF1E3A}"/>
            </c:ext>
          </c:extLst>
        </c:ser>
        <c:ser>
          <c:idx val="2"/>
          <c:order val="2"/>
          <c:tx>
            <c:strRef>
              <c:f>'NOx PPM'!$N$5</c:f>
              <c:strCache>
                <c:ptCount val="1"/>
                <c:pt idx="0">
                  <c:v>0.70</c:v>
                </c:pt>
              </c:strCache>
            </c:strRef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PPM'!$N$7:$N$22</c:f>
              <c:numCache>
                <c:formatCode>0.00</c:formatCode>
                <c:ptCount val="16"/>
                <c:pt idx="0">
                  <c:v>1885.2733817890901</c:v>
                </c:pt>
                <c:pt idx="1">
                  <c:v>1935.8838783855172</c:v>
                </c:pt>
                <c:pt idx="2">
                  <c:v>1979.7329639296502</c:v>
                </c:pt>
                <c:pt idx="3">
                  <c:v>2018.5187818605048</c:v>
                </c:pt>
                <c:pt idx="4">
                  <c:v>2053.36054359325</c:v>
                </c:pt>
                <c:pt idx="5">
                  <c:v>2085.0368592937152</c:v>
                </c:pt>
                <c:pt idx="6">
                  <c:v>2114.1123274751531</c:v>
                </c:pt>
                <c:pt idx="7">
                  <c:v>2141.010041692633</c:v>
                </c:pt>
                <c:pt idx="8">
                  <c:v>2166.0556413952831</c:v>
                </c:pt>
                <c:pt idx="9">
                  <c:v>2189.5053742470436</c:v>
                </c:pt>
                <c:pt idx="10">
                  <c:v>2211.5646845418437</c:v>
                </c:pt>
                <c:pt idx="11">
                  <c:v>2232.4009355936655</c:v>
                </c:pt>
                <c:pt idx="12">
                  <c:v>2252.1523630571201</c:v>
                </c:pt>
                <c:pt idx="13">
                  <c:v>2270.9345287357714</c:v>
                </c:pt>
                <c:pt idx="14">
                  <c:v>2288.8450708681844</c:v>
                </c:pt>
                <c:pt idx="15">
                  <c:v>2305.9672653351804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D05-4564-B654-F119B7EF1E3A}"/>
            </c:ext>
          </c:extLst>
        </c:ser>
        <c:ser>
          <c:idx val="3"/>
          <c:order val="3"/>
          <c:tx>
            <c:strRef>
              <c:f>'NOx PPM'!$O$5</c:f>
              <c:strCache>
                <c:ptCount val="1"/>
                <c:pt idx="0">
                  <c:v>0.75</c:v>
                </c:pt>
              </c:strCache>
            </c:strRef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PPM'!$O$7:$O$22</c:f>
              <c:numCache>
                <c:formatCode>0.00</c:formatCode>
                <c:ptCount val="16"/>
                <c:pt idx="0">
                  <c:v>1974.4966276286123</c:v>
                </c:pt>
                <c:pt idx="1">
                  <c:v>2027.5023380033153</c:v>
                </c:pt>
                <c:pt idx="2">
                  <c:v>2073.4266439251051</c:v>
                </c:pt>
                <c:pt idx="3">
                  <c:v>2114.0480558879763</c:v>
                </c:pt>
                <c:pt idx="4">
                  <c:v>2150.5387535801383</c:v>
                </c:pt>
                <c:pt idx="5">
                  <c:v>2183.7141960016052</c:v>
                </c:pt>
                <c:pt idx="6">
                  <c:v>2214.1657020937832</c:v>
                </c:pt>
                <c:pt idx="7">
                  <c:v>2242.3363889163661</c:v>
                </c:pt>
                <c:pt idx="8">
                  <c:v>2268.5673072688492</c:v>
                </c:pt>
                <c:pt idx="9">
                  <c:v>2293.1268321005496</c:v>
                </c:pt>
                <c:pt idx="10">
                  <c:v>2316.2301306489871</c:v>
                </c:pt>
                <c:pt idx="11">
                  <c:v>2338.052486935163</c:v>
                </c:pt>
                <c:pt idx="12">
                  <c:v>2358.7386788127742</c:v>
                </c:pt>
                <c:pt idx="13">
                  <c:v>2378.4097372122014</c:v>
                </c:pt>
                <c:pt idx="14">
                  <c:v>2397.1679212406048</c:v>
                </c:pt>
                <c:pt idx="15">
                  <c:v>2415.1004479283797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D05-4564-B654-F119B7EF1E3A}"/>
            </c:ext>
          </c:extLst>
        </c:ser>
        <c:ser>
          <c:idx val="4"/>
          <c:order val="4"/>
          <c:tx>
            <c:strRef>
              <c:f>'NOx PPM'!$P$5</c:f>
              <c:strCache>
                <c:ptCount val="1"/>
                <c:pt idx="0">
                  <c:v>0.80</c:v>
                </c:pt>
              </c:strCache>
            </c:strRef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PPM'!$P$7:$P$22</c:f>
              <c:numCache>
                <c:formatCode>0.00</c:formatCode>
                <c:ptCount val="16"/>
                <c:pt idx="0">
                  <c:v>2061.6087277525571</c:v>
                </c:pt>
                <c:pt idx="1">
                  <c:v>2116.9529778262859</c:v>
                </c:pt>
                <c:pt idx="2">
                  <c:v>2164.903401534048</c:v>
                </c:pt>
                <c:pt idx="3">
                  <c:v>2207.316974828861</c:v>
                </c:pt>
                <c:pt idx="4">
                  <c:v>2245.4175923691869</c:v>
                </c:pt>
                <c:pt idx="5">
                  <c:v>2280.0566900947124</c:v>
                </c:pt>
                <c:pt idx="6">
                  <c:v>2311.8516751326169</c:v>
                </c:pt>
                <c:pt idx="7">
                  <c:v>2341.2652142633328</c:v>
                </c:pt>
                <c:pt idx="8">
                  <c:v>2368.6534049828033</c:v>
                </c:pt>
                <c:pt idx="9">
                  <c:v>2394.2964625773348</c:v>
                </c:pt>
                <c:pt idx="10">
                  <c:v>2418.4190471697107</c:v>
                </c:pt>
                <c:pt idx="11">
                  <c:v>2441.2041760730394</c:v>
                </c:pt>
                <c:pt idx="12">
                  <c:v>2462.8030145426028</c:v>
                </c:pt>
                <c:pt idx="13">
                  <c:v>2483.3419332284734</c:v>
                </c:pt>
                <c:pt idx="14">
                  <c:v>2502.9277027702478</c:v>
                </c:pt>
                <c:pt idx="15">
                  <c:v>2521.6513880948332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D05-4564-B654-F119B7EF1E3A}"/>
            </c:ext>
          </c:extLst>
        </c:ser>
        <c:ser>
          <c:idx val="5"/>
          <c:order val="5"/>
          <c:tx>
            <c:strRef>
              <c:f>'NOx PPM'!$Q$5</c:f>
              <c:strCache>
                <c:ptCount val="1"/>
                <c:pt idx="0">
                  <c:v>0.85</c:v>
                </c:pt>
              </c:strCache>
            </c:strRef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PPM'!$Q$7:$Q$22</c:f>
              <c:numCache>
                <c:formatCode>0.00</c:formatCode>
                <c:ptCount val="16"/>
                <c:pt idx="0">
                  <c:v>2146.7698152077946</c:v>
                </c:pt>
                <c:pt idx="1">
                  <c:v>2204.4002297011957</c:v>
                </c:pt>
                <c:pt idx="2">
                  <c:v>2254.3313930963304</c:v>
                </c:pt>
                <c:pt idx="3">
                  <c:v>2298.4969894477135</c:v>
                </c:pt>
                <c:pt idx="4">
                  <c:v>2338.1714701458595</c:v>
                </c:pt>
                <c:pt idx="5">
                  <c:v>2374.2414423099067</c:v>
                </c:pt>
                <c:pt idx="6">
                  <c:v>2407.3498169668019</c:v>
                </c:pt>
                <c:pt idx="7">
                  <c:v>2437.9783727709332</c:v>
                </c:pt>
                <c:pt idx="8">
                  <c:v>2466.4979169202293</c:v>
                </c:pt>
                <c:pt idx="9">
                  <c:v>2493.2002398549926</c:v>
                </c:pt>
                <c:pt idx="10">
                  <c:v>2518.3192819751539</c:v>
                </c:pt>
                <c:pt idx="11">
                  <c:v>2542.0456206866747</c:v>
                </c:pt>
                <c:pt idx="12">
                  <c:v>2564.5366655905032</c:v>
                </c:pt>
                <c:pt idx="13">
                  <c:v>2585.9240074649724</c:v>
                </c:pt>
                <c:pt idx="14">
                  <c:v>2606.3188274392423</c:v>
                </c:pt>
                <c:pt idx="15">
                  <c:v>2625.8159521570287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D05-4564-B654-F119B7EF1E3A}"/>
            </c:ext>
          </c:extLst>
        </c:ser>
        <c:ser>
          <c:idx val="6"/>
          <c:order val="6"/>
          <c:tx>
            <c:strRef>
              <c:f>'NOx PPM'!$R$5</c:f>
              <c:strCache>
                <c:ptCount val="1"/>
                <c:pt idx="0">
                  <c:v>0.90</c:v>
                </c:pt>
              </c:strCache>
            </c:strRef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PPM'!$R$7:$R$22</c:f>
              <c:numCache>
                <c:formatCode>0.00</c:formatCode>
                <c:ptCount val="16"/>
                <c:pt idx="0">
                  <c:v>2229.8080014083216</c:v>
                </c:pt>
                <c:pt idx="1">
                  <c:v>2289.6675906626197</c:v>
                </c:pt>
                <c:pt idx="2">
                  <c:v>2341.5301177344013</c:v>
                </c:pt>
                <c:pt idx="3">
                  <c:v>2387.4040625950206</c:v>
                </c:pt>
                <c:pt idx="4">
                  <c:v>2428.6131730854636</c:v>
                </c:pt>
                <c:pt idx="5">
                  <c:v>2466.0783507548181</c:v>
                </c:pt>
                <c:pt idx="6">
                  <c:v>2500.467374766889</c:v>
                </c:pt>
                <c:pt idx="7">
                  <c:v>2532.2806592279539</c:v>
                </c:pt>
                <c:pt idx="8">
                  <c:v>2561.9033543534965</c:v>
                </c:pt>
                <c:pt idx="9">
                  <c:v>2589.6385371916067</c:v>
                </c:pt>
                <c:pt idx="10">
                  <c:v>2615.729197079997</c:v>
                </c:pt>
                <c:pt idx="11">
                  <c:v>2640.3732830589834</c:v>
                </c:pt>
                <c:pt idx="12">
                  <c:v>2663.7342934157159</c:v>
                </c:pt>
                <c:pt idx="13">
                  <c:v>2685.9489089290851</c:v>
                </c:pt>
                <c:pt idx="14">
                  <c:v>2707.1326112728352</c:v>
                </c:pt>
                <c:pt idx="15">
                  <c:v>2727.3838950351646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D05-4564-B654-F119B7EF1E3A}"/>
            </c:ext>
          </c:extLst>
        </c:ser>
        <c:ser>
          <c:idx val="7"/>
          <c:order val="7"/>
          <c:tx>
            <c:strRef>
              <c:f>'NOx PPM'!$S$5</c:f>
              <c:strCache>
                <c:ptCount val="1"/>
                <c:pt idx="0">
                  <c:v>0.95</c:v>
                </c:pt>
              </c:strCache>
            </c:strRef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PPM'!$S$7:$S$22</c:f>
              <c:numCache>
                <c:formatCode>0.00</c:formatCode>
                <c:ptCount val="16"/>
                <c:pt idx="0">
                  <c:v>2311.1418398717719</c:v>
                </c:pt>
                <c:pt idx="1">
                  <c:v>2373.1848503712276</c:v>
                </c:pt>
                <c:pt idx="2">
                  <c:v>2426.9391001368458</c:v>
                </c:pt>
                <c:pt idx="3">
                  <c:v>2474.4863298805662</c:v>
                </c:pt>
                <c:pt idx="4">
                  <c:v>2517.1985720907514</c:v>
                </c:pt>
                <c:pt idx="5">
                  <c:v>2556.0303188578218</c:v>
                </c:pt>
                <c:pt idx="6">
                  <c:v>2591.6737070672348</c:v>
                </c:pt>
                <c:pt idx="7">
                  <c:v>2624.6474037869848</c:v>
                </c:pt>
                <c:pt idx="8">
                  <c:v>2655.350607861581</c:v>
                </c:pt>
                <c:pt idx="9">
                  <c:v>2684.0974512907756</c:v>
                </c:pt>
                <c:pt idx="10">
                  <c:v>2711.1397866218167</c:v>
                </c:pt>
                <c:pt idx="11">
                  <c:v>2736.6827832275603</c:v>
                </c:pt>
                <c:pt idx="12">
                  <c:v>2760.8959031118834</c:v>
                </c:pt>
                <c:pt idx="13">
                  <c:v>2783.9208125826472</c:v>
                </c:pt>
                <c:pt idx="14">
                  <c:v>2805.8772055900763</c:v>
                </c:pt>
                <c:pt idx="15">
                  <c:v>2826.8671693827769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D05-4564-B654-F119B7EF1E3A}"/>
            </c:ext>
          </c:extLst>
        </c:ser>
        <c:ser>
          <c:idx val="8"/>
          <c:order val="8"/>
          <c:tx>
            <c:strRef>
              <c:f>'NOx PPM'!$T$5</c:f>
              <c:strCache>
                <c:ptCount val="1"/>
                <c:pt idx="0">
                  <c:v>0.96</c:v>
                </c:pt>
              </c:strCache>
            </c:strRef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PPM'!$T$7:$T$22</c:f>
              <c:numCache>
                <c:formatCode>0.00</c:formatCode>
                <c:ptCount val="16"/>
                <c:pt idx="0">
                  <c:v>2327.1378320129256</c:v>
                </c:pt>
                <c:pt idx="1">
                  <c:v>2389.6102577439524</c:v>
                </c:pt>
                <c:pt idx="2">
                  <c:v>2443.7365541498807</c:v>
                </c:pt>
                <c:pt idx="3">
                  <c:v>2491.6128701920675</c:v>
                </c:pt>
                <c:pt idx="4">
                  <c:v>2534.6207345397343</c:v>
                </c:pt>
                <c:pt idx="5">
                  <c:v>2573.7212455623762</c:v>
                </c:pt>
                <c:pt idx="6">
                  <c:v>2609.6113305983731</c:v>
                </c:pt>
                <c:pt idx="7">
                  <c:v>2642.8132465405415</c:v>
                </c:pt>
                <c:pt idx="8">
                  <c:v>2673.7289551886834</c:v>
                </c:pt>
                <c:pt idx="9">
                  <c:v>2702.6747627288828</c:v>
                </c:pt>
                <c:pt idx="10">
                  <c:v>2729.9042648430141</c:v>
                </c:pt>
                <c:pt idx="11">
                  <c:v>2755.624050932604</c:v>
                </c:pt>
                <c:pt idx="12">
                  <c:v>2780.0047558905476</c:v>
                </c:pt>
                <c:pt idx="13">
                  <c:v>2803.1890265327424</c:v>
                </c:pt>
                <c:pt idx="14">
                  <c:v>2825.2973852412529</c:v>
                </c:pt>
                <c:pt idx="15">
                  <c:v>2846.4326258361293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D05-4564-B654-F119B7EF1E3A}"/>
            </c:ext>
          </c:extLst>
        </c:ser>
        <c:ser>
          <c:idx val="9"/>
          <c:order val="9"/>
          <c:tx>
            <c:strRef>
              <c:f>'NOx PPM'!$U$5</c:f>
              <c:strCache>
                <c:ptCount val="1"/>
                <c:pt idx="0">
                  <c:v>0.97</c:v>
                </c:pt>
              </c:strCache>
            </c:strRef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PPM'!$U$7:$U$22</c:f>
              <c:numCache>
                <c:formatCode>0.00</c:formatCode>
                <c:ptCount val="16"/>
                <c:pt idx="0">
                  <c:v>2343.0754100788636</c:v>
                </c:pt>
                <c:pt idx="1">
                  <c:v>2405.9756829053053</c:v>
                </c:pt>
                <c:pt idx="2">
                  <c:v>2460.4726673136897</c:v>
                </c:pt>
                <c:pt idx="3">
                  <c:v>2508.6768678988269</c:v>
                </c:pt>
                <c:pt idx="4">
                  <c:v>2551.9792748326959</c:v>
                </c:pt>
                <c:pt idx="5">
                  <c:v>2591.3475686390943</c:v>
                </c:pt>
                <c:pt idx="6">
                  <c:v>2627.4834496155745</c:v>
                </c:pt>
                <c:pt idx="7">
                  <c:v>2660.912751370473</c:v>
                </c:pt>
                <c:pt idx="8">
                  <c:v>2692.0401885691399</c:v>
                </c:pt>
                <c:pt idx="9">
                  <c:v>2721.1842336443092</c:v>
                </c:pt>
                <c:pt idx="10">
                  <c:v>2748.6002190469121</c:v>
                </c:pt>
                <c:pt idx="11">
                  <c:v>2774.4961490214937</c:v>
                </c:pt>
                <c:pt idx="12">
                  <c:v>2799.0438270668174</c:v>
                </c:pt>
                <c:pt idx="13">
                  <c:v>2822.3868769262031</c:v>
                </c:pt>
                <c:pt idx="14">
                  <c:v>2844.6466463882925</c:v>
                </c:pt>
                <c:pt idx="15">
                  <c:v>2865.9266332643256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D05-4564-B654-F119B7EF1E3A}"/>
            </c:ext>
          </c:extLst>
        </c:ser>
        <c:ser>
          <c:idx val="10"/>
          <c:order val="10"/>
          <c:tx>
            <c:strRef>
              <c:f>'NOx PPM'!$V$5</c:f>
              <c:strCache>
                <c:ptCount val="1"/>
                <c:pt idx="0">
                  <c:v>0.98</c:v>
                </c:pt>
              </c:strCache>
            </c:strRef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PPM'!$V$7:$V$22</c:f>
              <c:numCache>
                <c:formatCode>0.00</c:formatCode>
                <c:ptCount val="16"/>
                <c:pt idx="0">
                  <c:v>2358.9796671665586</c:v>
                </c:pt>
                <c:pt idx="1">
                  <c:v>2422.3068925808748</c:v>
                </c:pt>
                <c:pt idx="2">
                  <c:v>2477.1737899877085</c:v>
                </c:pt>
                <c:pt idx="3">
                  <c:v>2525.7051896017438</c:v>
                </c:pt>
                <c:pt idx="4">
                  <c:v>2569.3015233163856</c:v>
                </c:pt>
                <c:pt idx="5">
                  <c:v>2608.9370400483062</c:v>
                </c:pt>
                <c:pt idx="6">
                  <c:v>2645.3182030753205</c:v>
                </c:pt>
                <c:pt idx="7">
                  <c:v>2678.9744152433814</c:v>
                </c:pt>
                <c:pt idx="8">
                  <c:v>2710.3131383279224</c:v>
                </c:pt>
                <c:pt idx="9">
                  <c:v>2739.6550064793173</c:v>
                </c:pt>
                <c:pt idx="10">
                  <c:v>2767.2570852864601</c:v>
                </c:pt>
                <c:pt idx="11">
                  <c:v>2793.328790878877</c:v>
                </c:pt>
                <c:pt idx="12">
                  <c:v>2818.0430929179738</c:v>
                </c:pt>
                <c:pt idx="13">
                  <c:v>2841.5445900320133</c:v>
                </c:pt>
                <c:pt idx="14">
                  <c:v>2863.955453690523</c:v>
                </c:pt>
                <c:pt idx="15">
                  <c:v>2885.3798842240858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D05-4564-B654-F119B7EF1E3A}"/>
            </c:ext>
          </c:extLst>
        </c:ser>
        <c:ser>
          <c:idx val="11"/>
          <c:order val="11"/>
          <c:tx>
            <c:strRef>
              <c:f>'NOx PPM'!$W$5</c:f>
              <c:strCache>
                <c:ptCount val="1"/>
                <c:pt idx="0">
                  <c:v>0.99</c:v>
                </c:pt>
              </c:strCache>
            </c:strRef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PPM'!$W$7:$W$22</c:f>
              <c:numCache>
                <c:formatCode>0.00</c:formatCode>
                <c:ptCount val="16"/>
                <c:pt idx="0">
                  <c:v>2374.8450650437226</c:v>
                </c:pt>
                <c:pt idx="1">
                  <c:v>2438.5981998635493</c:v>
                </c:pt>
                <c:pt idx="2">
                  <c:v>2493.8341064525143</c:v>
                </c:pt>
                <c:pt idx="3">
                  <c:v>2542.6919056430825</c:v>
                </c:pt>
                <c:pt idx="4">
                  <c:v>2586.5814479809246</c:v>
                </c:pt>
                <c:pt idx="5">
                  <c:v>2626.4835347268945</c:v>
                </c:pt>
                <c:pt idx="6">
                  <c:v>2663.109380501578</c:v>
                </c:pt>
                <c:pt idx="7">
                  <c:v>2696.99194866775</c:v>
                </c:pt>
                <c:pt idx="8">
                  <c:v>2728.5414413988542</c:v>
                </c:pt>
                <c:pt idx="9">
                  <c:v>2758.0806492811339</c:v>
                </c:pt>
                <c:pt idx="10">
                  <c:v>2785.8683668068325</c:v>
                </c:pt>
                <c:pt idx="11">
                  <c:v>2812.1154185407686</c:v>
                </c:pt>
                <c:pt idx="12">
                  <c:v>2836.9959374576806</c:v>
                </c:pt>
                <c:pt idx="13">
                  <c:v>2860.6554946888177</c:v>
                </c:pt>
                <c:pt idx="14">
                  <c:v>2883.2170833720752</c:v>
                </c:pt>
                <c:pt idx="15">
                  <c:v>2904.7856046408983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D05-4564-B654-F119B7EF1E3A}"/>
            </c:ext>
          </c:extLst>
        </c:ser>
        <c:ser>
          <c:idx val="12"/>
          <c:order val="12"/>
          <c:tx>
            <c:strRef>
              <c:f>'NOx PPM'!$X$5</c:f>
              <c:strCache>
                <c:ptCount val="1"/>
                <c:pt idx="0">
                  <c:v>1.00</c:v>
                </c:pt>
              </c:strCache>
            </c:strRef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'NOx PPM'!$K$7:$K$22</c:f>
              <c:numCache>
                <c:formatCode>0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'NOx PPM'!$X$7:$X$22</c:f>
              <c:numCache>
                <c:formatCode>0.00</c:formatCode>
                <c:ptCount val="16"/>
                <c:pt idx="0">
                  <c:v>2390.652741514361</c:v>
                </c:pt>
                <c:pt idx="1">
                  <c:v>2454.8302361983556</c:v>
                </c:pt>
                <c:pt idx="2">
                  <c:v>2510.4338094421996</c:v>
                </c:pt>
                <c:pt idx="3">
                  <c:v>2559.6168207040896</c:v>
                </c:pt>
                <c:pt idx="4">
                  <c:v>2603.7985049150725</c:v>
                </c:pt>
                <c:pt idx="5">
                  <c:v>2643.966191841479</c:v>
                </c:pt>
                <c:pt idx="6">
                  <c:v>2680.8358301603548</c:v>
                </c:pt>
                <c:pt idx="7">
                  <c:v>2714.943930797444</c:v>
                </c:pt>
                <c:pt idx="8">
                  <c:v>2746.7034263540995</c:v>
                </c:pt>
                <c:pt idx="9">
                  <c:v>2776.4392560069005</c:v>
                </c:pt>
                <c:pt idx="10">
                  <c:v>2804.4119368613524</c:v>
                </c:pt>
                <c:pt idx="11">
                  <c:v>2830.8336967934042</c:v>
                </c:pt>
                <c:pt idx="12">
                  <c:v>2855.8798278587674</c:v>
                </c:pt>
                <c:pt idx="13">
                  <c:v>2879.6968701535216</c:v>
                </c:pt>
                <c:pt idx="14">
                  <c:v>2902.4086354945398</c:v>
                </c:pt>
                <c:pt idx="15">
                  <c:v>2924.1207232684737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AD05-4564-B654-F119B7EF1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7485136"/>
        <c:axId val="1344342768"/>
      </c:scatterChart>
      <c:valAx>
        <c:axId val="1597485136"/>
        <c:scaling>
          <c:orientation val="minMax"/>
          <c:max val="40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4342768"/>
        <c:crosses val="autoZero"/>
        <c:crossBetween val="midCat"/>
        <c:majorUnit val="2"/>
      </c:valAx>
      <c:valAx>
        <c:axId val="1344342768"/>
        <c:scaling>
          <c:orientation val="minMax"/>
          <c:max val="3000"/>
          <c:min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Flame Temperature (K)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85136"/>
        <c:crosses val="autoZero"/>
        <c:crossBetween val="midCat"/>
        <c:majorUnit val="20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91586979796089774"/>
          <c:w val="1"/>
          <c:h val="8.4130202039102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200"/>
              <a:t>Initial</a:t>
            </a:r>
            <a:r>
              <a:rPr lang="en-GB" sz="1200" baseline="0"/>
              <a:t> Flame Temperature and Net Enthalpy values at Different Equivalence Ratio's</a:t>
            </a:r>
            <a:endParaRPr lang="en-GB" sz="1200"/>
          </a:p>
        </c:rich>
      </c:tx>
      <c:layout>
        <c:manualLayout>
          <c:xMode val="edge"/>
          <c:yMode val="edge"/>
          <c:x val="0.1024084747972361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65429211423514"/>
          <c:y val="0.11033138401559453"/>
          <c:w val="0.75757070561417783"/>
          <c:h val="0.72131264293717667"/>
        </c:manualLayout>
      </c:layout>
      <c:scatterChart>
        <c:scatterStyle val="smoothMarker"/>
        <c:varyColors val="0"/>
        <c:ser>
          <c:idx val="0"/>
          <c:order val="0"/>
          <c:tx>
            <c:v>Initial Flame Temperature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PPM'!$L$7:$X$7</c:f>
              <c:numCache>
                <c:formatCode>0.00</c:formatCode>
                <c:ptCount val="13"/>
                <c:pt idx="0">
                  <c:v>1700.0149962509374</c:v>
                </c:pt>
                <c:pt idx="1">
                  <c:v>1793.8068065191512</c:v>
                </c:pt>
                <c:pt idx="2">
                  <c:v>1885.2733817890901</c:v>
                </c:pt>
                <c:pt idx="3">
                  <c:v>1974.4966276286123</c:v>
                </c:pt>
                <c:pt idx="4">
                  <c:v>2061.6087277525571</c:v>
                </c:pt>
                <c:pt idx="5">
                  <c:v>2146.7698152077946</c:v>
                </c:pt>
                <c:pt idx="6">
                  <c:v>2229.8080014083216</c:v>
                </c:pt>
                <c:pt idx="7">
                  <c:v>2311.1418398717719</c:v>
                </c:pt>
                <c:pt idx="8">
                  <c:v>2327.1378320129256</c:v>
                </c:pt>
                <c:pt idx="9">
                  <c:v>2343.0754100788636</c:v>
                </c:pt>
                <c:pt idx="10">
                  <c:v>2358.9796671665586</c:v>
                </c:pt>
                <c:pt idx="11">
                  <c:v>2374.8450650437226</c:v>
                </c:pt>
                <c:pt idx="12">
                  <c:v>2390.652741514361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C5-4348-9D22-0A3673EF7C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3726096"/>
        <c:axId val="1647055824"/>
      </c:scatterChart>
      <c:scatterChart>
        <c:scatterStyle val="smoothMarker"/>
        <c:varyColors val="0"/>
        <c:ser>
          <c:idx val="1"/>
          <c:order val="1"/>
          <c:tx>
            <c:v>Net Enthalpy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PPM'!$L$6:$X$6</c:f>
              <c:numCache>
                <c:formatCode>0.00</c:formatCode>
                <c:ptCount val="13"/>
                <c:pt idx="0">
                  <c:v>3039.0000000000005</c:v>
                </c:pt>
                <c:pt idx="1">
                  <c:v>3292.2500000000009</c:v>
                </c:pt>
                <c:pt idx="2">
                  <c:v>3545.5000000000005</c:v>
                </c:pt>
                <c:pt idx="3">
                  <c:v>3798.7500000000009</c:v>
                </c:pt>
                <c:pt idx="4">
                  <c:v>4052.0000000000009</c:v>
                </c:pt>
                <c:pt idx="5">
                  <c:v>4305.2500000000009</c:v>
                </c:pt>
                <c:pt idx="6">
                  <c:v>4558.5000000000009</c:v>
                </c:pt>
                <c:pt idx="7">
                  <c:v>4811.7500000000009</c:v>
                </c:pt>
                <c:pt idx="8">
                  <c:v>4862.4000000000005</c:v>
                </c:pt>
                <c:pt idx="9">
                  <c:v>4913.0500000000011</c:v>
                </c:pt>
                <c:pt idx="10">
                  <c:v>4963.7000000000007</c:v>
                </c:pt>
                <c:pt idx="11">
                  <c:v>5014.3500000000013</c:v>
                </c:pt>
                <c:pt idx="12">
                  <c:v>5065.0000000000009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2C5-4348-9D22-0A3673EF7C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7038352"/>
        <c:axId val="1647051664"/>
      </c:scatterChart>
      <c:valAx>
        <c:axId val="1473726096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Equivalence Ratio - ɸ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7055824"/>
        <c:crosses val="autoZero"/>
        <c:crossBetween val="midCat"/>
      </c:valAx>
      <c:valAx>
        <c:axId val="1647055824"/>
        <c:scaling>
          <c:orientation val="minMax"/>
          <c:max val="2400"/>
          <c:min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Initial Flame 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726096"/>
        <c:crosses val="autoZero"/>
        <c:crossBetween val="midCat"/>
      </c:valAx>
      <c:valAx>
        <c:axId val="1647051664"/>
        <c:scaling>
          <c:orientation val="minMax"/>
          <c:min val="280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Net Enthalpy (MJ)</a:t>
                </a:r>
              </a:p>
            </c:rich>
          </c:tx>
          <c:layout>
            <c:manualLayout>
              <c:xMode val="edge"/>
              <c:yMode val="edge"/>
              <c:x val="0.93481335456114911"/>
              <c:y val="0.418862949148900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7038352"/>
        <c:crosses val="max"/>
        <c:crossBetween val="midCat"/>
        <c:majorUnit val="400"/>
      </c:valAx>
      <c:valAx>
        <c:axId val="1647038352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16470516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200"/>
              <a:t>Flame</a:t>
            </a:r>
            <a:r>
              <a:rPr lang="en-GB" sz="1200" baseline="0"/>
              <a:t> Temperatures at Different Fuel Equivalence Ratio's for Cylinder Pressures 10-40 Bar</a:t>
            </a:r>
            <a:endParaRPr lang="en-GB" sz="1200"/>
          </a:p>
        </c:rich>
      </c:tx>
      <c:layout>
        <c:manualLayout>
          <c:xMode val="edge"/>
          <c:yMode val="edge"/>
          <c:x val="9.5485466914038336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10 Bar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PPM'!$L$7:$X$7</c:f>
              <c:numCache>
                <c:formatCode>0.00</c:formatCode>
                <c:ptCount val="13"/>
                <c:pt idx="0">
                  <c:v>1700.0149962509374</c:v>
                </c:pt>
                <c:pt idx="1">
                  <c:v>1793.8068065191512</c:v>
                </c:pt>
                <c:pt idx="2">
                  <c:v>1885.2733817890901</c:v>
                </c:pt>
                <c:pt idx="3">
                  <c:v>1974.4966276286123</c:v>
                </c:pt>
                <c:pt idx="4">
                  <c:v>2061.6087277525571</c:v>
                </c:pt>
                <c:pt idx="5">
                  <c:v>2146.7698152077946</c:v>
                </c:pt>
                <c:pt idx="6">
                  <c:v>2229.8080014083216</c:v>
                </c:pt>
                <c:pt idx="7">
                  <c:v>2311.1418398717719</c:v>
                </c:pt>
                <c:pt idx="8">
                  <c:v>2327.1378320129256</c:v>
                </c:pt>
                <c:pt idx="9">
                  <c:v>2343.0754100788636</c:v>
                </c:pt>
                <c:pt idx="10">
                  <c:v>2358.9796671665586</c:v>
                </c:pt>
                <c:pt idx="11">
                  <c:v>2374.8450650437226</c:v>
                </c:pt>
                <c:pt idx="12">
                  <c:v>2390.652741514361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563-47FE-8B96-A1290BC811F3}"/>
            </c:ext>
          </c:extLst>
        </c:ser>
        <c:ser>
          <c:idx val="1"/>
          <c:order val="1"/>
          <c:tx>
            <c:v>12 Bar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PPM'!$L$8:$X$8</c:f>
              <c:numCache>
                <c:formatCode>0.00</c:formatCode>
                <c:ptCount val="13"/>
                <c:pt idx="0">
                  <c:v>1745.6521987981773</c:v>
                </c:pt>
                <c:pt idx="1">
                  <c:v>1841.9618667628952</c:v>
                </c:pt>
                <c:pt idx="2">
                  <c:v>1935.8838783855172</c:v>
                </c:pt>
                <c:pt idx="3">
                  <c:v>2027.5023380033153</c:v>
                </c:pt>
                <c:pt idx="4">
                  <c:v>2116.9529778262859</c:v>
                </c:pt>
                <c:pt idx="5">
                  <c:v>2204.4002297011957</c:v>
                </c:pt>
                <c:pt idx="6">
                  <c:v>2289.6675906626197</c:v>
                </c:pt>
                <c:pt idx="7">
                  <c:v>2373.1848503712276</c:v>
                </c:pt>
                <c:pt idx="8">
                  <c:v>2389.6102577439524</c:v>
                </c:pt>
                <c:pt idx="9">
                  <c:v>2405.9756829053053</c:v>
                </c:pt>
                <c:pt idx="10">
                  <c:v>2422.3068925808748</c:v>
                </c:pt>
                <c:pt idx="11">
                  <c:v>2438.5981998635493</c:v>
                </c:pt>
                <c:pt idx="12">
                  <c:v>2454.8302361983556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563-47FE-8B96-A1290BC811F3}"/>
            </c:ext>
          </c:extLst>
        </c:ser>
        <c:ser>
          <c:idx val="2"/>
          <c:order val="2"/>
          <c:tx>
            <c:v>14 Bar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PPM'!$L$9:$X$9</c:f>
              <c:numCache>
                <c:formatCode>0.00</c:formatCode>
                <c:ptCount val="13"/>
                <c:pt idx="0">
                  <c:v>1785.1924075111308</c:v>
                </c:pt>
                <c:pt idx="1">
                  <c:v>1883.6835549108828</c:v>
                </c:pt>
                <c:pt idx="2">
                  <c:v>1979.7329639296502</c:v>
                </c:pt>
                <c:pt idx="3">
                  <c:v>2073.4266439251051</c:v>
                </c:pt>
                <c:pt idx="4">
                  <c:v>2164.903401534048</c:v>
                </c:pt>
                <c:pt idx="5">
                  <c:v>2254.3313930963304</c:v>
                </c:pt>
                <c:pt idx="6">
                  <c:v>2341.5301177344013</c:v>
                </c:pt>
                <c:pt idx="7">
                  <c:v>2426.9391001368458</c:v>
                </c:pt>
                <c:pt idx="8">
                  <c:v>2443.7365541498807</c:v>
                </c:pt>
                <c:pt idx="9">
                  <c:v>2460.4726673136897</c:v>
                </c:pt>
                <c:pt idx="10">
                  <c:v>2477.1737899877085</c:v>
                </c:pt>
                <c:pt idx="11">
                  <c:v>2493.8341064525143</c:v>
                </c:pt>
                <c:pt idx="12">
                  <c:v>2510.4338094421996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563-47FE-8B96-A1290BC811F3}"/>
            </c:ext>
          </c:extLst>
        </c:ser>
        <c:ser>
          <c:idx val="3"/>
          <c:order val="3"/>
          <c:tx>
            <c:v>16 Bar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PPM'!$L$10:$X$10</c:f>
              <c:numCache>
                <c:formatCode>0.00</c:formatCode>
                <c:ptCount val="13"/>
                <c:pt idx="0">
                  <c:v>1820.1668959652875</c:v>
                </c:pt>
                <c:pt idx="1">
                  <c:v>1920.5876266878654</c:v>
                </c:pt>
                <c:pt idx="2">
                  <c:v>2018.5187818605048</c:v>
                </c:pt>
                <c:pt idx="3">
                  <c:v>2114.0480558879763</c:v>
                </c:pt>
                <c:pt idx="4">
                  <c:v>2207.316974828861</c:v>
                </c:pt>
                <c:pt idx="5">
                  <c:v>2298.4969894477135</c:v>
                </c:pt>
                <c:pt idx="6">
                  <c:v>2387.4040625950206</c:v>
                </c:pt>
                <c:pt idx="7">
                  <c:v>2474.4863298805662</c:v>
                </c:pt>
                <c:pt idx="8">
                  <c:v>2491.6128701920675</c:v>
                </c:pt>
                <c:pt idx="9">
                  <c:v>2508.6768678988269</c:v>
                </c:pt>
                <c:pt idx="10">
                  <c:v>2525.7051896017438</c:v>
                </c:pt>
                <c:pt idx="11">
                  <c:v>2542.6919056430825</c:v>
                </c:pt>
                <c:pt idx="12">
                  <c:v>2559.6168207040896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563-47FE-8B96-A1290BC811F3}"/>
            </c:ext>
          </c:extLst>
        </c:ser>
        <c:ser>
          <c:idx val="4"/>
          <c:order val="4"/>
          <c:tx>
            <c:v>18 Bar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PPM'!$L$11:$X$11</c:f>
              <c:numCache>
                <c:formatCode>0.00</c:formatCode>
                <c:ptCount val="13"/>
                <c:pt idx="0">
                  <c:v>1851.5848950807576</c:v>
                </c:pt>
                <c:pt idx="1">
                  <c:v>1953.7389934609996</c:v>
                </c:pt>
                <c:pt idx="2">
                  <c:v>2053.36054359325</c:v>
                </c:pt>
                <c:pt idx="3">
                  <c:v>2150.5387535801383</c:v>
                </c:pt>
                <c:pt idx="4">
                  <c:v>2245.4175923691869</c:v>
                </c:pt>
                <c:pt idx="5">
                  <c:v>2338.1714701458595</c:v>
                </c:pt>
                <c:pt idx="6">
                  <c:v>2428.6131730854636</c:v>
                </c:pt>
                <c:pt idx="7">
                  <c:v>2517.1985720907514</c:v>
                </c:pt>
                <c:pt idx="8">
                  <c:v>2534.6207345397343</c:v>
                </c:pt>
                <c:pt idx="9">
                  <c:v>2551.9792748326959</c:v>
                </c:pt>
                <c:pt idx="10">
                  <c:v>2569.3015233163856</c:v>
                </c:pt>
                <c:pt idx="11">
                  <c:v>2586.5814479809246</c:v>
                </c:pt>
                <c:pt idx="12">
                  <c:v>2603.7985049150725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563-47FE-8B96-A1290BC811F3}"/>
            </c:ext>
          </c:extLst>
        </c:ser>
        <c:ser>
          <c:idx val="5"/>
          <c:order val="5"/>
          <c:tx>
            <c:v>20 Bar</c:v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PPM'!$L$12:$X$12</c:f>
              <c:numCache>
                <c:formatCode>0.00</c:formatCode>
                <c:ptCount val="13"/>
                <c:pt idx="0">
                  <c:v>1880.148504070806</c:v>
                </c:pt>
                <c:pt idx="1">
                  <c:v>1983.8784900760854</c:v>
                </c:pt>
                <c:pt idx="2">
                  <c:v>2085.0368592937152</c:v>
                </c:pt>
                <c:pt idx="3">
                  <c:v>2183.7141960016052</c:v>
                </c:pt>
                <c:pt idx="4">
                  <c:v>2280.0566900947124</c:v>
                </c:pt>
                <c:pt idx="5">
                  <c:v>2374.2414423099067</c:v>
                </c:pt>
                <c:pt idx="6">
                  <c:v>2466.0783507548181</c:v>
                </c:pt>
                <c:pt idx="7">
                  <c:v>2556.0303188578218</c:v>
                </c:pt>
                <c:pt idx="8">
                  <c:v>2573.7212455623762</c:v>
                </c:pt>
                <c:pt idx="9">
                  <c:v>2591.3475686390943</c:v>
                </c:pt>
                <c:pt idx="10">
                  <c:v>2608.9370400483062</c:v>
                </c:pt>
                <c:pt idx="11">
                  <c:v>2626.4835347268945</c:v>
                </c:pt>
                <c:pt idx="12">
                  <c:v>2643.966191841479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563-47FE-8B96-A1290BC811F3}"/>
            </c:ext>
          </c:extLst>
        </c:ser>
        <c:ser>
          <c:idx val="6"/>
          <c:order val="6"/>
          <c:tx>
            <c:v>22 Bar</c:v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PPM'!$L$13:$X$13</c:f>
              <c:numCache>
                <c:formatCode>0.00</c:formatCode>
                <c:ptCount val="13"/>
                <c:pt idx="0">
                  <c:v>1906.3668405778192</c:v>
                </c:pt>
                <c:pt idx="1">
                  <c:v>2011.5433227896831</c:v>
                </c:pt>
                <c:pt idx="2">
                  <c:v>2114.1123274751531</c:v>
                </c:pt>
                <c:pt idx="3">
                  <c:v>2214.1657020937832</c:v>
                </c:pt>
                <c:pt idx="4">
                  <c:v>2311.8516751326169</c:v>
                </c:pt>
                <c:pt idx="5">
                  <c:v>2407.3498169668019</c:v>
                </c:pt>
                <c:pt idx="6">
                  <c:v>2500.467374766889</c:v>
                </c:pt>
                <c:pt idx="7">
                  <c:v>2591.6737070672348</c:v>
                </c:pt>
                <c:pt idx="8">
                  <c:v>2609.6113305983731</c:v>
                </c:pt>
                <c:pt idx="9">
                  <c:v>2627.4834496155745</c:v>
                </c:pt>
                <c:pt idx="10">
                  <c:v>2645.3182030753205</c:v>
                </c:pt>
                <c:pt idx="11">
                  <c:v>2663.109380501578</c:v>
                </c:pt>
                <c:pt idx="12">
                  <c:v>2680.8358301603548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563-47FE-8B96-A1290BC811F3}"/>
            </c:ext>
          </c:extLst>
        </c:ser>
        <c:ser>
          <c:idx val="7"/>
          <c:order val="7"/>
          <c:tx>
            <c:v>24 Bar</c:v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PPM'!$L$14:$X$14</c:f>
              <c:numCache>
                <c:formatCode>0.00</c:formatCode>
                <c:ptCount val="13"/>
                <c:pt idx="0">
                  <c:v>1930.621422420583</c:v>
                </c:pt>
                <c:pt idx="1">
                  <c:v>2037.1360582036496</c:v>
                </c:pt>
                <c:pt idx="2">
                  <c:v>2141.010041692633</c:v>
                </c:pt>
                <c:pt idx="3">
                  <c:v>2242.3363889163661</c:v>
                </c:pt>
                <c:pt idx="4">
                  <c:v>2341.2652142633328</c:v>
                </c:pt>
                <c:pt idx="5">
                  <c:v>2437.9783727709332</c:v>
                </c:pt>
                <c:pt idx="6">
                  <c:v>2532.2806592279539</c:v>
                </c:pt>
                <c:pt idx="7">
                  <c:v>2624.6474037869848</c:v>
                </c:pt>
                <c:pt idx="8">
                  <c:v>2642.8132465405415</c:v>
                </c:pt>
                <c:pt idx="9">
                  <c:v>2660.912751370473</c:v>
                </c:pt>
                <c:pt idx="10">
                  <c:v>2678.9744152433814</c:v>
                </c:pt>
                <c:pt idx="11">
                  <c:v>2696.99194866775</c:v>
                </c:pt>
                <c:pt idx="12">
                  <c:v>2714.943930797444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563-47FE-8B96-A1290BC811F3}"/>
            </c:ext>
          </c:extLst>
        </c:ser>
        <c:ser>
          <c:idx val="8"/>
          <c:order val="8"/>
          <c:tx>
            <c:v>26 Bar </c:v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PPM'!$L$15:$X$15</c:f>
              <c:numCache>
                <c:formatCode>0.00</c:formatCode>
                <c:ptCount val="13"/>
                <c:pt idx="0">
                  <c:v>1953.2058897428753</c:v>
                </c:pt>
                <c:pt idx="1">
                  <c:v>2060.9665369310014</c:v>
                </c:pt>
                <c:pt idx="2">
                  <c:v>2166.0556413952831</c:v>
                </c:pt>
                <c:pt idx="3">
                  <c:v>2268.5673072688492</c:v>
                </c:pt>
                <c:pt idx="4">
                  <c:v>2368.6534049828033</c:v>
                </c:pt>
                <c:pt idx="5">
                  <c:v>2466.4979169202293</c:v>
                </c:pt>
                <c:pt idx="6">
                  <c:v>2561.9033543534965</c:v>
                </c:pt>
                <c:pt idx="7">
                  <c:v>2655.350607861581</c:v>
                </c:pt>
                <c:pt idx="8">
                  <c:v>2673.7289551886834</c:v>
                </c:pt>
                <c:pt idx="9">
                  <c:v>2692.0401885691399</c:v>
                </c:pt>
                <c:pt idx="10">
                  <c:v>2710.3131383279224</c:v>
                </c:pt>
                <c:pt idx="11">
                  <c:v>2728.5414413988542</c:v>
                </c:pt>
                <c:pt idx="12">
                  <c:v>2746.7034263540995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563-47FE-8B96-A1290BC811F3}"/>
            </c:ext>
          </c:extLst>
        </c:ser>
        <c:ser>
          <c:idx val="9"/>
          <c:order val="9"/>
          <c:tx>
            <c:v>28 Bar</c:v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PPM'!$L$16:$X$16</c:f>
              <c:numCache>
                <c:formatCode>0.00</c:formatCode>
                <c:ptCount val="13"/>
                <c:pt idx="0">
                  <c:v>1974.3513097605492</c:v>
                </c:pt>
                <c:pt idx="1">
                  <c:v>2083.278574435411</c:v>
                </c:pt>
                <c:pt idx="2">
                  <c:v>2189.5053742470436</c:v>
                </c:pt>
                <c:pt idx="3">
                  <c:v>2293.1268321005496</c:v>
                </c:pt>
                <c:pt idx="4">
                  <c:v>2394.2964625773348</c:v>
                </c:pt>
                <c:pt idx="5">
                  <c:v>2493.2002398549926</c:v>
                </c:pt>
                <c:pt idx="6">
                  <c:v>2589.6385371916067</c:v>
                </c:pt>
                <c:pt idx="7">
                  <c:v>2684.0974512907756</c:v>
                </c:pt>
                <c:pt idx="8">
                  <c:v>2702.6747627288828</c:v>
                </c:pt>
                <c:pt idx="9">
                  <c:v>2721.1842336443092</c:v>
                </c:pt>
                <c:pt idx="10">
                  <c:v>2739.6550064793173</c:v>
                </c:pt>
                <c:pt idx="11">
                  <c:v>2758.0806492811339</c:v>
                </c:pt>
                <c:pt idx="12">
                  <c:v>2776.4392560069005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563-47FE-8B96-A1290BC811F3}"/>
            </c:ext>
          </c:extLst>
        </c:ser>
        <c:ser>
          <c:idx val="10"/>
          <c:order val="10"/>
          <c:tx>
            <c:v>30 Bar</c:v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PPM'!$L$17:$X$17</c:f>
              <c:numCache>
                <c:formatCode>0.00</c:formatCode>
                <c:ptCount val="13"/>
                <c:pt idx="0">
                  <c:v>1994.242938566407</c:v>
                </c:pt>
                <c:pt idx="1">
                  <c:v>2104.2676476044062</c:v>
                </c:pt>
                <c:pt idx="2">
                  <c:v>2211.5646845418437</c:v>
                </c:pt>
                <c:pt idx="3">
                  <c:v>2316.2301306489871</c:v>
                </c:pt>
                <c:pt idx="4">
                  <c:v>2418.4190471697107</c:v>
                </c:pt>
                <c:pt idx="5">
                  <c:v>2518.3192819751539</c:v>
                </c:pt>
                <c:pt idx="6">
                  <c:v>2615.729197079997</c:v>
                </c:pt>
                <c:pt idx="7">
                  <c:v>2711.1397866218167</c:v>
                </c:pt>
                <c:pt idx="8">
                  <c:v>2729.9042648430141</c:v>
                </c:pt>
                <c:pt idx="9">
                  <c:v>2748.6002190469121</c:v>
                </c:pt>
                <c:pt idx="10">
                  <c:v>2767.2570852864601</c:v>
                </c:pt>
                <c:pt idx="11">
                  <c:v>2785.8683668068325</c:v>
                </c:pt>
                <c:pt idx="12">
                  <c:v>2804.4119368613524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563-47FE-8B96-A1290BC811F3}"/>
            </c:ext>
          </c:extLst>
        </c:ser>
        <c:ser>
          <c:idx val="11"/>
          <c:order val="11"/>
          <c:tx>
            <c:v>32 Bar </c:v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6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PPM'!$L$18:$X$18</c:f>
              <c:numCache>
                <c:formatCode>0.00</c:formatCode>
                <c:ptCount val="13"/>
                <c:pt idx="0">
                  <c:v>2013.0316933411291</c:v>
                </c:pt>
                <c:pt idx="1">
                  <c:v>2124.092999895558</c:v>
                </c:pt>
                <c:pt idx="2">
                  <c:v>2232.4009355936655</c:v>
                </c:pt>
                <c:pt idx="3">
                  <c:v>2338.052486935163</c:v>
                </c:pt>
                <c:pt idx="4">
                  <c:v>2441.2041760730394</c:v>
                </c:pt>
                <c:pt idx="5">
                  <c:v>2542.0456206866747</c:v>
                </c:pt>
                <c:pt idx="6">
                  <c:v>2640.3732830589834</c:v>
                </c:pt>
                <c:pt idx="7">
                  <c:v>2736.6827832275603</c:v>
                </c:pt>
                <c:pt idx="8">
                  <c:v>2755.624050932604</c:v>
                </c:pt>
                <c:pt idx="9">
                  <c:v>2774.4961490214937</c:v>
                </c:pt>
                <c:pt idx="10">
                  <c:v>2793.328790878877</c:v>
                </c:pt>
                <c:pt idx="11">
                  <c:v>2812.1154185407686</c:v>
                </c:pt>
                <c:pt idx="12">
                  <c:v>2830.8336967934042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A563-47FE-8B96-A1290BC811F3}"/>
            </c:ext>
          </c:extLst>
        </c:ser>
        <c:ser>
          <c:idx val="12"/>
          <c:order val="12"/>
          <c:tx>
            <c:v>34 Bar</c:v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PPM'!$L$19:$X$19</c:f>
              <c:numCache>
                <c:formatCode>0.00</c:formatCode>
                <c:ptCount val="13"/>
                <c:pt idx="0">
                  <c:v>2030.8422258663222</c:v>
                </c:pt>
                <c:pt idx="1">
                  <c:v>2142.8861602746601</c:v>
                </c:pt>
                <c:pt idx="2">
                  <c:v>2252.1523630571201</c:v>
                </c:pt>
                <c:pt idx="3">
                  <c:v>2358.7386788127742</c:v>
                </c:pt>
                <c:pt idx="4">
                  <c:v>2462.8030145426028</c:v>
                </c:pt>
                <c:pt idx="5">
                  <c:v>2564.5366655905032</c:v>
                </c:pt>
                <c:pt idx="6">
                  <c:v>2663.7342934157159</c:v>
                </c:pt>
                <c:pt idx="7">
                  <c:v>2760.8959031118834</c:v>
                </c:pt>
                <c:pt idx="8">
                  <c:v>2780.0047558905476</c:v>
                </c:pt>
                <c:pt idx="9">
                  <c:v>2799.0438270668174</c:v>
                </c:pt>
                <c:pt idx="10">
                  <c:v>2818.0430929179738</c:v>
                </c:pt>
                <c:pt idx="11">
                  <c:v>2836.9959374576806</c:v>
                </c:pt>
                <c:pt idx="12">
                  <c:v>2855.8798278587674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A563-47FE-8B96-A1290BC811F3}"/>
            </c:ext>
          </c:extLst>
        </c:ser>
        <c:ser>
          <c:idx val="13"/>
          <c:order val="13"/>
          <c:tx>
            <c:v>36 Bar</c:v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PPM'!$L$20:$X$20</c:f>
              <c:numCache>
                <c:formatCode>0.00</c:formatCode>
                <c:ptCount val="13"/>
                <c:pt idx="0">
                  <c:v>2047.7787421425326</c:v>
                </c:pt>
                <c:pt idx="1">
                  <c:v>2160.7570839088562</c:v>
                </c:pt>
                <c:pt idx="2">
                  <c:v>2270.9345287357714</c:v>
                </c:pt>
                <c:pt idx="3">
                  <c:v>2378.4097372122014</c:v>
                </c:pt>
                <c:pt idx="4">
                  <c:v>2483.3419332284734</c:v>
                </c:pt>
                <c:pt idx="5">
                  <c:v>2585.9240074649724</c:v>
                </c:pt>
                <c:pt idx="6">
                  <c:v>2685.9489089290851</c:v>
                </c:pt>
                <c:pt idx="7">
                  <c:v>2783.9208125826472</c:v>
                </c:pt>
                <c:pt idx="8">
                  <c:v>2803.1890265327424</c:v>
                </c:pt>
                <c:pt idx="9">
                  <c:v>2822.3868769262031</c:v>
                </c:pt>
                <c:pt idx="10">
                  <c:v>2841.5445900320133</c:v>
                </c:pt>
                <c:pt idx="11">
                  <c:v>2860.6554946888177</c:v>
                </c:pt>
                <c:pt idx="12">
                  <c:v>2879.6968701535216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A563-47FE-8B96-A1290BC811F3}"/>
            </c:ext>
          </c:extLst>
        </c:ser>
        <c:ser>
          <c:idx val="14"/>
          <c:order val="14"/>
          <c:tx>
            <c:v>38 Bar</c:v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PPM'!$L$21:$X$21</c:f>
              <c:numCache>
                <c:formatCode>0.00</c:formatCode>
                <c:ptCount val="13"/>
                <c:pt idx="0">
                  <c:v>2063.9292858834046</c:v>
                </c:pt>
                <c:pt idx="1">
                  <c:v>2177.7986719861683</c:v>
                </c:pt>
                <c:pt idx="2">
                  <c:v>2288.8450708681844</c:v>
                </c:pt>
                <c:pt idx="3">
                  <c:v>2397.1679212406048</c:v>
                </c:pt>
                <c:pt idx="4">
                  <c:v>2502.9277027702478</c:v>
                </c:pt>
                <c:pt idx="5">
                  <c:v>2606.3188274392423</c:v>
                </c:pt>
                <c:pt idx="6">
                  <c:v>2707.1326112728352</c:v>
                </c:pt>
                <c:pt idx="7">
                  <c:v>2805.8772055900763</c:v>
                </c:pt>
                <c:pt idx="8">
                  <c:v>2825.2973852412529</c:v>
                </c:pt>
                <c:pt idx="9">
                  <c:v>2844.6466463882925</c:v>
                </c:pt>
                <c:pt idx="10">
                  <c:v>2863.955453690523</c:v>
                </c:pt>
                <c:pt idx="11">
                  <c:v>2883.2170833720752</c:v>
                </c:pt>
                <c:pt idx="12">
                  <c:v>2902.4086354945398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A563-47FE-8B96-A1290BC811F3}"/>
            </c:ext>
          </c:extLst>
        </c:ser>
        <c:ser>
          <c:idx val="15"/>
          <c:order val="15"/>
          <c:tx>
            <c:v>40 Bar</c:v>
          </c:tx>
          <c:spPr>
            <a:ln w="95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PPM'!$L$5:$X$5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PPM'!$L$22:$X$22</c:f>
              <c:numCache>
                <c:formatCode>0.00</c:formatCode>
                <c:ptCount val="13"/>
                <c:pt idx="0">
                  <c:v>2079.3689497771338</c:v>
                </c:pt>
                <c:pt idx="1">
                  <c:v>2194.0901601459891</c:v>
                </c:pt>
                <c:pt idx="2">
                  <c:v>2305.9672653351804</c:v>
                </c:pt>
                <c:pt idx="3">
                  <c:v>2415.1004479283797</c:v>
                </c:pt>
                <c:pt idx="4">
                  <c:v>2521.6513880948332</c:v>
                </c:pt>
                <c:pt idx="5">
                  <c:v>2625.8159521570287</c:v>
                </c:pt>
                <c:pt idx="6">
                  <c:v>2727.3838950351646</c:v>
                </c:pt>
                <c:pt idx="7">
                  <c:v>2826.8671693827769</c:v>
                </c:pt>
                <c:pt idx="8">
                  <c:v>2846.4326258361293</c:v>
                </c:pt>
                <c:pt idx="9">
                  <c:v>2865.9266332643256</c:v>
                </c:pt>
                <c:pt idx="10">
                  <c:v>2885.3798842240858</c:v>
                </c:pt>
                <c:pt idx="11">
                  <c:v>2904.7856046408983</c:v>
                </c:pt>
                <c:pt idx="12">
                  <c:v>2924.1207232684737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A563-47FE-8B96-A1290BC811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3726096"/>
        <c:axId val="1647055824"/>
      </c:scatterChart>
      <c:valAx>
        <c:axId val="1473726096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Equivalence</a:t>
                </a:r>
                <a:r>
                  <a:rPr lang="en-GB" baseline="0"/>
                  <a:t> Ratio - </a:t>
                </a:r>
                <a:r>
                  <a:rPr lang="en-GB"/>
                  <a:t>ɸ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7055824"/>
        <c:crosses val="autoZero"/>
        <c:crossBetween val="midCat"/>
      </c:valAx>
      <c:valAx>
        <c:axId val="1647055824"/>
        <c:scaling>
          <c:orientation val="minMax"/>
          <c:min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7260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NOx PPM for</a:t>
            </a:r>
            <a:r>
              <a:rPr lang="en-US" sz="2000" baseline="0"/>
              <a:t> Iso-Octane ar Different Equivalence Ratios </a:t>
            </a:r>
            <a:endParaRPr lang="en-US" sz="20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0169875433845739E-2"/>
          <c:y val="7.5343513878946958E-2"/>
          <c:w val="0.89199399757449527"/>
          <c:h val="0.85556907659269865"/>
        </c:manualLayout>
      </c:layout>
      <c:scatterChart>
        <c:scatterStyle val="smoothMarker"/>
        <c:varyColors val="0"/>
        <c:ser>
          <c:idx val="0"/>
          <c:order val="0"/>
          <c:tx>
            <c:v>Iso-Octane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PPM'!$A$4:$A$16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PPM'!$B$4:$B$16</c:f>
              <c:numCache>
                <c:formatCode>0.00</c:formatCode>
                <c:ptCount val="13"/>
                <c:pt idx="0">
                  <c:v>10.259908046323735</c:v>
                </c:pt>
                <c:pt idx="1">
                  <c:v>54.639532842062124</c:v>
                </c:pt>
                <c:pt idx="2">
                  <c:v>233.76355406348225</c:v>
                </c:pt>
                <c:pt idx="3">
                  <c:v>829.25305073715572</c:v>
                </c:pt>
                <c:pt idx="4">
                  <c:v>2493.9188626228906</c:v>
                </c:pt>
                <c:pt idx="5">
                  <c:v>6430.1263798958325</c:v>
                </c:pt>
                <c:pt idx="6">
                  <c:v>14045.335408842688</c:v>
                </c:pt>
                <c:pt idx="7">
                  <c:v>24322.703260554808</c:v>
                </c:pt>
                <c:pt idx="8">
                  <c:v>25755.994054319814</c:v>
                </c:pt>
                <c:pt idx="9">
                  <c:v>26331.334821821176</c:v>
                </c:pt>
                <c:pt idx="10">
                  <c:v>25314.886010614715</c:v>
                </c:pt>
                <c:pt idx="11">
                  <c:v>21023.034255010589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40F-47C1-97FB-FF16D97ACB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8231504"/>
        <c:axId val="1758893712"/>
      </c:scatterChart>
      <c:valAx>
        <c:axId val="133823150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Equivalance Ratio ɸ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8893712"/>
        <c:crosses val="autoZero"/>
        <c:crossBetween val="midCat"/>
        <c:majorUnit val="5.000000000000001E-2"/>
      </c:valAx>
      <c:valAx>
        <c:axId val="1758893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8231504"/>
        <c:crosses val="autoZero"/>
        <c:crossBetween val="midCat"/>
        <c:majorUnit val="40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8495334559215504"/>
          <c:y val="0.20446448739362125"/>
          <c:w val="0.11297707492439893"/>
          <c:h val="3.77162525852121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baseline="0">
                <a:effectLst/>
              </a:rPr>
              <a:t>NOx PPM for Methanol at Different Equivalence Ratios</a:t>
            </a:r>
            <a:endParaRPr lang="en-US" sz="1400"/>
          </a:p>
        </c:rich>
      </c:tx>
      <c:layout>
        <c:manualLayout>
          <c:xMode val="edge"/>
          <c:yMode val="edge"/>
          <c:x val="0.14319540229885058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1971581138564573E-2"/>
          <c:y val="7.5343513878946958E-2"/>
          <c:w val="0.87590207258575437"/>
          <c:h val="0.83053002833412726"/>
        </c:manualLayout>
      </c:layout>
      <c:scatterChart>
        <c:scatterStyle val="smoothMarker"/>
        <c:varyColors val="0"/>
        <c:ser>
          <c:idx val="1"/>
          <c:order val="0"/>
          <c:tx>
            <c:v>Methanol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PPM'!$D$4:$D$16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PPM'!$E$4:$E$16</c:f>
              <c:numCache>
                <c:formatCode>0.00</c:formatCode>
                <c:ptCount val="13"/>
                <c:pt idx="0">
                  <c:v>9.8587969509443124E-2</c:v>
                </c:pt>
                <c:pt idx="1">
                  <c:v>0.56894567500445148</c:v>
                </c:pt>
                <c:pt idx="2">
                  <c:v>2.6167442062453952</c:v>
                </c:pt>
                <c:pt idx="3">
                  <c:v>9.9050181560929875</c:v>
                </c:pt>
                <c:pt idx="4">
                  <c:v>31.455345228698643</c:v>
                </c:pt>
                <c:pt idx="5">
                  <c:v>85.118573991000076</c:v>
                </c:pt>
                <c:pt idx="6">
                  <c:v>194.33822092213236</c:v>
                </c:pt>
                <c:pt idx="7">
                  <c:v>349.6728774202806</c:v>
                </c:pt>
                <c:pt idx="8">
                  <c:v>373.11324818103759</c:v>
                </c:pt>
                <c:pt idx="9">
                  <c:v>384.29817277107122</c:v>
                </c:pt>
                <c:pt idx="10">
                  <c:v>371.97660134099544</c:v>
                </c:pt>
                <c:pt idx="11">
                  <c:v>310.91504124196297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D78-432C-95A6-4AF5D8B151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8231504"/>
        <c:axId val="1758893712"/>
      </c:scatterChart>
      <c:valAx>
        <c:axId val="133823150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Equivalance Ratio ɸ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8893712"/>
        <c:crosses val="autoZero"/>
        <c:crossBetween val="midCat"/>
        <c:majorUnit val="5.000000000000001E-2"/>
      </c:valAx>
      <c:valAx>
        <c:axId val="1758893712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8231504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857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NOx PPM for Ethanol at Different Equivalence Ratios</a:t>
            </a:r>
            <a:endParaRPr lang="en-GB" sz="1100">
              <a:effectLst/>
            </a:endParaRPr>
          </a:p>
        </c:rich>
      </c:tx>
      <c:layout>
        <c:manualLayout>
          <c:xMode val="edge"/>
          <c:yMode val="edge"/>
          <c:x val="0.1578546712802768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114341243676721"/>
          <c:y val="7.5343513878946958E-2"/>
          <c:w val="0.8666190774596082"/>
          <c:h val="0.8145919348733891"/>
        </c:manualLayout>
      </c:layout>
      <c:scatterChart>
        <c:scatterStyle val="smoothMarker"/>
        <c:varyColors val="0"/>
        <c:ser>
          <c:idx val="2"/>
          <c:order val="0"/>
          <c:tx>
            <c:v>Ethanol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PPM'!$G$4:$G$16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PPM'!$H$4:$H$16</c:f>
              <c:numCache>
                <c:formatCode>0.00</c:formatCode>
                <c:ptCount val="13"/>
                <c:pt idx="0">
                  <c:v>0.7740499567357032</c:v>
                </c:pt>
                <c:pt idx="1">
                  <c:v>4.343994602915469</c:v>
                </c:pt>
                <c:pt idx="2">
                  <c:v>19.456504420322076</c:v>
                </c:pt>
                <c:pt idx="3">
                  <c:v>71.674266156562155</c:v>
                </c:pt>
                <c:pt idx="4">
                  <c:v>223.03947469890764</c:v>
                </c:pt>
                <c:pt idx="5">
                  <c:v>592.17649925033641</c:v>
                </c:pt>
                <c:pt idx="6">
                  <c:v>1330.5499954496572</c:v>
                </c:pt>
                <c:pt idx="7">
                  <c:v>2362.9748548039584</c:v>
                </c:pt>
                <c:pt idx="8">
                  <c:v>2514.8876787107529</c:v>
                </c:pt>
                <c:pt idx="9">
                  <c:v>2583.8346966544</c:v>
                </c:pt>
                <c:pt idx="10">
                  <c:v>2494.4732490187666</c:v>
                </c:pt>
                <c:pt idx="11">
                  <c:v>2078.3756137626292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5AA-4A05-ADB0-194C47CB65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8231504"/>
        <c:axId val="1758893712"/>
      </c:scatterChart>
      <c:valAx>
        <c:axId val="133823150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Equivalance Ratio ɸ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8893712"/>
        <c:crosses val="autoZero"/>
        <c:crossBetween val="midCat"/>
        <c:majorUnit val="5.000000000000001E-2"/>
      </c:valAx>
      <c:valAx>
        <c:axId val="1758893712"/>
        <c:scaling>
          <c:orientation val="minMax"/>
          <c:max val="2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8231504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857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NOx PPM for Propane at Different Equivalence Ratios</a:t>
            </a:r>
            <a:endParaRPr lang="en-GB" sz="1800">
              <a:effectLst/>
            </a:endParaRPr>
          </a:p>
        </c:rich>
      </c:tx>
      <c:layout>
        <c:manualLayout>
          <c:xMode val="edge"/>
          <c:yMode val="edge"/>
          <c:x val="0.1479861111111111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269356955380577"/>
          <c:y val="7.1889375352392898E-2"/>
          <c:w val="0.85495698454359892"/>
          <c:h val="0.83138939833527759"/>
        </c:manualLayout>
      </c:layout>
      <c:scatterChart>
        <c:scatterStyle val="smoothMarker"/>
        <c:varyColors val="0"/>
        <c:ser>
          <c:idx val="3"/>
          <c:order val="0"/>
          <c:tx>
            <c:v>Propane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PPM'!$A$20:$A$32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PPM'!$B$20:$B$32</c:f>
              <c:numCache>
                <c:formatCode>0.00</c:formatCode>
                <c:ptCount val="13"/>
                <c:pt idx="0">
                  <c:v>11.248181094929613</c:v>
                </c:pt>
                <c:pt idx="1">
                  <c:v>59.087226119552625</c:v>
                </c:pt>
                <c:pt idx="2">
                  <c:v>249.5630012031481</c:v>
                </c:pt>
                <c:pt idx="3">
                  <c:v>874.78580089593981</c:v>
                </c:pt>
                <c:pt idx="4">
                  <c:v>2602.4671132751737</c:v>
                </c:pt>
                <c:pt idx="5">
                  <c:v>6641.244435028515</c:v>
                </c:pt>
                <c:pt idx="6">
                  <c:v>14369.710302588246</c:v>
                </c:pt>
                <c:pt idx="7">
                  <c:v>24655.832110833337</c:v>
                </c:pt>
                <c:pt idx="8">
                  <c:v>26064.561985135122</c:v>
                </c:pt>
                <c:pt idx="9">
                  <c:v>26602.235403244806</c:v>
                </c:pt>
                <c:pt idx="10">
                  <c:v>25534.421364832822</c:v>
                </c:pt>
                <c:pt idx="11">
                  <c:v>21169.930733376565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105-4E00-A9F0-33F0B9F86B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8231504"/>
        <c:axId val="1758893712"/>
      </c:scatterChart>
      <c:valAx>
        <c:axId val="133823150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Equivalance Ratio ɸ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8893712"/>
        <c:crosses val="autoZero"/>
        <c:crossBetween val="midCat"/>
        <c:majorUnit val="5.000000000000001E-2"/>
      </c:valAx>
      <c:valAx>
        <c:axId val="1758893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8231504"/>
        <c:crosses val="autoZero"/>
        <c:crossBetween val="midCat"/>
        <c:majorUnit val="400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857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NOx PPM for Ethane at Different Equivalence Ratios</a:t>
            </a:r>
            <a:endParaRPr lang="en-GB" sz="1800">
              <a:effectLst/>
            </a:endParaRPr>
          </a:p>
        </c:rich>
      </c:tx>
      <c:layout>
        <c:manualLayout>
          <c:xMode val="edge"/>
          <c:yMode val="edge"/>
          <c:x val="0.1558088658606793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45794858544234"/>
          <c:y val="7.534358723294303E-2"/>
          <c:w val="0.86436021922130202"/>
          <c:h val="0.81411828702759303"/>
        </c:manualLayout>
      </c:layout>
      <c:scatterChart>
        <c:scatterStyle val="smoothMarker"/>
        <c:varyColors val="0"/>
        <c:ser>
          <c:idx val="4"/>
          <c:order val="0"/>
          <c:tx>
            <c:v>Ethane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PPM'!$D$20:$D$32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PPM'!$E$20:$E$32</c:f>
              <c:numCache>
                <c:formatCode>0.00</c:formatCode>
                <c:ptCount val="13"/>
                <c:pt idx="0">
                  <c:v>10.098487872278218</c:v>
                </c:pt>
                <c:pt idx="1">
                  <c:v>52.899580014981979</c:v>
                </c:pt>
                <c:pt idx="2">
                  <c:v>222.86285085178841</c:v>
                </c:pt>
                <c:pt idx="3">
                  <c:v>779.3842356382504</c:v>
                </c:pt>
                <c:pt idx="4">
                  <c:v>2312.2694869181437</c:v>
                </c:pt>
                <c:pt idx="5">
                  <c:v>5887.0571952650425</c:v>
                </c:pt>
                <c:pt idx="6">
                  <c:v>12704.955028535795</c:v>
                </c:pt>
                <c:pt idx="7">
                  <c:v>21764.820020057039</c:v>
                </c:pt>
                <c:pt idx="8">
                  <c:v>22996.174820757409</c:v>
                </c:pt>
                <c:pt idx="9">
                  <c:v>23458.255230426494</c:v>
                </c:pt>
                <c:pt idx="10">
                  <c:v>22498.503462270222</c:v>
                </c:pt>
                <c:pt idx="11">
                  <c:v>18643.009994835553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B89-4524-946E-164C7DE3D4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8231504"/>
        <c:axId val="1758893712"/>
      </c:scatterChart>
      <c:valAx>
        <c:axId val="133823150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Equivalance Ratio ɸ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8893712"/>
        <c:crosses val="autoZero"/>
        <c:crossBetween val="midCat"/>
        <c:majorUnit val="5.000000000000001E-2"/>
      </c:valAx>
      <c:valAx>
        <c:axId val="1758893712"/>
        <c:scaling>
          <c:orientation val="minMax"/>
          <c:max val="2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8231504"/>
        <c:crosses val="autoZero"/>
        <c:crossBetween val="midCat"/>
        <c:majorUnit val="400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857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NOx PPM for Hydrogen at Different Equivalence Ratios</a:t>
            </a:r>
            <a:endParaRPr lang="en-GB" sz="1800">
              <a:effectLst/>
            </a:endParaRPr>
          </a:p>
        </c:rich>
      </c:tx>
      <c:layout>
        <c:manualLayout>
          <c:xMode val="edge"/>
          <c:yMode val="edge"/>
          <c:x val="0.1624126791843327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69961272323478"/>
          <c:y val="7.5343513878946958E-2"/>
          <c:w val="0.84572472147275302"/>
          <c:h val="0.8247997846423043"/>
        </c:manualLayout>
      </c:layout>
      <c:scatterChart>
        <c:scatterStyle val="smoothMarker"/>
        <c:varyColors val="0"/>
        <c:ser>
          <c:idx val="5"/>
          <c:order val="0"/>
          <c:tx>
            <c:v>Hydrogen</c:v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PPM'!$G$20:$G$32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PPM'!$H$20:$H$32</c:f>
              <c:numCache>
                <c:formatCode>0.00</c:formatCode>
                <c:ptCount val="13"/>
                <c:pt idx="0">
                  <c:v>124.546528795637</c:v>
                </c:pt>
                <c:pt idx="1">
                  <c:v>516.85581232668358</c:v>
                </c:pt>
                <c:pt idx="2">
                  <c:v>1758.4448680830913</c:v>
                </c:pt>
                <c:pt idx="3">
                  <c:v>5070.2349631476127</c:v>
                </c:pt>
                <c:pt idx="4">
                  <c:v>12565.134021052861</c:v>
                </c:pt>
                <c:pt idx="5">
                  <c:v>27142.537112433918</c:v>
                </c:pt>
                <c:pt idx="6">
                  <c:v>50336.639418397659</c:v>
                </c:pt>
                <c:pt idx="7">
                  <c:v>74802.774161468697</c:v>
                </c:pt>
                <c:pt idx="8">
                  <c:v>76959.103028172001</c:v>
                </c:pt>
                <c:pt idx="9">
                  <c:v>76470.238128374607</c:v>
                </c:pt>
                <c:pt idx="10">
                  <c:v>71463.490533009273</c:v>
                </c:pt>
                <c:pt idx="11">
                  <c:v>57690.971674954286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9EF-4177-A163-5C78599280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8231504"/>
        <c:axId val="1758893712"/>
      </c:scatterChart>
      <c:valAx>
        <c:axId val="133823150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Equivalance Ratio ɸ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8893712"/>
        <c:crosses val="autoZero"/>
        <c:crossBetween val="midCat"/>
        <c:majorUnit val="5.000000000000001E-2"/>
      </c:valAx>
      <c:valAx>
        <c:axId val="1758893712"/>
        <c:scaling>
          <c:orientation val="minMax"/>
          <c:max val="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8231504"/>
        <c:crosses val="autoZero"/>
        <c:crossBetween val="midCat"/>
        <c:majorUnit val="1000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857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Iso-Octane Initial</a:t>
            </a:r>
            <a:r>
              <a:rPr lang="en-US" sz="1200" baseline="0"/>
              <a:t> Flame Temperatures against EGR% at ɸ -0.97 </a:t>
            </a:r>
            <a:endParaRPr lang="en-US" sz="1200"/>
          </a:p>
        </c:rich>
      </c:tx>
      <c:layout>
        <c:manualLayout>
          <c:xMode val="edge"/>
          <c:yMode val="edge"/>
          <c:x val="0.1631596675415573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92825896762905"/>
          <c:y val="8.879629629629629E-2"/>
          <c:w val="0.83580096237970236"/>
          <c:h val="0.78528579760863226"/>
        </c:manualLayout>
      </c:layout>
      <c:scatterChart>
        <c:scatterStyle val="smoothMarker"/>
        <c:varyColors val="0"/>
        <c:ser>
          <c:idx val="0"/>
          <c:order val="0"/>
          <c:tx>
            <c:v>Iso-Octane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'EGR NOx PPM'!$B$5:$B$15</c:f>
              <c:numCache>
                <c:formatCode>0%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'EGR NOx PPM'!$D$5:$D$15</c:f>
              <c:numCache>
                <c:formatCode>0.00</c:formatCode>
                <c:ptCount val="11"/>
                <c:pt idx="0">
                  <c:v>2343.0754100788636</c:v>
                </c:pt>
                <c:pt idx="1">
                  <c:v>2255.336892930125</c:v>
                </c:pt>
                <c:pt idx="2">
                  <c:v>2175.0889952996217</c:v>
                </c:pt>
                <c:pt idx="3">
                  <c:v>2101.6769853619498</c:v>
                </c:pt>
                <c:pt idx="4">
                  <c:v>2033.9024048753352</c:v>
                </c:pt>
                <c:pt idx="5">
                  <c:v>1971.443191867209</c:v>
                </c:pt>
                <c:pt idx="6">
                  <c:v>1913.5448135620843</c:v>
                </c:pt>
                <c:pt idx="7">
                  <c:v>1859.7454831437447</c:v>
                </c:pt>
                <c:pt idx="8">
                  <c:v>1809.5667697945025</c:v>
                </c:pt>
                <c:pt idx="9">
                  <c:v>1762.7276104286559</c:v>
                </c:pt>
                <c:pt idx="10">
                  <c:v>1718.8206442100402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2A4-40E7-BCB8-E0B51D12AA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0337664"/>
        <c:axId val="825594496"/>
      </c:scatterChart>
      <c:valAx>
        <c:axId val="620337664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EGR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5594496"/>
        <c:crosses val="autoZero"/>
        <c:crossBetween val="midCat"/>
        <c:majorUnit val="5.000000000000001E-2"/>
      </c:valAx>
      <c:valAx>
        <c:axId val="825594496"/>
        <c:scaling>
          <c:orientation val="minMax"/>
          <c:min val="1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Initial Flam</a:t>
                </a:r>
                <a:r>
                  <a:rPr lang="en-GB" baseline="0"/>
                  <a:t>e Temperature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337664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NOx PPM For</a:t>
            </a:r>
            <a:r>
              <a:rPr lang="en-GB" baseline="0"/>
              <a:t> Iso-octane With EGR</a:t>
            </a:r>
            <a:endParaRPr lang="en-GB"/>
          </a:p>
        </c:rich>
      </c:tx>
      <c:layout>
        <c:manualLayout>
          <c:xMode val="edge"/>
          <c:yMode val="edge"/>
          <c:x val="0.2864512672350064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8365112749054283E-2"/>
          <c:y val="5.6680114986230476E-2"/>
          <c:w val="0.85680672780912537"/>
          <c:h val="0.82088669158237904"/>
        </c:manualLayout>
      </c:layout>
      <c:scatterChart>
        <c:scatterStyle val="smoothMarker"/>
        <c:varyColors val="0"/>
        <c:ser>
          <c:idx val="1"/>
          <c:order val="1"/>
          <c:tx>
            <c:v>5% EGR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PPM'!$P$5:$P$17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PPM'!$Q$5:$Q$17</c:f>
              <c:numCache>
                <c:formatCode>0.00</c:formatCode>
                <c:ptCount val="13"/>
                <c:pt idx="0">
                  <c:v>2.9901756186531987</c:v>
                </c:pt>
                <c:pt idx="1">
                  <c:v>16.820956525324302</c:v>
                </c:pt>
                <c:pt idx="2">
                  <c:v>75.31041191414873</c:v>
                </c:pt>
                <c:pt idx="3">
                  <c:v>278.55349505198706</c:v>
                </c:pt>
                <c:pt idx="4">
                  <c:v>869.45475753681455</c:v>
                </c:pt>
                <c:pt idx="5">
                  <c:v>2318.6655345876879</c:v>
                </c:pt>
                <c:pt idx="6">
                  <c:v>5238.0097476525425</c:v>
                </c:pt>
                <c:pt idx="7">
                  <c:v>9318.9353773380244</c:v>
                </c:pt>
                <c:pt idx="8">
                  <c:v>9932.7632752572608</c:v>
                </c:pt>
                <c:pt idx="9">
                  <c:v>10217.116792612791</c:v>
                </c:pt>
                <c:pt idx="10">
                  <c:v>9874.3988809940565</c:v>
                </c:pt>
                <c:pt idx="11">
                  <c:v>8241.2703615745522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E9B-4F02-A35F-57716CD6251B}"/>
            </c:ext>
          </c:extLst>
        </c:ser>
        <c:ser>
          <c:idx val="2"/>
          <c:order val="2"/>
          <c:tx>
            <c:v>10% EGR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PPM'!$R$5:$R$17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PPM'!$S$5:$S$17</c:f>
              <c:numCache>
                <c:formatCode>0.00</c:formatCode>
                <c:ptCount val="13"/>
                <c:pt idx="0">
                  <c:v>0.89518676529168473</c:v>
                </c:pt>
                <c:pt idx="1">
                  <c:v>5.2889164450455768</c:v>
                </c:pt>
                <c:pt idx="2">
                  <c:v>24.822599676160031</c:v>
                </c:pt>
                <c:pt idx="3">
                  <c:v>95.508799218768289</c:v>
                </c:pt>
                <c:pt idx="4">
                  <c:v>309.28953235019912</c:v>
                </c:pt>
                <c:pt idx="5">
                  <c:v>852.08707680808493</c:v>
                </c:pt>
                <c:pt idx="6">
                  <c:v>1983.9394378131258</c:v>
                </c:pt>
                <c:pt idx="7">
                  <c:v>3638.5247885846215</c:v>
                </c:pt>
                <c:pt idx="8">
                  <c:v>3894.8728139015857</c:v>
                </c:pt>
                <c:pt idx="9">
                  <c:v>4023.3435602660338</c:v>
                </c:pt>
                <c:pt idx="10">
                  <c:v>3906.7596564722794</c:v>
                </c:pt>
                <c:pt idx="11">
                  <c:v>3276.3917989696829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E9B-4F02-A35F-57716CD6251B}"/>
            </c:ext>
          </c:extLst>
        </c:ser>
        <c:ser>
          <c:idx val="3"/>
          <c:order val="3"/>
          <c:tx>
            <c:v>15% EGR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PPM'!$P$20:$P$32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PPM'!$Q$20:$Q$32</c:f>
              <c:numCache>
                <c:formatCode>0.00</c:formatCode>
                <c:ptCount val="13"/>
                <c:pt idx="0">
                  <c:v>0.27459462937951268</c:v>
                </c:pt>
                <c:pt idx="1">
                  <c:v>1.7006625292394413</c:v>
                </c:pt>
                <c:pt idx="2">
                  <c:v>8.3440826527862022</c:v>
                </c:pt>
                <c:pt idx="3">
                  <c:v>33.391109178302678</c:v>
                </c:pt>
                <c:pt idx="4">
                  <c:v>112.10355001487999</c:v>
                </c:pt>
                <c:pt idx="5">
                  <c:v>319.03940027860142</c:v>
                </c:pt>
                <c:pt idx="6">
                  <c:v>764.39140502289081</c:v>
                </c:pt>
                <c:pt idx="7">
                  <c:v>1440.4901564555639</c:v>
                </c:pt>
                <c:pt idx="8">
                  <c:v>1551.5068598667615</c:v>
                </c:pt>
                <c:pt idx="9">
                  <c:v>1612.7537684441434</c:v>
                </c:pt>
                <c:pt idx="10">
                  <c:v>1574.4997833029754</c:v>
                </c:pt>
                <c:pt idx="11">
                  <c:v>1327.2623582798503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E9B-4F02-A35F-57716CD6251B}"/>
            </c:ext>
          </c:extLst>
        </c:ser>
        <c:ser>
          <c:idx val="4"/>
          <c:order val="4"/>
          <c:tx>
            <c:v>20% EGR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PPM'!$R$20:$R$32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PPM'!$S$20:$S$32</c:f>
              <c:numCache>
                <c:formatCode>0.00</c:formatCode>
                <c:ptCount val="13"/>
                <c:pt idx="0">
                  <c:v>8.6226505431317463E-2</c:v>
                </c:pt>
                <c:pt idx="1">
                  <c:v>0.55866700217333409</c:v>
                </c:pt>
                <c:pt idx="2">
                  <c:v>2.8546762989333794</c:v>
                </c:pt>
                <c:pt idx="3">
                  <c:v>11.900252110974312</c:v>
                </c:pt>
                <c:pt idx="4">
                  <c:v>41.321085200661003</c:v>
                </c:pt>
                <c:pt idx="5">
                  <c:v>121.42395106963851</c:v>
                </c:pt>
                <c:pt idx="6">
                  <c:v>299.69287010297364</c:v>
                </c:pt>
                <c:pt idx="7">
                  <c:v>579.18699294766077</c:v>
                </c:pt>
                <c:pt idx="8">
                  <c:v>626.69507277659579</c:v>
                </c:pt>
                <c:pt idx="9">
                  <c:v>654.4624263879324</c:v>
                </c:pt>
                <c:pt idx="10">
                  <c:v>642.35807424243762</c:v>
                </c:pt>
                <c:pt idx="11">
                  <c:v>544.24275491711671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E9B-4F02-A35F-57716CD62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364976"/>
        <c:axId val="1412555696"/>
      </c:scatterChart>
      <c:scatterChart>
        <c:scatterStyle val="smoothMarker"/>
        <c:varyColors val="0"/>
        <c:ser>
          <c:idx val="0"/>
          <c:order val="0"/>
          <c:tx>
            <c:v>0% EGR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PPM'!$A$4:$A$16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PPM'!$B$4:$B$16</c:f>
              <c:numCache>
                <c:formatCode>0.00</c:formatCode>
                <c:ptCount val="13"/>
                <c:pt idx="0">
                  <c:v>10.259908046323735</c:v>
                </c:pt>
                <c:pt idx="1">
                  <c:v>54.639532842062124</c:v>
                </c:pt>
                <c:pt idx="2">
                  <c:v>233.76355406348225</c:v>
                </c:pt>
                <c:pt idx="3">
                  <c:v>829.25305073715572</c:v>
                </c:pt>
                <c:pt idx="4">
                  <c:v>2493.9188626228906</c:v>
                </c:pt>
                <c:pt idx="5">
                  <c:v>6430.1263798958325</c:v>
                </c:pt>
                <c:pt idx="6">
                  <c:v>14045.335408842688</c:v>
                </c:pt>
                <c:pt idx="7">
                  <c:v>24322.703260554808</c:v>
                </c:pt>
                <c:pt idx="8">
                  <c:v>25755.994054319814</c:v>
                </c:pt>
                <c:pt idx="9">
                  <c:v>26331.334821821176</c:v>
                </c:pt>
                <c:pt idx="10">
                  <c:v>25314.886010614715</c:v>
                </c:pt>
                <c:pt idx="11">
                  <c:v>21023.034255010589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E9B-4F02-A35F-57716CD62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7271664"/>
        <c:axId val="1575731792"/>
      </c:scatterChart>
      <c:valAx>
        <c:axId val="1419364976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Equivalance Ratio ɸ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555696"/>
        <c:crosses val="autoZero"/>
        <c:crossBetween val="midCat"/>
      </c:valAx>
      <c:valAx>
        <c:axId val="141255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364976"/>
        <c:crosses val="autoZero"/>
        <c:crossBetween val="midCat"/>
      </c:valAx>
      <c:valAx>
        <c:axId val="15757317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 (only for 0% EGR)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271664"/>
        <c:crosses val="max"/>
        <c:crossBetween val="midCat"/>
      </c:valAx>
      <c:valAx>
        <c:axId val="1577271664"/>
        <c:scaling>
          <c:orientation val="minMax"/>
        </c:scaling>
        <c:delete val="1"/>
        <c:axPos val="b"/>
        <c:numFmt formatCode="0.00" sourceLinked="1"/>
        <c:majorTickMark val="none"/>
        <c:minorTickMark val="none"/>
        <c:tickLblPos val="nextTo"/>
        <c:crossAx val="15757317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NOx PPM For Iso-Octane With</a:t>
            </a:r>
            <a:r>
              <a:rPr lang="en-US" baseline="0"/>
              <a:t> EGR at a constant Equivalence Ratio of 0.97</a:t>
            </a:r>
            <a:endParaRPr lang="en-US"/>
          </a:p>
        </c:rich>
      </c:tx>
      <c:layout>
        <c:manualLayout>
          <c:xMode val="edge"/>
          <c:yMode val="edge"/>
          <c:x val="0.1288682456636995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1184247774620711E-2"/>
          <c:y val="7.1140252922930095E-2"/>
          <c:w val="0.86844263641478903"/>
          <c:h val="0.82902409926031972"/>
        </c:manualLayout>
      </c:layout>
      <c:scatterChart>
        <c:scatterStyle val="smoothMarker"/>
        <c:varyColors val="0"/>
        <c:ser>
          <c:idx val="1"/>
          <c:order val="0"/>
          <c:tx>
            <c:v>Iso-Octane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PPM'!$B$5:$B$15</c:f>
              <c:numCache>
                <c:formatCode>0%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'EGR NOx PPM'!$C$5:$C$15</c:f>
              <c:numCache>
                <c:formatCode>0.00</c:formatCode>
                <c:ptCount val="11"/>
                <c:pt idx="0">
                  <c:v>26331.334821821176</c:v>
                </c:pt>
                <c:pt idx="1">
                  <c:v>10217.116792612791</c:v>
                </c:pt>
                <c:pt idx="2">
                  <c:v>4023.3435602660338</c:v>
                </c:pt>
                <c:pt idx="3">
                  <c:v>1612.7537684441434</c:v>
                </c:pt>
                <c:pt idx="4">
                  <c:v>654.4624263879324</c:v>
                </c:pt>
                <c:pt idx="5">
                  <c:v>269.98698711228576</c:v>
                </c:pt>
                <c:pt idx="6">
                  <c:v>112.90359043928756</c:v>
                </c:pt>
                <c:pt idx="7">
                  <c:v>47.860529932457922</c:v>
                </c:pt>
                <c:pt idx="8">
                  <c:v>20.53851573034612</c:v>
                </c:pt>
                <c:pt idx="9">
                  <c:v>8.931725104173136</c:v>
                </c:pt>
                <c:pt idx="10">
                  <c:v>3.92851092789321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ECB-4529-BE1E-3FB63D0D5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8517983"/>
        <c:axId val="574862255"/>
      </c:scatterChart>
      <c:valAx>
        <c:axId val="968517983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EGR</a:t>
                </a:r>
              </a:p>
            </c:rich>
          </c:tx>
          <c:layout>
            <c:manualLayout>
              <c:xMode val="edge"/>
              <c:yMode val="edge"/>
              <c:x val="0.51461072026449428"/>
              <c:y val="0.953527654497733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862255"/>
        <c:crosses val="autoZero"/>
        <c:crossBetween val="midCat"/>
      </c:valAx>
      <c:valAx>
        <c:axId val="574862255"/>
        <c:scaling>
          <c:orientation val="minMax"/>
          <c:max val="28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517983"/>
        <c:crosses val="autoZero"/>
        <c:crossBetween val="midCat"/>
        <c:majorUnit val="400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baseline="0">
                <a:effectLst/>
              </a:rPr>
              <a:t>Methanol - NOx PPM at Different Percentages of Exhaust Gas Recirculation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282345194655546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526534792906996E-2"/>
          <c:y val="5.8851794153983915E-2"/>
          <c:w val="0.83500964818422085"/>
          <c:h val="0.73088236901942827"/>
        </c:manualLayout>
      </c:layout>
      <c:scatterChart>
        <c:scatterStyle val="smoothMarker"/>
        <c:varyColors val="0"/>
        <c:ser>
          <c:idx val="1"/>
          <c:order val="1"/>
          <c:tx>
            <c:v>5% EGR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PPM'!$U$5:$U$17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PPM'!$V$5:$V$17</c:f>
              <c:numCache>
                <c:formatCode>0.00</c:formatCode>
                <c:ptCount val="13"/>
                <c:pt idx="0">
                  <c:v>2.5339776380690009E-2</c:v>
                </c:pt>
                <c:pt idx="1">
                  <c:v>0.15473672718727743</c:v>
                </c:pt>
                <c:pt idx="2">
                  <c:v>0.74382619889850932</c:v>
                </c:pt>
                <c:pt idx="3">
                  <c:v>2.9326531224960055</c:v>
                </c:pt>
                <c:pt idx="4">
                  <c:v>9.6982773733929601</c:v>
                </c:pt>
                <c:pt idx="5">
                  <c:v>27.143641860893187</c:v>
                </c:pt>
                <c:pt idx="6">
                  <c:v>64.027927508304501</c:v>
                </c:pt>
                <c:pt idx="7">
                  <c:v>118.59290558324656</c:v>
                </c:pt>
                <c:pt idx="8">
                  <c:v>127.26344407895543</c:v>
                </c:pt>
                <c:pt idx="9">
                  <c:v>131.81882053048372</c:v>
                </c:pt>
                <c:pt idx="10">
                  <c:v>128.33716524901419</c:v>
                </c:pt>
                <c:pt idx="11">
                  <c:v>107.86611306080226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951-472F-9F14-AC6ACB9716EA}"/>
            </c:ext>
          </c:extLst>
        </c:ser>
        <c:ser>
          <c:idx val="2"/>
          <c:order val="2"/>
          <c:tx>
            <c:v>10% EGR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PPM'!$W$5:$W$17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PPM'!$X$5:$X$17</c:f>
              <c:numCache>
                <c:formatCode>0.00</c:formatCode>
                <c:ptCount val="13"/>
                <c:pt idx="0">
                  <c:v>6.7343281332168017E-3</c:v>
                </c:pt>
                <c:pt idx="1">
                  <c:v>4.3100066695266684E-2</c:v>
                </c:pt>
                <c:pt idx="2">
                  <c:v>0.21714066530848367</c:v>
                </c:pt>
                <c:pt idx="3">
                  <c:v>0.89109936223095498</c:v>
                </c:pt>
                <c:pt idx="4">
                  <c:v>3.0535926996572025</c:v>
                </c:pt>
                <c:pt idx="5">
                  <c:v>8.8587650322736486</c:v>
                </c:pt>
                <c:pt idx="6">
                  <c:v>21.53399392728727</c:v>
                </c:pt>
                <c:pt idx="7">
                  <c:v>41.052743232944756</c:v>
                </c:pt>
                <c:pt idx="8">
                  <c:v>44.30692791904157</c:v>
                </c:pt>
                <c:pt idx="9">
                  <c:v>46.114424524725841</c:v>
                </c:pt>
                <c:pt idx="10">
                  <c:v>45.110451627587878</c:v>
                </c:pt>
                <c:pt idx="11">
                  <c:v>38.10073334157439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951-472F-9F14-AC6ACB9716EA}"/>
            </c:ext>
          </c:extLst>
        </c:ser>
        <c:ser>
          <c:idx val="3"/>
          <c:order val="3"/>
          <c:tx>
            <c:v>15%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PPM'!$U$20:$U$32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PPM'!$V$20:$V$32</c:f>
              <c:numCache>
                <c:formatCode>0.00</c:formatCode>
                <c:ptCount val="13"/>
                <c:pt idx="0">
                  <c:v>1.8387195220006586E-3</c:v>
                </c:pt>
                <c:pt idx="1">
                  <c:v>1.2336244306326847E-2</c:v>
                </c:pt>
                <c:pt idx="2">
                  <c:v>6.4986271881235805E-2</c:v>
                </c:pt>
                <c:pt idx="3">
                  <c:v>0.27703633280242906</c:v>
                </c:pt>
                <c:pt idx="4">
                  <c:v>0.98401113142358942</c:v>
                </c:pt>
                <c:pt idx="5">
                  <c:v>2.9468879985030059</c:v>
                </c:pt>
                <c:pt idx="6">
                  <c:v>7.3962236349760353</c:v>
                </c:pt>
                <c:pt idx="7">
                  <c:v>14.485864679520134</c:v>
                </c:pt>
                <c:pt idx="8">
                  <c:v>15.711539665599782</c:v>
                </c:pt>
                <c:pt idx="9">
                  <c:v>16.444790169637763</c:v>
                </c:pt>
                <c:pt idx="10">
                  <c:v>16.16890426251523</c:v>
                </c:pt>
                <c:pt idx="11">
                  <c:v>13.725145078295025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951-472F-9F14-AC6ACB9716EA}"/>
            </c:ext>
          </c:extLst>
        </c:ser>
        <c:ser>
          <c:idx val="4"/>
          <c:order val="4"/>
          <c:tx>
            <c:v>20% EGR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PPM'!$W$20:$W$32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PPM'!$X$20:$X$32</c:f>
              <c:numCache>
                <c:formatCode>0.00</c:formatCode>
                <c:ptCount val="13"/>
                <c:pt idx="0">
                  <c:v>5.149185525896399E-4</c:v>
                </c:pt>
                <c:pt idx="1">
                  <c:v>3.6225534150150455E-3</c:v>
                </c:pt>
                <c:pt idx="2">
                  <c:v>1.985451955394953E-2</c:v>
                </c:pt>
                <c:pt idx="3">
                  <c:v>8.8355071593152978E-2</c:v>
                </c:pt>
                <c:pt idx="4">
                  <c:v>0.32379110092689428</c:v>
                </c:pt>
                <c:pt idx="5">
                  <c:v>1.0007665461756294</c:v>
                </c:pt>
                <c:pt idx="6">
                  <c:v>2.5850069839240919</c:v>
                </c:pt>
                <c:pt idx="7">
                  <c:v>5.2101609181885378</c:v>
                </c:pt>
                <c:pt idx="8">
                  <c:v>5.6805835892974637</c:v>
                </c:pt>
                <c:pt idx="9">
                  <c:v>5.9767777691670148</c:v>
                </c:pt>
                <c:pt idx="10">
                  <c:v>5.9060958154781007</c:v>
                </c:pt>
                <c:pt idx="11">
                  <c:v>5.0360406171456331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951-472F-9F14-AC6ACB971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2140207"/>
        <c:axId val="783295935"/>
      </c:scatterChart>
      <c:scatterChart>
        <c:scatterStyle val="smoothMarker"/>
        <c:varyColors val="0"/>
        <c:ser>
          <c:idx val="0"/>
          <c:order val="0"/>
          <c:tx>
            <c:v>0% EGR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PPM'!$D$4:$D$16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PPM'!$E$4:$E$16</c:f>
              <c:numCache>
                <c:formatCode>0.00</c:formatCode>
                <c:ptCount val="13"/>
                <c:pt idx="0">
                  <c:v>9.8587969509443124E-2</c:v>
                </c:pt>
                <c:pt idx="1">
                  <c:v>0.56894567500445148</c:v>
                </c:pt>
                <c:pt idx="2">
                  <c:v>2.6167442062453952</c:v>
                </c:pt>
                <c:pt idx="3">
                  <c:v>9.9050181560929875</c:v>
                </c:pt>
                <c:pt idx="4">
                  <c:v>31.455345228698643</c:v>
                </c:pt>
                <c:pt idx="5">
                  <c:v>85.118573991000076</c:v>
                </c:pt>
                <c:pt idx="6">
                  <c:v>194.33822092213236</c:v>
                </c:pt>
                <c:pt idx="7">
                  <c:v>349.6728774202806</c:v>
                </c:pt>
                <c:pt idx="8">
                  <c:v>373.11324818103759</c:v>
                </c:pt>
                <c:pt idx="9">
                  <c:v>384.29817277107122</c:v>
                </c:pt>
                <c:pt idx="10">
                  <c:v>371.97660134099544</c:v>
                </c:pt>
                <c:pt idx="11">
                  <c:v>310.91504124196297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951-472F-9F14-AC6ACB971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8574447"/>
        <c:axId val="968588591"/>
      </c:scatterChart>
      <c:valAx>
        <c:axId val="852140207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Equivalence Ratio </a:t>
                </a:r>
                <a:r>
                  <a:rPr lang="en-GB" sz="900" b="0" i="0" u="none" strike="noStrike" baseline="0">
                    <a:effectLst/>
                  </a:rPr>
                  <a:t>ɸ</a:t>
                </a:r>
                <a:r>
                  <a:rPr lang="en-GB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295935"/>
        <c:crosses val="autoZero"/>
        <c:crossBetween val="midCat"/>
      </c:valAx>
      <c:valAx>
        <c:axId val="783295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2140207"/>
        <c:crosses val="autoZero"/>
        <c:crossBetween val="midCat"/>
      </c:valAx>
      <c:valAx>
        <c:axId val="968588591"/>
        <c:scaling>
          <c:orientation val="minMax"/>
          <c:max val="610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 (Only for 0% EGR)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574447"/>
        <c:crosses val="max"/>
        <c:crossBetween val="midCat"/>
        <c:majorUnit val="100"/>
      </c:valAx>
      <c:valAx>
        <c:axId val="968574447"/>
        <c:scaling>
          <c:orientation val="minMax"/>
        </c:scaling>
        <c:delete val="1"/>
        <c:axPos val="b"/>
        <c:numFmt formatCode="0.00" sourceLinked="1"/>
        <c:majorTickMark val="none"/>
        <c:minorTickMark val="none"/>
        <c:tickLblPos val="nextTo"/>
        <c:crossAx val="9685885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27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661426483993165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293015074686342E-2"/>
          <c:y val="7.8885686839577335E-2"/>
          <c:w val="0.86901302258683633"/>
          <c:h val="0.77823897373058915"/>
        </c:manualLayout>
      </c:layout>
      <c:scatterChart>
        <c:scatterStyle val="smoothMarker"/>
        <c:varyColors val="0"/>
        <c:ser>
          <c:idx val="0"/>
          <c:order val="0"/>
          <c:tx>
            <c:v>Methanol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PPM'!$H$5:$H$15</c:f>
              <c:numCache>
                <c:formatCode>0%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'EGR NOx PPM'!$I$5:$I$15</c:f>
              <c:numCache>
                <c:formatCode>0.00</c:formatCode>
                <c:ptCount val="11"/>
                <c:pt idx="0">
                  <c:v>384.29817277107122</c:v>
                </c:pt>
                <c:pt idx="1">
                  <c:v>131.81882053048372</c:v>
                </c:pt>
                <c:pt idx="2">
                  <c:v>46.114424524725841</c:v>
                </c:pt>
                <c:pt idx="3">
                  <c:v>16.444790169637763</c:v>
                </c:pt>
                <c:pt idx="4">
                  <c:v>5.9767777691670148</c:v>
                </c:pt>
                <c:pt idx="5">
                  <c:v>2.2079516482414183</c:v>
                </c:pt>
                <c:pt idx="6">
                  <c:v>0.82805483176153538</c:v>
                </c:pt>
                <c:pt idx="7">
                  <c:v>0.31617453327039086</c:v>
                </c:pt>
                <c:pt idx="8">
                  <c:v>0.12247698351191375</c:v>
                </c:pt>
                <c:pt idx="9">
                  <c:v>4.8247956004023707E-2</c:v>
                </c:pt>
                <c:pt idx="10">
                  <c:v>1.9256571170920472E-2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B0B-4CCD-BC67-821E7E9FEC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8517983"/>
        <c:axId val="574862255"/>
      </c:scatterChart>
      <c:valAx>
        <c:axId val="968517983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EGR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862255"/>
        <c:crosses val="autoZero"/>
        <c:crossBetween val="midCat"/>
        <c:majorUnit val="5.000000000000001E-2"/>
      </c:valAx>
      <c:valAx>
        <c:axId val="574862255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517983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baseline="0">
                <a:effectLst/>
              </a:rPr>
              <a:t>Ethanol - NOx PPM at Different Percentages of Exhaust Gas Recirculation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444946820671806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463817022872136E-2"/>
          <c:y val="8.733421116740625E-2"/>
          <c:w val="0.84007352739444141"/>
          <c:h val="0.72020146263939488"/>
        </c:manualLayout>
      </c:layout>
      <c:scatterChart>
        <c:scatterStyle val="smoothMarker"/>
        <c:varyColors val="0"/>
        <c:ser>
          <c:idx val="1"/>
          <c:order val="1"/>
          <c:tx>
            <c:v>5% EGR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PPM'!$U$5:$U$17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PPM'!$AA$5:$AA$17</c:f>
              <c:numCache>
                <c:formatCode>0.00</c:formatCode>
                <c:ptCount val="13"/>
                <c:pt idx="0">
                  <c:v>0.21093884868032886</c:v>
                </c:pt>
                <c:pt idx="1">
                  <c:v>1.2451477026738171</c:v>
                </c:pt>
                <c:pt idx="2">
                  <c:v>5.837406308298533</c:v>
                </c:pt>
                <c:pt idx="3">
                  <c:v>22.471486265917626</c:v>
                </c:pt>
                <c:pt idx="4">
                  <c:v>72.568199321782643</c:v>
                </c:pt>
                <c:pt idx="5">
                  <c:v>199.48306890614364</c:v>
                </c:pt>
                <c:pt idx="6">
                  <c:v>462.72692024936811</c:v>
                </c:pt>
                <c:pt idx="7">
                  <c:v>844.63086284102587</c:v>
                </c:pt>
                <c:pt idx="8">
                  <c:v>904.18496416960124</c:v>
                </c:pt>
                <c:pt idx="9">
                  <c:v>934.10654954521124</c:v>
                </c:pt>
                <c:pt idx="10">
                  <c:v>907.10077249014239</c:v>
                </c:pt>
                <c:pt idx="11">
                  <c:v>760.63618352049241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155-4D9F-9E1A-2548FFF8B941}"/>
            </c:ext>
          </c:extLst>
        </c:ser>
        <c:ser>
          <c:idx val="2"/>
          <c:order val="2"/>
          <c:tx>
            <c:v>10% EGR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PPM'!$W$5:$W$17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PPM'!$AC$5:$AC$17</c:f>
              <c:numCache>
                <c:formatCode>0.00</c:formatCode>
                <c:ptCount val="13"/>
                <c:pt idx="0">
                  <c:v>5.8978370989998058E-2</c:v>
                </c:pt>
                <c:pt idx="1">
                  <c:v>0.36595600867116046</c:v>
                </c:pt>
                <c:pt idx="2">
                  <c:v>1.793166419172153</c:v>
                </c:pt>
                <c:pt idx="3">
                  <c:v>7.1996003025423105</c:v>
                </c:pt>
                <c:pt idx="4">
                  <c:v>24.135994537333239</c:v>
                </c:pt>
                <c:pt idx="5">
                  <c:v>68.590043024646917</c:v>
                </c:pt>
                <c:pt idx="6">
                  <c:v>164.07864157678176</c:v>
                </c:pt>
                <c:pt idx="7">
                  <c:v>308.24132389749479</c:v>
                </c:pt>
                <c:pt idx="8">
                  <c:v>331.57314643395296</c:v>
                </c:pt>
                <c:pt idx="9">
                  <c:v>344.26310938796178</c:v>
                </c:pt>
                <c:pt idx="10">
                  <c:v>335.94164448186166</c:v>
                </c:pt>
                <c:pt idx="11">
                  <c:v>282.99846105508345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155-4D9F-9E1A-2548FFF8B941}"/>
            </c:ext>
          </c:extLst>
        </c:ser>
        <c:ser>
          <c:idx val="3"/>
          <c:order val="3"/>
          <c:tx>
            <c:v>15% EGR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PPM'!$U$20:$U$32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PPM'!$AA$20:$AA$32</c:f>
              <c:numCache>
                <c:formatCode>0.00</c:formatCode>
                <c:ptCount val="13"/>
                <c:pt idx="0">
                  <c:v>1.6913616382265129E-2</c:v>
                </c:pt>
                <c:pt idx="1">
                  <c:v>0.11059293384933853</c:v>
                </c:pt>
                <c:pt idx="2">
                  <c:v>0.56408259539797467</c:v>
                </c:pt>
                <c:pt idx="3">
                  <c:v>2.3518461218163598</c:v>
                </c:pt>
                <c:pt idx="4">
                  <c:v>8.1939177889511576</c:v>
                </c:pt>
                <c:pt idx="5">
                  <c:v>24.051808269044685</c:v>
                </c:pt>
                <c:pt idx="6">
                  <c:v>59.285946904483339</c:v>
                </c:pt>
                <c:pt idx="7">
                  <c:v>114.46513911110344</c:v>
                </c:pt>
                <c:pt idx="8">
                  <c:v>123.80372977684986</c:v>
                </c:pt>
                <c:pt idx="9">
                  <c:v>129.23525576515806</c:v>
                </c:pt>
                <c:pt idx="10">
                  <c:v>126.79096844293313</c:v>
                </c:pt>
                <c:pt idx="11">
                  <c:v>107.39808403962277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155-4D9F-9E1A-2548FFF8B941}"/>
            </c:ext>
          </c:extLst>
        </c:ser>
        <c:ser>
          <c:idx val="4"/>
          <c:order val="4"/>
          <c:tx>
            <c:v>20% EGR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PPM'!$W$20:$W$32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PPM'!$AC$20:$AC$32</c:f>
              <c:numCache>
                <c:formatCode>0.00</c:formatCode>
                <c:ptCount val="13"/>
                <c:pt idx="0">
                  <c:v>4.9812927944359042E-3</c:v>
                </c:pt>
                <c:pt idx="1">
                  <c:v>3.3987545071436483E-2</c:v>
                </c:pt>
                <c:pt idx="2">
                  <c:v>0.18163752225471591</c:v>
                </c:pt>
                <c:pt idx="3">
                  <c:v>0.78578049844352127</c:v>
                </c:pt>
                <c:pt idx="4">
                  <c:v>2.8300794002714702</c:v>
                </c:pt>
                <c:pt idx="5">
                  <c:v>8.5959874524288846</c:v>
                </c:pt>
                <c:pt idx="6">
                  <c:v>21.80338169609827</c:v>
                </c:pt>
                <c:pt idx="7">
                  <c:v>43.251863547721484</c:v>
                </c:pt>
                <c:pt idx="8">
                  <c:v>47.035687738399012</c:v>
                </c:pt>
                <c:pt idx="9">
                  <c:v>49.325001099304508</c:v>
                </c:pt>
                <c:pt idx="10">
                  <c:v>48.611865906914502</c:v>
                </c:pt>
                <c:pt idx="11">
                  <c:v>41.361313448681905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155-4D9F-9E1A-2548FFF8B9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2140207"/>
        <c:axId val="783295935"/>
      </c:scatterChart>
      <c:scatterChart>
        <c:scatterStyle val="smoothMarker"/>
        <c:varyColors val="0"/>
        <c:ser>
          <c:idx val="0"/>
          <c:order val="0"/>
          <c:tx>
            <c:v>0% EGR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PPM'!$D$4:$D$16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PPM'!$H$4:$H$16</c:f>
              <c:numCache>
                <c:formatCode>0.00</c:formatCode>
                <c:ptCount val="13"/>
                <c:pt idx="0">
                  <c:v>0.7740499567357032</c:v>
                </c:pt>
                <c:pt idx="1">
                  <c:v>4.343994602915469</c:v>
                </c:pt>
                <c:pt idx="2">
                  <c:v>19.456504420322076</c:v>
                </c:pt>
                <c:pt idx="3">
                  <c:v>71.674266156562155</c:v>
                </c:pt>
                <c:pt idx="4">
                  <c:v>223.03947469890764</c:v>
                </c:pt>
                <c:pt idx="5">
                  <c:v>592.17649925033641</c:v>
                </c:pt>
                <c:pt idx="6">
                  <c:v>1330.5499954496572</c:v>
                </c:pt>
                <c:pt idx="7">
                  <c:v>2362.9748548039584</c:v>
                </c:pt>
                <c:pt idx="8">
                  <c:v>2514.8876787107529</c:v>
                </c:pt>
                <c:pt idx="9">
                  <c:v>2583.8346966544</c:v>
                </c:pt>
                <c:pt idx="10">
                  <c:v>2494.4732490187666</c:v>
                </c:pt>
                <c:pt idx="11">
                  <c:v>2078.3756137626292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155-4D9F-9E1A-2548FFF8B9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685871"/>
        <c:axId val="594680879"/>
      </c:scatterChart>
      <c:valAx>
        <c:axId val="852140207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Equivalence Ratio </a:t>
                </a:r>
                <a:r>
                  <a:rPr lang="en-GB" sz="900" b="0" i="0" u="none" strike="noStrike" baseline="0">
                    <a:effectLst/>
                  </a:rPr>
                  <a:t>ɸ</a:t>
                </a:r>
                <a:r>
                  <a:rPr lang="en-GB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295935"/>
        <c:crosses val="autoZero"/>
        <c:crossBetween val="midCat"/>
      </c:valAx>
      <c:valAx>
        <c:axId val="783295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2140207"/>
        <c:crosses val="autoZero"/>
        <c:crossBetween val="midCat"/>
      </c:valAx>
      <c:valAx>
        <c:axId val="594680879"/>
        <c:scaling>
          <c:orientation val="minMax"/>
          <c:max val="4100"/>
          <c:min val="0"/>
        </c:scaling>
        <c:delete val="0"/>
        <c:axPos val="r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4685871"/>
        <c:crosses val="max"/>
        <c:crossBetween val="midCat"/>
      </c:valAx>
      <c:valAx>
        <c:axId val="594685871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5946808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27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4459050513422665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248920200764378"/>
          <c:y val="7.356454720616569E-2"/>
          <c:w val="0.84358686743104483"/>
          <c:h val="0.80235734983994034"/>
        </c:manualLayout>
      </c:layout>
      <c:scatterChart>
        <c:scatterStyle val="smoothMarker"/>
        <c:varyColors val="0"/>
        <c:ser>
          <c:idx val="1"/>
          <c:order val="0"/>
          <c:tx>
            <c:v>Ethanol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PPM'!$M$5:$M$15</c:f>
              <c:numCache>
                <c:formatCode>0%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'EGR NOx PPM'!$N$5:$N$15</c:f>
              <c:numCache>
                <c:formatCode>0.00</c:formatCode>
                <c:ptCount val="11"/>
                <c:pt idx="0">
                  <c:v>2583.8346966544</c:v>
                </c:pt>
                <c:pt idx="1">
                  <c:v>934.10654954521124</c:v>
                </c:pt>
                <c:pt idx="2">
                  <c:v>344.26310938796178</c:v>
                </c:pt>
                <c:pt idx="3">
                  <c:v>129.23525576515806</c:v>
                </c:pt>
                <c:pt idx="4">
                  <c:v>49.325001099304508</c:v>
                </c:pt>
                <c:pt idx="5">
                  <c:v>19.128606550757116</c:v>
                </c:pt>
                <c:pt idx="6">
                  <c:v>7.541180653418019</c:v>
                </c:pt>
                <c:pt idx="7">
                  <c:v>3.014745498992867</c:v>
                </c:pt>
                <c:pt idx="8">
                  <c:v>1.2201787159510662</c:v>
                </c:pt>
                <c:pt idx="9">
                  <c:v>0.50112880378665448</c:v>
                </c:pt>
                <c:pt idx="10">
                  <c:v>0.20864496351363335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03E-4347-9DAA-907AD94D5D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8517983"/>
        <c:axId val="574862255"/>
      </c:scatterChart>
      <c:valAx>
        <c:axId val="968517983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EGR</a:t>
                </a:r>
              </a:p>
            </c:rich>
          </c:tx>
          <c:layout>
            <c:manualLayout>
              <c:xMode val="edge"/>
              <c:yMode val="edge"/>
              <c:x val="0.48442878850669985"/>
              <c:y val="0.9414063993445905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862255"/>
        <c:crosses val="autoZero"/>
        <c:crossBetween val="midCat"/>
      </c:valAx>
      <c:valAx>
        <c:axId val="574862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5179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baseline="0">
                <a:effectLst/>
              </a:rPr>
              <a:t>Propane - NOx PPM at Different Percentages of Exhaust Gas Recirculation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282345194655546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67459555360458E-2"/>
          <c:y val="5.8851794153983915E-2"/>
          <c:w val="0.79087492112266455"/>
          <c:h val="0.73088236901942827"/>
        </c:manualLayout>
      </c:layout>
      <c:scatterChart>
        <c:scatterStyle val="smoothMarker"/>
        <c:varyColors val="0"/>
        <c:ser>
          <c:idx val="1"/>
          <c:order val="1"/>
          <c:tx>
            <c:v>5% EGR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PPM'!$U$5:$U$17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PPM'!$AF$5:$AF$17</c:f>
              <c:numCache>
                <c:formatCode>0.00</c:formatCode>
                <c:ptCount val="13"/>
                <c:pt idx="0">
                  <c:v>3.2917277603745196</c:v>
                </c:pt>
                <c:pt idx="1">
                  <c:v>18.254341539320691</c:v>
                </c:pt>
                <c:pt idx="2">
                  <c:v>80.667748503278617</c:v>
                </c:pt>
                <c:pt idx="3">
                  <c:v>294.7766573663842</c:v>
                </c:pt>
                <c:pt idx="4">
                  <c:v>909.83832958773849</c:v>
                </c:pt>
                <c:pt idx="5">
                  <c:v>2401.3508207138639</c:v>
                </c:pt>
                <c:pt idx="6">
                  <c:v>5371.7882615795925</c:v>
                </c:pt>
                <c:pt idx="7">
                  <c:v>9470.1469326934803</c:v>
                </c:pt>
                <c:pt idx="8">
                  <c:v>10076.316577134156</c:v>
                </c:pt>
                <c:pt idx="9">
                  <c:v>10345.206423121519</c:v>
                </c:pt>
                <c:pt idx="10">
                  <c:v>9981.0697335077475</c:v>
                </c:pt>
                <c:pt idx="11">
                  <c:v>8316.2009848779926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E1-4F2B-8813-DF529AA53297}"/>
            </c:ext>
          </c:extLst>
        </c:ser>
        <c:ser>
          <c:idx val="2"/>
          <c:order val="2"/>
          <c:tx>
            <c:v>10% EGR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PPM'!$W$5:$W$17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PPM'!$AH$5:$AH$17</c:f>
              <c:numCache>
                <c:formatCode>0.00</c:formatCode>
                <c:ptCount val="13"/>
                <c:pt idx="0">
                  <c:v>0.98909878086852476</c:v>
                </c:pt>
                <c:pt idx="1">
                  <c:v>5.7601293998461998</c:v>
                </c:pt>
                <c:pt idx="2">
                  <c:v>26.666426457787246</c:v>
                </c:pt>
                <c:pt idx="3">
                  <c:v>101.38897763230861</c:v>
                </c:pt>
                <c:pt idx="4">
                  <c:v>324.58214396930077</c:v>
                </c:pt>
                <c:pt idx="5">
                  <c:v>884.73017553399222</c:v>
                </c:pt>
                <c:pt idx="6">
                  <c:v>2039.601654661283</c:v>
                </c:pt>
                <c:pt idx="7">
                  <c:v>3705.6798351479047</c:v>
                </c:pt>
                <c:pt idx="8">
                  <c:v>3958.8185357976054</c:v>
                </c:pt>
                <c:pt idx="9">
                  <c:v>4082.2241166811905</c:v>
                </c:pt>
                <c:pt idx="10">
                  <c:v>3957.0609019632648</c:v>
                </c:pt>
                <c:pt idx="11">
                  <c:v>3313.2415401001631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CE1-4F2B-8813-DF529AA53297}"/>
            </c:ext>
          </c:extLst>
        </c:ser>
        <c:ser>
          <c:idx val="3"/>
          <c:order val="3"/>
          <c:tx>
            <c:v>15% EGR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PPM'!$U$20:$U$32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PPM'!$AF$20:$AF$32</c:f>
              <c:numCache>
                <c:formatCode>0.00</c:formatCode>
                <c:ptCount val="13"/>
                <c:pt idx="0">
                  <c:v>0.30435527108243471</c:v>
                </c:pt>
                <c:pt idx="1">
                  <c:v>1.8578425081718855</c:v>
                </c:pt>
                <c:pt idx="2">
                  <c:v>8.9953574354170289</c:v>
                </c:pt>
                <c:pt idx="3">
                  <c:v>35.543178229079096</c:v>
                </c:pt>
                <c:pt idx="4">
                  <c:v>117.9448861502806</c:v>
                </c:pt>
                <c:pt idx="5">
                  <c:v>332.12230513567124</c:v>
                </c:pt>
                <c:pt idx="6">
                  <c:v>787.62045373931721</c:v>
                </c:pt>
                <c:pt idx="7">
                  <c:v>1470.2895770928087</c:v>
                </c:pt>
                <c:pt idx="8">
                  <c:v>1580.7305219705345</c:v>
                </c:pt>
                <c:pt idx="9">
                  <c:v>1639.9002051246407</c:v>
                </c:pt>
                <c:pt idx="10">
                  <c:v>1598.1818652580469</c:v>
                </c:pt>
                <c:pt idx="11">
                  <c:v>1344.8797022431759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CE1-4F2B-8813-DF529AA53297}"/>
            </c:ext>
          </c:extLst>
        </c:ser>
        <c:ser>
          <c:idx val="4"/>
          <c:order val="4"/>
          <c:tx>
            <c:v>20% EGR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PPM'!$W$20:$W$32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PPM'!$AH$20:$AH$32</c:f>
              <c:numCache>
                <c:formatCode>0.00</c:formatCode>
                <c:ptCount val="13"/>
                <c:pt idx="0">
                  <c:v>9.5956022235053492E-2</c:v>
                </c:pt>
                <c:pt idx="1">
                  <c:v>0.61228481589940209</c:v>
                </c:pt>
                <c:pt idx="2">
                  <c:v>3.0867890844096335</c:v>
                </c:pt>
                <c:pt idx="3">
                  <c:v>12.703503863448621</c:v>
                </c:pt>
                <c:pt idx="4">
                  <c:v>43.597696765491754</c:v>
                </c:pt>
                <c:pt idx="5">
                  <c:v>126.69608631660812</c:v>
                </c:pt>
                <c:pt idx="6">
                  <c:v>309.54926500989694</c:v>
                </c:pt>
                <c:pt idx="7">
                  <c:v>592.38952049438785</c:v>
                </c:pt>
                <c:pt idx="8">
                  <c:v>639.7948383722628</c:v>
                </c:pt>
                <c:pt idx="9">
                  <c:v>666.92100640800049</c:v>
                </c:pt>
                <c:pt idx="10">
                  <c:v>653.40151377519828</c:v>
                </c:pt>
                <c:pt idx="11">
                  <c:v>552.58445298725428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CE1-4F2B-8813-DF529AA532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2140207"/>
        <c:axId val="783295935"/>
      </c:scatterChart>
      <c:scatterChart>
        <c:scatterStyle val="smoothMarker"/>
        <c:varyColors val="0"/>
        <c:ser>
          <c:idx val="0"/>
          <c:order val="0"/>
          <c:tx>
            <c:v>0% EGR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PPM'!$D$4:$D$16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PPM'!$B$20:$B$32</c:f>
              <c:numCache>
                <c:formatCode>0.00</c:formatCode>
                <c:ptCount val="13"/>
                <c:pt idx="0">
                  <c:v>11.248181094929613</c:v>
                </c:pt>
                <c:pt idx="1">
                  <c:v>59.087226119552625</c:v>
                </c:pt>
                <c:pt idx="2">
                  <c:v>249.5630012031481</c:v>
                </c:pt>
                <c:pt idx="3">
                  <c:v>874.78580089593981</c:v>
                </c:pt>
                <c:pt idx="4">
                  <c:v>2602.4671132751737</c:v>
                </c:pt>
                <c:pt idx="5">
                  <c:v>6641.244435028515</c:v>
                </c:pt>
                <c:pt idx="6">
                  <c:v>14369.710302588246</c:v>
                </c:pt>
                <c:pt idx="7">
                  <c:v>24655.832110833337</c:v>
                </c:pt>
                <c:pt idx="8">
                  <c:v>26064.561985135122</c:v>
                </c:pt>
                <c:pt idx="9">
                  <c:v>26602.235403244806</c:v>
                </c:pt>
                <c:pt idx="10">
                  <c:v>25534.421364832822</c:v>
                </c:pt>
                <c:pt idx="11">
                  <c:v>21169.930733376565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CE1-4F2B-8813-DF529AA532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8574447"/>
        <c:axId val="968588591"/>
      </c:scatterChart>
      <c:valAx>
        <c:axId val="852140207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Equivalence Ratio </a:t>
                </a:r>
                <a:r>
                  <a:rPr lang="en-GB" sz="900" b="0" i="0" u="none" strike="noStrike" baseline="0">
                    <a:effectLst/>
                  </a:rPr>
                  <a:t>ɸ</a:t>
                </a:r>
                <a:r>
                  <a:rPr lang="en-GB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295935"/>
        <c:crosses val="autoZero"/>
        <c:crossBetween val="midCat"/>
      </c:valAx>
      <c:valAx>
        <c:axId val="783295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2140207"/>
        <c:crosses val="autoZero"/>
        <c:crossBetween val="midCat"/>
      </c:valAx>
      <c:valAx>
        <c:axId val="968588591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 (Only for 0% EGR)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574447"/>
        <c:crosses val="max"/>
        <c:crossBetween val="midCat"/>
      </c:valAx>
      <c:valAx>
        <c:axId val="968574447"/>
        <c:scaling>
          <c:orientation val="minMax"/>
        </c:scaling>
        <c:delete val="1"/>
        <c:axPos val="b"/>
        <c:numFmt formatCode="0.00" sourceLinked="1"/>
        <c:majorTickMark val="none"/>
        <c:minorTickMark val="none"/>
        <c:tickLblPos val="nextTo"/>
        <c:crossAx val="9685885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27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353796644984594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121538285975122"/>
          <c:y val="8.1121468795359392E-2"/>
          <c:w val="0.8668368366997603"/>
          <c:h val="0.78980947341085572"/>
        </c:manualLayout>
      </c:layout>
      <c:scatterChart>
        <c:scatterStyle val="smoothMarker"/>
        <c:varyColors val="0"/>
        <c:ser>
          <c:idx val="3"/>
          <c:order val="0"/>
          <c:tx>
            <c:v>Propane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PPM'!$B$19:$B$29</c:f>
              <c:numCache>
                <c:formatCode>0%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'EGR NOx PPM'!$C$19:$C$29</c:f>
              <c:numCache>
                <c:formatCode>0.00</c:formatCode>
                <c:ptCount val="11"/>
                <c:pt idx="0">
                  <c:v>26602.235403244806</c:v>
                </c:pt>
                <c:pt idx="1">
                  <c:v>10345.206423121519</c:v>
                </c:pt>
                <c:pt idx="2">
                  <c:v>4082.2241166811905</c:v>
                </c:pt>
                <c:pt idx="3">
                  <c:v>1639.9002051246407</c:v>
                </c:pt>
                <c:pt idx="4">
                  <c:v>666.92100640800049</c:v>
                </c:pt>
                <c:pt idx="5">
                  <c:v>275.66074137993866</c:v>
                </c:pt>
                <c:pt idx="6">
                  <c:v>115.51060184901156</c:v>
                </c:pt>
                <c:pt idx="7">
                  <c:v>49.054774730584114</c:v>
                </c:pt>
                <c:pt idx="8">
                  <c:v>21.09192966563289</c:v>
                </c:pt>
                <c:pt idx="9">
                  <c:v>9.1879543814101758</c:v>
                </c:pt>
                <c:pt idx="10">
                  <c:v>4.0487036868831128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B4F-475B-8005-3100C5A593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8517983"/>
        <c:axId val="574862255"/>
      </c:scatterChart>
      <c:valAx>
        <c:axId val="968517983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EGR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862255"/>
        <c:crosses val="autoZero"/>
        <c:crossBetween val="midCat"/>
      </c:valAx>
      <c:valAx>
        <c:axId val="574862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5179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200" b="1" i="0" baseline="0">
                <a:effectLst/>
              </a:rPr>
              <a:t>Ethane - NOx PPM at Different Percentages of Exhaust Gas Recirculation</a:t>
            </a:r>
            <a:endParaRPr lang="en-GB" sz="1200">
              <a:effectLst/>
            </a:endParaRPr>
          </a:p>
        </c:rich>
      </c:tx>
      <c:layout>
        <c:manualLayout>
          <c:xMode val="edge"/>
          <c:yMode val="edge"/>
          <c:x val="0.1677234857837892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068835907706654E-2"/>
          <c:y val="5.8851794153983915E-2"/>
          <c:w val="0.78622916037934287"/>
          <c:h val="0.73088236901942827"/>
        </c:manualLayout>
      </c:layout>
      <c:scatterChart>
        <c:scatterStyle val="smoothMarker"/>
        <c:varyColors val="0"/>
        <c:ser>
          <c:idx val="1"/>
          <c:order val="1"/>
          <c:tx>
            <c:v>5% EGR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PPM'!$U$5:$U$17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PPM'!$AK$5:$AK$17</c:f>
              <c:numCache>
                <c:formatCode>0.00</c:formatCode>
                <c:ptCount val="13"/>
                <c:pt idx="0">
                  <c:v>2.9475377039769914</c:v>
                </c:pt>
                <c:pt idx="1">
                  <c:v>16.304182409662968</c:v>
                </c:pt>
                <c:pt idx="2">
                  <c:v>71.868211372304543</c:v>
                </c:pt>
                <c:pt idx="3">
                  <c:v>261.97311126752163</c:v>
                </c:pt>
                <c:pt idx="4">
                  <c:v>806.59286050299681</c:v>
                </c:pt>
                <c:pt idx="5">
                  <c:v>2123.0755736023475</c:v>
                </c:pt>
                <c:pt idx="6">
                  <c:v>4738.3906293388927</c:v>
                </c:pt>
                <c:pt idx="7">
                  <c:v>8332.3889053551629</c:v>
                </c:pt>
                <c:pt idx="8">
                  <c:v>8860.9176238435102</c:v>
                </c:pt>
                <c:pt idx="9">
                  <c:v>9096.6339584665511</c:v>
                </c:pt>
                <c:pt idx="10">
                  <c:v>8772.653611196718</c:v>
                </c:pt>
                <c:pt idx="11">
                  <c:v>7305.3911729094198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ADF-4958-BC9D-23B3E3744534}"/>
            </c:ext>
          </c:extLst>
        </c:ser>
        <c:ser>
          <c:idx val="2"/>
          <c:order val="2"/>
          <c:tx>
            <c:v>10% EGR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PPM'!$W$5:$W$17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PPM'!$AM$5:$AM$17</c:f>
              <c:numCache>
                <c:formatCode>0.00</c:formatCode>
                <c:ptCount val="13"/>
                <c:pt idx="0">
                  <c:v>0.88368598999211911</c:v>
                </c:pt>
                <c:pt idx="1">
                  <c:v>5.1324278641592578</c:v>
                </c:pt>
                <c:pt idx="2">
                  <c:v>23.709604180046632</c:v>
                </c:pt>
                <c:pt idx="3">
                  <c:v>89.874636052293482</c:v>
                </c:pt>
                <c:pt idx="4">
                  <c:v>287.02935360719385</c:v>
                </c:pt>
                <c:pt idx="5">
                  <c:v>780.48060990790896</c:v>
                </c:pt>
                <c:pt idx="6">
                  <c:v>1794.45786533195</c:v>
                </c:pt>
                <c:pt idx="7">
                  <c:v>3252.8403243350976</c:v>
                </c:pt>
                <c:pt idx="8">
                  <c:v>3475.644883035462</c:v>
                </c:pt>
                <c:pt idx="9">
                  <c:v>3581.9581377267682</c:v>
                </c:pt>
                <c:pt idx="10">
                  <c:v>3470.1885781992701</c:v>
                </c:pt>
                <c:pt idx="11">
                  <c:v>2903.1667835885119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ADF-4958-BC9D-23B3E3744534}"/>
            </c:ext>
          </c:extLst>
        </c:ser>
        <c:ser>
          <c:idx val="3"/>
          <c:order val="3"/>
          <c:tx>
            <c:v>15% EGR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PPM'!$U$20:$U$32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PPM'!$AK$20:$AK$32</c:f>
              <c:numCache>
                <c:formatCode>0.00</c:formatCode>
                <c:ptCount val="13"/>
                <c:pt idx="0">
                  <c:v>0.27142342711498885</c:v>
                </c:pt>
                <c:pt idx="1">
                  <c:v>1.6521968622309182</c:v>
                </c:pt>
                <c:pt idx="2">
                  <c:v>7.9760106034836857</c:v>
                </c:pt>
                <c:pt idx="3">
                  <c:v>31.443563191593871</c:v>
                </c:pt>
                <c:pt idx="4">
                  <c:v>104.08652810357221</c:v>
                </c:pt>
                <c:pt idx="5">
                  <c:v>292.25311498168639</c:v>
                </c:pt>
                <c:pt idx="6">
                  <c:v>691.49963391034862</c:v>
                </c:pt>
                <c:pt idx="7">
                  <c:v>1287.3312995599802</c:v>
                </c:pt>
                <c:pt idx="8">
                  <c:v>1383.234323644918</c:v>
                </c:pt>
                <c:pt idx="9">
                  <c:v>1434.5962346022977</c:v>
                </c:pt>
                <c:pt idx="10">
                  <c:v>1397.7289084247088</c:v>
                </c:pt>
                <c:pt idx="11">
                  <c:v>1175.5390906753451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ADF-4958-BC9D-23B3E3744534}"/>
            </c:ext>
          </c:extLst>
        </c:ser>
        <c:ser>
          <c:idx val="4"/>
          <c:order val="4"/>
          <c:tx>
            <c:v>20% EGR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PPM'!$W$20:$W$32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PPM'!$AM$20:$AM$32</c:f>
              <c:numCache>
                <c:formatCode>0.00</c:formatCode>
                <c:ptCount val="13"/>
                <c:pt idx="0">
                  <c:v>8.534502015899903E-2</c:v>
                </c:pt>
                <c:pt idx="1">
                  <c:v>0.5433054132441284</c:v>
                </c:pt>
                <c:pt idx="2">
                  <c:v>2.7310470933189901</c:v>
                </c:pt>
                <c:pt idx="3">
                  <c:v>11.212304381937155</c:v>
                </c:pt>
                <c:pt idx="4">
                  <c:v>38.377584138636443</c:v>
                </c:pt>
                <c:pt idx="5">
                  <c:v>111.25984673564324</c:v>
                </c:pt>
                <c:pt idx="6">
                  <c:v>271.06377858655117</c:v>
                </c:pt>
                <c:pt idx="7">
                  <c:v>517.62917289862742</c:v>
                </c:pt>
                <c:pt idx="8">
                  <c:v>558.71736640142024</c:v>
                </c:pt>
                <c:pt idx="9">
                  <c:v>582.06155807408459</c:v>
                </c:pt>
                <c:pt idx="10">
                  <c:v>569.93040996151251</c:v>
                </c:pt>
                <c:pt idx="11">
                  <c:v>481.78956160750943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ADF-4958-BC9D-23B3E37445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2140207"/>
        <c:axId val="783295935"/>
      </c:scatterChart>
      <c:scatterChart>
        <c:scatterStyle val="smoothMarker"/>
        <c:varyColors val="0"/>
        <c:ser>
          <c:idx val="0"/>
          <c:order val="0"/>
          <c:tx>
            <c:v>0% EGR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PPM'!$D$4:$D$16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PPM'!$E$20:$E$32</c:f>
              <c:numCache>
                <c:formatCode>0.00</c:formatCode>
                <c:ptCount val="13"/>
                <c:pt idx="0">
                  <c:v>10.098487872278218</c:v>
                </c:pt>
                <c:pt idx="1">
                  <c:v>52.899580014981979</c:v>
                </c:pt>
                <c:pt idx="2">
                  <c:v>222.86285085178841</c:v>
                </c:pt>
                <c:pt idx="3">
                  <c:v>779.3842356382504</c:v>
                </c:pt>
                <c:pt idx="4">
                  <c:v>2312.2694869181437</c:v>
                </c:pt>
                <c:pt idx="5">
                  <c:v>5887.0571952650425</c:v>
                </c:pt>
                <c:pt idx="6">
                  <c:v>12704.955028535795</c:v>
                </c:pt>
                <c:pt idx="7">
                  <c:v>21764.820020057039</c:v>
                </c:pt>
                <c:pt idx="8">
                  <c:v>22996.174820757409</c:v>
                </c:pt>
                <c:pt idx="9">
                  <c:v>23458.255230426494</c:v>
                </c:pt>
                <c:pt idx="10">
                  <c:v>22498.503462270222</c:v>
                </c:pt>
                <c:pt idx="11">
                  <c:v>18643.009994835553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ADF-4958-BC9D-23B3E37445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8574447"/>
        <c:axId val="968588591"/>
      </c:scatterChart>
      <c:valAx>
        <c:axId val="852140207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Equivalence Ratio </a:t>
                </a:r>
                <a:r>
                  <a:rPr lang="en-GB" sz="900" b="0" i="0" u="none" strike="noStrike" baseline="0">
                    <a:effectLst/>
                  </a:rPr>
                  <a:t>ɸ</a:t>
                </a:r>
                <a:r>
                  <a:rPr lang="en-GB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295935"/>
        <c:crosses val="autoZero"/>
        <c:crossBetween val="midCat"/>
      </c:valAx>
      <c:valAx>
        <c:axId val="783295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2140207"/>
        <c:crosses val="autoZero"/>
        <c:crossBetween val="midCat"/>
      </c:valAx>
      <c:valAx>
        <c:axId val="968588591"/>
        <c:scaling>
          <c:orientation val="minMax"/>
          <c:max val="38000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 (Only for 0% EGR)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574447"/>
        <c:crosses val="max"/>
        <c:crossBetween val="midCat"/>
      </c:valAx>
      <c:valAx>
        <c:axId val="968574447"/>
        <c:scaling>
          <c:orientation val="minMax"/>
        </c:scaling>
        <c:delete val="1"/>
        <c:axPos val="b"/>
        <c:numFmt formatCode="0.00" sourceLinked="1"/>
        <c:majorTickMark val="none"/>
        <c:minorTickMark val="none"/>
        <c:tickLblPos val="nextTo"/>
        <c:crossAx val="9685885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27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4377622377622378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73923976286182"/>
          <c:y val="7.9877300613496932E-2"/>
          <c:w val="0.85914542150762618"/>
          <c:h val="0.7925224224272579"/>
        </c:manualLayout>
      </c:layout>
      <c:scatterChart>
        <c:scatterStyle val="smoothMarker"/>
        <c:varyColors val="0"/>
        <c:ser>
          <c:idx val="4"/>
          <c:order val="0"/>
          <c:tx>
            <c:v>Ethane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PPM'!$H$19:$H$29</c:f>
              <c:numCache>
                <c:formatCode>0%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'EGR NOx PPM'!$I$19:$I$29</c:f>
              <c:numCache>
                <c:formatCode>0.00</c:formatCode>
                <c:ptCount val="11"/>
                <c:pt idx="0">
                  <c:v>23458.255230426494</c:v>
                </c:pt>
                <c:pt idx="1">
                  <c:v>9096.6339584665511</c:v>
                </c:pt>
                <c:pt idx="2">
                  <c:v>3581.9581377267682</c:v>
                </c:pt>
                <c:pt idx="3">
                  <c:v>1434.5962346022977</c:v>
                </c:pt>
                <c:pt idx="4">
                  <c:v>582.06155807408459</c:v>
                </c:pt>
                <c:pt idx="5">
                  <c:v>240.10451762137112</c:v>
                </c:pt>
                <c:pt idx="6">
                  <c:v>100.36164541049496</c:v>
                </c:pt>
                <c:pt idx="7">
                  <c:v>42.536336718036566</c:v>
                </c:pt>
                <c:pt idx="8">
                  <c:v>18.247479511708967</c:v>
                </c:pt>
                <c:pt idx="9">
                  <c:v>7.9333142502720646</c:v>
                </c:pt>
                <c:pt idx="10">
                  <c:v>3.4877756109501896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CB9-4347-9D25-8A9D3590F0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8517983"/>
        <c:axId val="574862255"/>
      </c:scatterChart>
      <c:valAx>
        <c:axId val="968517983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EGR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862255"/>
        <c:crosses val="autoZero"/>
        <c:crossBetween val="midCat"/>
      </c:valAx>
      <c:valAx>
        <c:axId val="574862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5179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200" b="1" i="0" baseline="0">
                <a:effectLst/>
              </a:rPr>
              <a:t>Hydrogen - NOx PPM at Different Percentages of Exhaust Gas Recirculation</a:t>
            </a:r>
            <a:endParaRPr lang="en-GB" sz="1200">
              <a:effectLst/>
            </a:endParaRPr>
          </a:p>
        </c:rich>
      </c:tx>
      <c:layout>
        <c:manualLayout>
          <c:xMode val="edge"/>
          <c:yMode val="edge"/>
          <c:x val="0.1677234857837892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930387237369037E-2"/>
          <c:y val="5.8851794153983915E-2"/>
          <c:w val="0.7817651246173265"/>
          <c:h val="0.73088236901942827"/>
        </c:manualLayout>
      </c:layout>
      <c:scatterChart>
        <c:scatterStyle val="smoothMarker"/>
        <c:varyColors val="0"/>
        <c:ser>
          <c:idx val="1"/>
          <c:order val="1"/>
          <c:tx>
            <c:v>5% EGR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PPM'!$U$5:$U$17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PPM'!$AP$5:$AP$17</c:f>
              <c:numCache>
                <c:formatCode>0.00</c:formatCode>
                <c:ptCount val="13"/>
                <c:pt idx="0">
                  <c:v>39.81059320427417</c:v>
                </c:pt>
                <c:pt idx="1">
                  <c:v>173.08558687635266</c:v>
                </c:pt>
                <c:pt idx="2">
                  <c:v>614.95164669544511</c:v>
                </c:pt>
                <c:pt idx="3">
                  <c:v>1836.9083751724568</c:v>
                </c:pt>
                <c:pt idx="4">
                  <c:v>4721.2271692056102</c:v>
                </c:pt>
                <c:pt idx="5">
                  <c:v>10484.403122196325</c:v>
                </c:pt>
                <c:pt idx="6">
                  <c:v>20029.788205246256</c:v>
                </c:pt>
                <c:pt idx="7">
                  <c:v>30499.461040818398</c:v>
                </c:pt>
                <c:pt idx="8">
                  <c:v>31534.830242908214</c:v>
                </c:pt>
                <c:pt idx="9">
                  <c:v>31488.074077651258</c:v>
                </c:pt>
                <c:pt idx="10">
                  <c:v>29565.284815064359</c:v>
                </c:pt>
                <c:pt idx="11">
                  <c:v>23968.332398037281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702-4DE9-A4FF-05D2CA8F3851}"/>
            </c:ext>
          </c:extLst>
        </c:ser>
        <c:ser>
          <c:idx val="2"/>
          <c:order val="2"/>
          <c:tx>
            <c:v>10% EGR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PPM'!$W$5:$W$17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PPM'!$AR$5:$AR$17</c:f>
              <c:numCache>
                <c:formatCode>0.00</c:formatCode>
                <c:ptCount val="13"/>
                <c:pt idx="0">
                  <c:v>13.01515047339981</c:v>
                </c:pt>
                <c:pt idx="1">
                  <c:v>59.217087919808826</c:v>
                </c:pt>
                <c:pt idx="2">
                  <c:v>218.99404822668743</c:v>
                </c:pt>
                <c:pt idx="3">
                  <c:v>678.85249144340355</c:v>
                </c:pt>
                <c:pt idx="4">
                  <c:v>1800.3225206004379</c:v>
                </c:pt>
                <c:pt idx="5">
                  <c:v>4130.1592870204804</c:v>
                </c:pt>
                <c:pt idx="6">
                  <c:v>8083.1148347099006</c:v>
                </c:pt>
                <c:pt idx="7">
                  <c:v>12642.666137604816</c:v>
                </c:pt>
                <c:pt idx="8">
                  <c:v>13132.623307742837</c:v>
                </c:pt>
                <c:pt idx="9">
                  <c:v>13170.716687821954</c:v>
                </c:pt>
                <c:pt idx="10">
                  <c:v>12415.030524070682</c:v>
                </c:pt>
                <c:pt idx="11">
                  <c:v>10109.445763707905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702-4DE9-A4FF-05D2CA8F3851}"/>
            </c:ext>
          </c:extLst>
        </c:ser>
        <c:ser>
          <c:idx val="3"/>
          <c:order val="3"/>
          <c:tx>
            <c:v>15% EGR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PPM'!$U$20:$U$32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PPM'!$AP$20:$AP$32</c:f>
              <c:numCache>
                <c:formatCode>0.00</c:formatCode>
                <c:ptCount val="13"/>
                <c:pt idx="0">
                  <c:v>4.3364414616399038</c:v>
                </c:pt>
                <c:pt idx="1">
                  <c:v>20.666153792327609</c:v>
                </c:pt>
                <c:pt idx="2">
                  <c:v>79.458824744232999</c:v>
                </c:pt>
                <c:pt idx="3">
                  <c:v>255.23197487290611</c:v>
                </c:pt>
                <c:pt idx="4">
                  <c:v>698.93109026822538</c:v>
                </c:pt>
                <c:pt idx="5">
                  <c:v>1648.5194440562475</c:v>
                </c:pt>
                <c:pt idx="6">
                  <c:v>3322.1918027616825</c:v>
                </c:pt>
                <c:pt idx="7">
                  <c:v>5306.9745014562641</c:v>
                </c:pt>
                <c:pt idx="8">
                  <c:v>5539.1506214937008</c:v>
                </c:pt>
                <c:pt idx="9">
                  <c:v>5582.6533071914992</c:v>
                </c:pt>
                <c:pt idx="10">
                  <c:v>5290.5781634786572</c:v>
                </c:pt>
                <c:pt idx="11">
                  <c:v>4329.8287939214752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702-4DE9-A4FF-05D2CA8F3851}"/>
            </c:ext>
          </c:extLst>
        </c:ser>
        <c:ser>
          <c:idx val="4"/>
          <c:order val="4"/>
          <c:tx>
            <c:v>20% EGR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PPM'!$W$20:$W$32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'EGR NOx PPM'!$AR$20:$AR$32</c:f>
              <c:numCache>
                <c:formatCode>0.00</c:formatCode>
                <c:ptCount val="13"/>
                <c:pt idx="0">
                  <c:v>1.4745723252082925</c:v>
                </c:pt>
                <c:pt idx="1">
                  <c:v>7.3434263025817286</c:v>
                </c:pt>
                <c:pt idx="2">
                  <c:v>29.341559033683318</c:v>
                </c:pt>
                <c:pt idx="3">
                  <c:v>97.596590437601378</c:v>
                </c:pt>
                <c:pt idx="4">
                  <c:v>275.717191383581</c:v>
                </c:pt>
                <c:pt idx="5">
                  <c:v>668.90502592857285</c:v>
                </c:pt>
                <c:pt idx="6">
                  <c:v>1381.5623880071207</c:v>
                </c:pt>
                <c:pt idx="7">
                  <c:v>2266.2371398991286</c:v>
                </c:pt>
                <c:pt idx="8">
                  <c:v>2376.0026408812623</c:v>
                </c:pt>
                <c:pt idx="9">
                  <c:v>2403.9099555981475</c:v>
                </c:pt>
                <c:pt idx="10">
                  <c:v>2285.1974096776016</c:v>
                </c:pt>
                <c:pt idx="11">
                  <c:v>1876.3631584596492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702-4DE9-A4FF-05D2CA8F38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2140207"/>
        <c:axId val="783295935"/>
      </c:scatterChart>
      <c:scatterChart>
        <c:scatterStyle val="smoothMarker"/>
        <c:varyColors val="0"/>
        <c:ser>
          <c:idx val="0"/>
          <c:order val="0"/>
          <c:tx>
            <c:v>0% EGR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'NOx PPM'!$D$4:$D$16</c:f>
              <c:numCache>
                <c:formatCode>0.00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'NOx PPM'!$H$20:$H$32</c:f>
              <c:numCache>
                <c:formatCode>0.00</c:formatCode>
                <c:ptCount val="13"/>
                <c:pt idx="0">
                  <c:v>124.546528795637</c:v>
                </c:pt>
                <c:pt idx="1">
                  <c:v>516.85581232668358</c:v>
                </c:pt>
                <c:pt idx="2">
                  <c:v>1758.4448680830913</c:v>
                </c:pt>
                <c:pt idx="3">
                  <c:v>5070.2349631476127</c:v>
                </c:pt>
                <c:pt idx="4">
                  <c:v>12565.134021052861</c:v>
                </c:pt>
                <c:pt idx="5">
                  <c:v>27142.537112433918</c:v>
                </c:pt>
                <c:pt idx="6">
                  <c:v>50336.639418397659</c:v>
                </c:pt>
                <c:pt idx="7">
                  <c:v>74802.774161468697</c:v>
                </c:pt>
                <c:pt idx="8">
                  <c:v>76959.103028172001</c:v>
                </c:pt>
                <c:pt idx="9">
                  <c:v>76470.238128374607</c:v>
                </c:pt>
                <c:pt idx="10">
                  <c:v>71463.490533009273</c:v>
                </c:pt>
                <c:pt idx="11">
                  <c:v>57690.971674954286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702-4DE9-A4FF-05D2CA8F38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8574447"/>
        <c:axId val="968588591"/>
      </c:scatterChart>
      <c:valAx>
        <c:axId val="852140207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Equivalence Ratio </a:t>
                </a:r>
                <a:r>
                  <a:rPr lang="en-GB" sz="900" b="0" i="0" u="none" strike="noStrike" baseline="0">
                    <a:effectLst/>
                  </a:rPr>
                  <a:t>ɸ</a:t>
                </a:r>
                <a:r>
                  <a:rPr lang="en-GB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295935"/>
        <c:crosses val="autoZero"/>
        <c:crossBetween val="midCat"/>
      </c:valAx>
      <c:valAx>
        <c:axId val="783295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2140207"/>
        <c:crosses val="autoZero"/>
        <c:crossBetween val="midCat"/>
      </c:valAx>
      <c:valAx>
        <c:axId val="96858859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 (Only for 0% EGR)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574447"/>
        <c:crosses val="max"/>
        <c:crossBetween val="midCat"/>
      </c:valAx>
      <c:valAx>
        <c:axId val="968574447"/>
        <c:scaling>
          <c:orientation val="minMax"/>
        </c:scaling>
        <c:delete val="1"/>
        <c:axPos val="b"/>
        <c:numFmt formatCode="0.00" sourceLinked="1"/>
        <c:majorTickMark val="none"/>
        <c:minorTickMark val="none"/>
        <c:tickLblPos val="nextTo"/>
        <c:crossAx val="9685885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27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04777637061101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103536883064442"/>
          <c:y val="0.1085071574642127"/>
          <c:w val="0.85684929243984365"/>
          <c:h val="0.77213371334718128"/>
        </c:manualLayout>
      </c:layout>
      <c:scatterChart>
        <c:scatterStyle val="smoothMarker"/>
        <c:varyColors val="0"/>
        <c:ser>
          <c:idx val="5"/>
          <c:order val="0"/>
          <c:tx>
            <c:v>Hydrogen</c:v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NOx PPM'!$M$19:$M$29</c:f>
              <c:numCache>
                <c:formatCode>0%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'EGR NOx PPM'!$N$19:$N$29</c:f>
              <c:numCache>
                <c:formatCode>0.00</c:formatCode>
                <c:ptCount val="11"/>
                <c:pt idx="0">
                  <c:v>76470.238128374607</c:v>
                </c:pt>
                <c:pt idx="1">
                  <c:v>31488.074077651258</c:v>
                </c:pt>
                <c:pt idx="2">
                  <c:v>13170.716687821954</c:v>
                </c:pt>
                <c:pt idx="3">
                  <c:v>5582.6533071914992</c:v>
                </c:pt>
                <c:pt idx="4">
                  <c:v>2403.9099555981475</c:v>
                </c:pt>
                <c:pt idx="5">
                  <c:v>1047.1038208266518</c:v>
                </c:pt>
                <c:pt idx="6">
                  <c:v>461.6884825177554</c:v>
                </c:pt>
                <c:pt idx="7">
                  <c:v>206.3818419566075</c:v>
                </c:pt>
                <c:pt idx="8">
                  <c:v>93.271984043985995</c:v>
                </c:pt>
                <c:pt idx="9">
                  <c:v>42.618344439034075</c:v>
                </c:pt>
                <c:pt idx="10">
                  <c:v>19.6889142005626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E52-4BCE-A991-828730F215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8517983"/>
        <c:axId val="574862255"/>
      </c:scatterChart>
      <c:valAx>
        <c:axId val="968517983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EGR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862255"/>
        <c:crosses val="autoZero"/>
        <c:crossBetween val="midCat"/>
      </c:valAx>
      <c:valAx>
        <c:axId val="574862255"/>
        <c:scaling>
          <c:orientation val="minMax"/>
          <c:max val="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5179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27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964737035932868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94551321396628"/>
          <c:y val="0.18560185185185185"/>
          <c:w val="0.84615470950318294"/>
          <c:h val="0.67224190726159228"/>
        </c:manualLayout>
      </c:layout>
      <c:scatterChart>
        <c:scatterStyle val="smoothMarker"/>
        <c:varyColors val="0"/>
        <c:ser>
          <c:idx val="0"/>
          <c:order val="0"/>
          <c:tx>
            <c:v>H20 Enthalpy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3.6778142153166264E-2"/>
                  <c:y val="-0.14393518518518519"/>
                </c:manualLayout>
              </c:layout>
              <c:numFmt formatCode="0.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Properties!$H$7:$H$74</c:f>
              <c:numCache>
                <c:formatCode>0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Properties!$J$7:$J$74</c:f>
              <c:numCache>
                <c:formatCode>0.0</c:formatCode>
                <c:ptCount val="68"/>
                <c:pt idx="0" formatCode="0.00">
                  <c:v>3.23</c:v>
                </c:pt>
                <c:pt idx="1">
                  <c:v>1.6</c:v>
                </c:pt>
                <c:pt idx="2" formatCode="0">
                  <c:v>0</c:v>
                </c:pt>
                <c:pt idx="3" formatCode="0.00">
                  <c:v>0.06</c:v>
                </c:pt>
                <c:pt idx="4" formatCode="0.00">
                  <c:v>1.75</c:v>
                </c:pt>
                <c:pt idx="5" formatCode="0.00">
                  <c:v>3.46</c:v>
                </c:pt>
                <c:pt idx="6" formatCode="0.00">
                  <c:v>5.19</c:v>
                </c:pt>
                <c:pt idx="7" formatCode="0.00">
                  <c:v>6.95</c:v>
                </c:pt>
                <c:pt idx="8" formatCode="0.00">
                  <c:v>8.73</c:v>
                </c:pt>
                <c:pt idx="9" formatCode="0.00">
                  <c:v>10.53</c:v>
                </c:pt>
                <c:pt idx="10" formatCode="0.00">
                  <c:v>12.35</c:v>
                </c:pt>
                <c:pt idx="11" formatCode="0.00">
                  <c:v>14.21</c:v>
                </c:pt>
                <c:pt idx="12" formatCode="0.00">
                  <c:v>16.09</c:v>
                </c:pt>
                <c:pt idx="13" formatCode="0">
                  <c:v>18</c:v>
                </c:pt>
                <c:pt idx="14" formatCode="0.00">
                  <c:v>19.95</c:v>
                </c:pt>
                <c:pt idx="15" formatCode="0.00">
                  <c:v>21.93</c:v>
                </c:pt>
                <c:pt idx="16" formatCode="0.00">
                  <c:v>23.94</c:v>
                </c:pt>
                <c:pt idx="17" formatCode="0.00">
                  <c:v>25.99</c:v>
                </c:pt>
                <c:pt idx="18" formatCode="0.00">
                  <c:v>28.07</c:v>
                </c:pt>
                <c:pt idx="19" formatCode="0.00">
                  <c:v>30.19</c:v>
                </c:pt>
                <c:pt idx="20" formatCode="0.00">
                  <c:v>32.340000000000003</c:v>
                </c:pt>
                <c:pt idx="21" formatCode="0.00">
                  <c:v>34.520000000000003</c:v>
                </c:pt>
                <c:pt idx="22" formatCode="0.00">
                  <c:v>36.72</c:v>
                </c:pt>
                <c:pt idx="23" formatCode="0.00">
                  <c:v>38.96</c:v>
                </c:pt>
                <c:pt idx="24" formatCode="0.00">
                  <c:v>41.23</c:v>
                </c:pt>
                <c:pt idx="25" formatCode="0.00">
                  <c:v>43.52</c:v>
                </c:pt>
                <c:pt idx="26" formatCode="0.00">
                  <c:v>45.84</c:v>
                </c:pt>
                <c:pt idx="27" formatCode="0.00">
                  <c:v>48.18</c:v>
                </c:pt>
                <c:pt idx="28" formatCode="0.00">
                  <c:v>50.55</c:v>
                </c:pt>
                <c:pt idx="29" formatCode="0.00">
                  <c:v>52.94</c:v>
                </c:pt>
                <c:pt idx="30" formatCode="0.00">
                  <c:v>55.35</c:v>
                </c:pt>
                <c:pt idx="31" formatCode="0.00">
                  <c:v>57.78</c:v>
                </c:pt>
                <c:pt idx="32" formatCode="0.00">
                  <c:v>60.24</c:v>
                </c:pt>
                <c:pt idx="33" formatCode="0.00">
                  <c:v>62.71</c:v>
                </c:pt>
                <c:pt idx="34" formatCode="0.00">
                  <c:v>65.209999999999994</c:v>
                </c:pt>
                <c:pt idx="35" formatCode="0.00">
                  <c:v>67.72</c:v>
                </c:pt>
                <c:pt idx="36" formatCode="0.00">
                  <c:v>70.25</c:v>
                </c:pt>
                <c:pt idx="37">
                  <c:v>72.8</c:v>
                </c:pt>
                <c:pt idx="38" formatCode="0.00">
                  <c:v>75.37</c:v>
                </c:pt>
                <c:pt idx="39" formatCode="0.00">
                  <c:v>77.95</c:v>
                </c:pt>
                <c:pt idx="40" formatCode="0.00">
                  <c:v>80.540000000000006</c:v>
                </c:pt>
                <c:pt idx="41" formatCode="0.00">
                  <c:v>83.16</c:v>
                </c:pt>
                <c:pt idx="42" formatCode="0.00">
                  <c:v>85.78</c:v>
                </c:pt>
                <c:pt idx="43" formatCode="0.00">
                  <c:v>88.42</c:v>
                </c:pt>
                <c:pt idx="44" formatCode="0.00">
                  <c:v>91.07</c:v>
                </c:pt>
                <c:pt idx="45" formatCode="0.00">
                  <c:v>93.74</c:v>
                </c:pt>
                <c:pt idx="46" formatCode="0.00">
                  <c:v>96.42</c:v>
                </c:pt>
                <c:pt idx="47" formatCode="0.00">
                  <c:v>99.11</c:v>
                </c:pt>
                <c:pt idx="48" formatCode="0.00">
                  <c:v>101.81</c:v>
                </c:pt>
                <c:pt idx="49" formatCode="0.00">
                  <c:v>104.52</c:v>
                </c:pt>
                <c:pt idx="50" formatCode="0.00">
                  <c:v>107.24</c:v>
                </c:pt>
                <c:pt idx="51" formatCode="0.00">
                  <c:v>109.97</c:v>
                </c:pt>
                <c:pt idx="52" formatCode="0.00">
                  <c:v>112.72</c:v>
                </c:pt>
                <c:pt idx="53" formatCode="0.00">
                  <c:v>115.47</c:v>
                </c:pt>
                <c:pt idx="54" formatCode="0.00">
                  <c:v>118.23</c:v>
                </c:pt>
                <c:pt idx="55" formatCode="0.00">
                  <c:v>120.99</c:v>
                </c:pt>
                <c:pt idx="56" formatCode="0.00">
                  <c:v>123.77</c:v>
                </c:pt>
                <c:pt idx="57" formatCode="0.00">
                  <c:v>126.56</c:v>
                </c:pt>
                <c:pt idx="58" formatCode="0.00">
                  <c:v>129.35</c:v>
                </c:pt>
                <c:pt idx="59" formatCode="0.00">
                  <c:v>132.15</c:v>
                </c:pt>
                <c:pt idx="60" formatCode="0.00">
                  <c:v>134.96</c:v>
                </c:pt>
                <c:pt idx="61" formatCode="0.00">
                  <c:v>137.77000000000001</c:v>
                </c:pt>
                <c:pt idx="62" formatCode="0.00">
                  <c:v>140.59</c:v>
                </c:pt>
                <c:pt idx="63" formatCode="0.00">
                  <c:v>143.41999999999999</c:v>
                </c:pt>
                <c:pt idx="64" formatCode="0.00">
                  <c:v>146.25</c:v>
                </c:pt>
                <c:pt idx="65" formatCode="0.00">
                  <c:v>149.09</c:v>
                </c:pt>
                <c:pt idx="66" formatCode="0.00">
                  <c:v>151.94</c:v>
                </c:pt>
                <c:pt idx="67" formatCode="0.00">
                  <c:v>154.79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69-4FF5-94C0-175C22FC84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5117200"/>
        <c:axId val="1185118184"/>
      </c:scatterChart>
      <c:valAx>
        <c:axId val="1185117200"/>
        <c:scaling>
          <c:orientation val="minMax"/>
          <c:max val="36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 (K)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5118184"/>
        <c:crosses val="autoZero"/>
        <c:crossBetween val="midCat"/>
        <c:majorUnit val="400"/>
      </c:valAx>
      <c:valAx>
        <c:axId val="1185118184"/>
        <c:scaling>
          <c:orientation val="minMax"/>
          <c:max val="16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 (MJ/Kmol)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5117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7679726813127856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7750412481985877E-2"/>
          <c:y val="0.17171296296296296"/>
          <c:w val="0.85411222848903801"/>
          <c:h val="0.68290135608048985"/>
        </c:manualLayout>
      </c:layout>
      <c:scatterChart>
        <c:scatterStyle val="smoothMarker"/>
        <c:varyColors val="0"/>
        <c:ser>
          <c:idx val="0"/>
          <c:order val="0"/>
          <c:tx>
            <c:v>CO2 Enthalpy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6.3001288763725002E-2"/>
                  <c:y val="-0.1161574074074074"/>
                </c:manualLayout>
              </c:layout>
              <c:numFmt formatCode="0.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Properties!$B$7:$B$74</c:f>
              <c:numCache>
                <c:formatCode>0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Properties!$D$7:$D$74</c:f>
              <c:numCache>
                <c:formatCode>0.00</c:formatCode>
                <c:ptCount val="68"/>
                <c:pt idx="0">
                  <c:v>3.42</c:v>
                </c:pt>
                <c:pt idx="1">
                  <c:v>1.74</c:v>
                </c:pt>
                <c:pt idx="2" formatCode="0">
                  <c:v>0</c:v>
                </c:pt>
                <c:pt idx="3">
                  <c:v>7.0000000000000007E-2</c:v>
                </c:pt>
                <c:pt idx="4">
                  <c:v>1.99</c:v>
                </c:pt>
                <c:pt idx="5" formatCode="0">
                  <c:v>4</c:v>
                </c:pt>
                <c:pt idx="6">
                  <c:v>6.11</c:v>
                </c:pt>
                <c:pt idx="7" formatCode="0.0">
                  <c:v>8.3000000000000007</c:v>
                </c:pt>
                <c:pt idx="8">
                  <c:v>10.56</c:v>
                </c:pt>
                <c:pt idx="9" formatCode="0.0">
                  <c:v>12.9</c:v>
                </c:pt>
                <c:pt idx="10">
                  <c:v>15.29</c:v>
                </c:pt>
                <c:pt idx="11">
                  <c:v>17.75</c:v>
                </c:pt>
                <c:pt idx="12">
                  <c:v>20.25</c:v>
                </c:pt>
                <c:pt idx="13">
                  <c:v>22.81</c:v>
                </c:pt>
                <c:pt idx="14">
                  <c:v>25.41</c:v>
                </c:pt>
                <c:pt idx="15">
                  <c:v>28.05</c:v>
                </c:pt>
                <c:pt idx="16">
                  <c:v>30.72</c:v>
                </c:pt>
                <c:pt idx="17">
                  <c:v>33.42</c:v>
                </c:pt>
                <c:pt idx="18">
                  <c:v>36.15</c:v>
                </c:pt>
                <c:pt idx="19">
                  <c:v>38.909999999999997</c:v>
                </c:pt>
                <c:pt idx="20">
                  <c:v>41.69</c:v>
                </c:pt>
                <c:pt idx="21">
                  <c:v>44.49</c:v>
                </c:pt>
                <c:pt idx="22">
                  <c:v>47.31</c:v>
                </c:pt>
                <c:pt idx="23">
                  <c:v>50.15</c:v>
                </c:pt>
                <c:pt idx="24" formatCode="0">
                  <c:v>53</c:v>
                </c:pt>
                <c:pt idx="25">
                  <c:v>55.88</c:v>
                </c:pt>
                <c:pt idx="26">
                  <c:v>58.77</c:v>
                </c:pt>
                <c:pt idx="27">
                  <c:v>61.68</c:v>
                </c:pt>
                <c:pt idx="28" formatCode="0.0">
                  <c:v>64.599999999999994</c:v>
                </c:pt>
                <c:pt idx="29">
                  <c:v>67.540000000000006</c:v>
                </c:pt>
                <c:pt idx="30">
                  <c:v>70.48</c:v>
                </c:pt>
                <c:pt idx="31">
                  <c:v>73.44</c:v>
                </c:pt>
                <c:pt idx="32">
                  <c:v>76.41</c:v>
                </c:pt>
                <c:pt idx="33" formatCode="0.0">
                  <c:v>79.400000000000006</c:v>
                </c:pt>
                <c:pt idx="34">
                  <c:v>82.39</c:v>
                </c:pt>
                <c:pt idx="35">
                  <c:v>85.39</c:v>
                </c:pt>
                <c:pt idx="36" formatCode="0.0">
                  <c:v>88.4</c:v>
                </c:pt>
                <c:pt idx="37">
                  <c:v>91.42</c:v>
                </c:pt>
                <c:pt idx="38">
                  <c:v>94.44</c:v>
                </c:pt>
                <c:pt idx="39">
                  <c:v>97.47</c:v>
                </c:pt>
                <c:pt idx="40">
                  <c:v>100.51</c:v>
                </c:pt>
                <c:pt idx="41">
                  <c:v>103.56</c:v>
                </c:pt>
                <c:pt idx="42">
                  <c:v>106.61</c:v>
                </c:pt>
                <c:pt idx="43">
                  <c:v>109.66</c:v>
                </c:pt>
                <c:pt idx="44">
                  <c:v>112.73</c:v>
                </c:pt>
                <c:pt idx="45">
                  <c:v>115.79</c:v>
                </c:pt>
                <c:pt idx="46">
                  <c:v>118.86</c:v>
                </c:pt>
                <c:pt idx="47">
                  <c:v>121.94</c:v>
                </c:pt>
                <c:pt idx="48">
                  <c:v>125.02</c:v>
                </c:pt>
                <c:pt idx="49" formatCode="0.0">
                  <c:v>128.1</c:v>
                </c:pt>
                <c:pt idx="50">
                  <c:v>131.19</c:v>
                </c:pt>
                <c:pt idx="51">
                  <c:v>134.28</c:v>
                </c:pt>
                <c:pt idx="52">
                  <c:v>137.37</c:v>
                </c:pt>
                <c:pt idx="53">
                  <c:v>140.47</c:v>
                </c:pt>
                <c:pt idx="54">
                  <c:v>143.57</c:v>
                </c:pt>
                <c:pt idx="55">
                  <c:v>146.66999999999999</c:v>
                </c:pt>
                <c:pt idx="56">
                  <c:v>149.78</c:v>
                </c:pt>
                <c:pt idx="57">
                  <c:v>152.88</c:v>
                </c:pt>
                <c:pt idx="58">
                  <c:v>155.99</c:v>
                </c:pt>
                <c:pt idx="59">
                  <c:v>159.11000000000001</c:v>
                </c:pt>
                <c:pt idx="60">
                  <c:v>162.22</c:v>
                </c:pt>
                <c:pt idx="61">
                  <c:v>165.34</c:v>
                </c:pt>
                <c:pt idx="62">
                  <c:v>168.46</c:v>
                </c:pt>
                <c:pt idx="63">
                  <c:v>171.59</c:v>
                </c:pt>
                <c:pt idx="64">
                  <c:v>174.72</c:v>
                </c:pt>
                <c:pt idx="65">
                  <c:v>177.84</c:v>
                </c:pt>
                <c:pt idx="66">
                  <c:v>180.98</c:v>
                </c:pt>
                <c:pt idx="67">
                  <c:v>184.11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9EE-4B23-9D59-ACA7F639C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0004056"/>
        <c:axId val="1190004712"/>
      </c:scatterChart>
      <c:valAx>
        <c:axId val="1190004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 (K)</a:t>
                </a:r>
              </a:p>
            </c:rich>
          </c:tx>
          <c:layout>
            <c:manualLayout>
              <c:xMode val="edge"/>
              <c:yMode val="edge"/>
              <c:x val="0.41144340361535725"/>
              <c:y val="0.929606299212598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0004712"/>
        <c:crosses val="autoZero"/>
        <c:crossBetween val="midCat"/>
      </c:valAx>
      <c:valAx>
        <c:axId val="119000471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 (MJ/Kmol)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00040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773896444762586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95089043621615"/>
          <c:y val="0.16994272623138604"/>
          <c:w val="0.85439621700180035"/>
          <c:h val="0.69075231575434504"/>
        </c:manualLayout>
      </c:layout>
      <c:scatterChart>
        <c:scatterStyle val="smoothMarker"/>
        <c:varyColors val="0"/>
        <c:ser>
          <c:idx val="0"/>
          <c:order val="0"/>
          <c:tx>
            <c:v>Oxygen Enthalpy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4.7851673499490252E-2"/>
                  <c:y val="-0.1195418098510882"/>
                </c:manualLayout>
              </c:layout>
              <c:numFmt formatCode="0.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Properties!$N$7:$N$74</c:f>
              <c:numCache>
                <c:formatCode>0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Properties!$P$7:$P$74</c:f>
              <c:numCache>
                <c:formatCode>0.0</c:formatCode>
                <c:ptCount val="68"/>
                <c:pt idx="0" formatCode="0.00">
                  <c:v>2.84</c:v>
                </c:pt>
                <c:pt idx="1">
                  <c:v>1.4</c:v>
                </c:pt>
                <c:pt idx="2" formatCode="0">
                  <c:v>0</c:v>
                </c:pt>
                <c:pt idx="3" formatCode="0.00">
                  <c:v>0.05</c:v>
                </c:pt>
                <c:pt idx="4" formatCode="0.00">
                  <c:v>1.53</c:v>
                </c:pt>
                <c:pt idx="5" formatCode="0.00">
                  <c:v>3.03</c:v>
                </c:pt>
                <c:pt idx="6" formatCode="0.00">
                  <c:v>4.55</c:v>
                </c:pt>
                <c:pt idx="7">
                  <c:v>6.1</c:v>
                </c:pt>
                <c:pt idx="8" formatCode="0.00">
                  <c:v>7.66</c:v>
                </c:pt>
                <c:pt idx="9" formatCode="0.00">
                  <c:v>9.25</c:v>
                </c:pt>
                <c:pt idx="10" formatCode="0.00">
                  <c:v>10.87</c:v>
                </c:pt>
                <c:pt idx="11">
                  <c:v>12.5</c:v>
                </c:pt>
                <c:pt idx="12" formatCode="0.00">
                  <c:v>14.16</c:v>
                </c:pt>
                <c:pt idx="13" formatCode="0.00">
                  <c:v>15.84</c:v>
                </c:pt>
                <c:pt idx="14" formatCode="0.00">
                  <c:v>17.53</c:v>
                </c:pt>
                <c:pt idx="15" formatCode="0.00">
                  <c:v>19.25</c:v>
                </c:pt>
                <c:pt idx="16" formatCode="0.00">
                  <c:v>20.98</c:v>
                </c:pt>
                <c:pt idx="17" formatCode="0.00">
                  <c:v>22.72</c:v>
                </c:pt>
                <c:pt idx="18" formatCode="0.00">
                  <c:v>24.47</c:v>
                </c:pt>
                <c:pt idx="19" formatCode="0.00">
                  <c:v>26.23</c:v>
                </c:pt>
                <c:pt idx="20" formatCode="0">
                  <c:v>28</c:v>
                </c:pt>
                <c:pt idx="21" formatCode="0.00">
                  <c:v>29.77</c:v>
                </c:pt>
                <c:pt idx="22" formatCode="0.00">
                  <c:v>31.56</c:v>
                </c:pt>
                <c:pt idx="23" formatCode="0.00">
                  <c:v>33.35</c:v>
                </c:pt>
                <c:pt idx="24" formatCode="0.00">
                  <c:v>35.15</c:v>
                </c:pt>
                <c:pt idx="25" formatCode="0.00">
                  <c:v>36.950000000000003</c:v>
                </c:pt>
                <c:pt idx="26" formatCode="0.00">
                  <c:v>38.770000000000003</c:v>
                </c:pt>
                <c:pt idx="27" formatCode="0.00">
                  <c:v>40.590000000000003</c:v>
                </c:pt>
                <c:pt idx="28" formatCode="0.00">
                  <c:v>42.42</c:v>
                </c:pt>
                <c:pt idx="29" formatCode="0.00">
                  <c:v>44.25</c:v>
                </c:pt>
                <c:pt idx="30" formatCode="0.00">
                  <c:v>46.09</c:v>
                </c:pt>
                <c:pt idx="31" formatCode="0.00">
                  <c:v>47.94</c:v>
                </c:pt>
                <c:pt idx="32">
                  <c:v>49.8</c:v>
                </c:pt>
                <c:pt idx="33" formatCode="0.00">
                  <c:v>51.66</c:v>
                </c:pt>
                <c:pt idx="34" formatCode="0.00">
                  <c:v>53.53</c:v>
                </c:pt>
                <c:pt idx="35">
                  <c:v>55.4</c:v>
                </c:pt>
                <c:pt idx="36" formatCode="0.00">
                  <c:v>57.28</c:v>
                </c:pt>
                <c:pt idx="37" formatCode="0.00">
                  <c:v>59.17</c:v>
                </c:pt>
                <c:pt idx="38" formatCode="0.00">
                  <c:v>61.06</c:v>
                </c:pt>
                <c:pt idx="39" formatCode="0.00">
                  <c:v>62.96</c:v>
                </c:pt>
                <c:pt idx="40" formatCode="0.00">
                  <c:v>64.86</c:v>
                </c:pt>
                <c:pt idx="41" formatCode="0.00">
                  <c:v>66.77</c:v>
                </c:pt>
                <c:pt idx="42" formatCode="0.00">
                  <c:v>68.69</c:v>
                </c:pt>
                <c:pt idx="43" formatCode="0.00">
                  <c:v>70.61</c:v>
                </c:pt>
                <c:pt idx="44" formatCode="0.00">
                  <c:v>72.53</c:v>
                </c:pt>
                <c:pt idx="45" formatCode="0.00">
                  <c:v>74.459999999999994</c:v>
                </c:pt>
                <c:pt idx="46">
                  <c:v>76.400000000000006</c:v>
                </c:pt>
                <c:pt idx="47" formatCode="0.00">
                  <c:v>78.34</c:v>
                </c:pt>
                <c:pt idx="48" formatCode="0.00">
                  <c:v>80.290000000000006</c:v>
                </c:pt>
                <c:pt idx="49" formatCode="0.00">
                  <c:v>82.24</c:v>
                </c:pt>
                <c:pt idx="50">
                  <c:v>84.2</c:v>
                </c:pt>
                <c:pt idx="51" formatCode="0.00">
                  <c:v>86.16</c:v>
                </c:pt>
                <c:pt idx="52" formatCode="0.00">
                  <c:v>88.13</c:v>
                </c:pt>
                <c:pt idx="53">
                  <c:v>90.1</c:v>
                </c:pt>
                <c:pt idx="54" formatCode="0.00">
                  <c:v>92.07</c:v>
                </c:pt>
                <c:pt idx="55" formatCode="0.00">
                  <c:v>94.06</c:v>
                </c:pt>
                <c:pt idx="56" formatCode="0.00">
                  <c:v>96.04</c:v>
                </c:pt>
                <c:pt idx="57" formatCode="0.00">
                  <c:v>98.03</c:v>
                </c:pt>
                <c:pt idx="58" formatCode="0.00">
                  <c:v>100.03</c:v>
                </c:pt>
                <c:pt idx="59" formatCode="0.00">
                  <c:v>102.02</c:v>
                </c:pt>
                <c:pt idx="60" formatCode="0.00">
                  <c:v>104.03</c:v>
                </c:pt>
                <c:pt idx="61" formatCode="0.00">
                  <c:v>106.03</c:v>
                </c:pt>
                <c:pt idx="62" formatCode="0.00">
                  <c:v>108.05</c:v>
                </c:pt>
                <c:pt idx="63" formatCode="0.00">
                  <c:v>110.06</c:v>
                </c:pt>
                <c:pt idx="64" formatCode="0.00">
                  <c:v>112.08</c:v>
                </c:pt>
                <c:pt idx="65" formatCode="0.00">
                  <c:v>114.11</c:v>
                </c:pt>
                <c:pt idx="66" formatCode="0.00">
                  <c:v>116.13</c:v>
                </c:pt>
                <c:pt idx="67" formatCode="0.00">
                  <c:v>118.17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EA-4CF3-9B5C-7793A60297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1645256"/>
        <c:axId val="1211641976"/>
      </c:scatterChart>
      <c:valAx>
        <c:axId val="1211645256"/>
        <c:scaling>
          <c:orientation val="minMax"/>
          <c:max val="3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 (K)</a:t>
                </a:r>
              </a:p>
            </c:rich>
          </c:tx>
          <c:layout>
            <c:manualLayout>
              <c:xMode val="edge"/>
              <c:yMode val="edge"/>
              <c:x val="0.41004012928136047"/>
              <c:y val="0.93033200746813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1641976"/>
        <c:crosses val="autoZero"/>
        <c:crossBetween val="midCat"/>
        <c:majorUnit val="400"/>
      </c:valAx>
      <c:valAx>
        <c:axId val="1211641976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 (MJ/Kmol)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1645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57228439571439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703377155460889"/>
          <c:y val="0.16994272623138604"/>
          <c:w val="0.808265563256921"/>
          <c:h val="0.70449802022169905"/>
        </c:manualLayout>
      </c:layout>
      <c:scatterChart>
        <c:scatterStyle val="smoothMarker"/>
        <c:varyColors val="0"/>
        <c:ser>
          <c:idx val="0"/>
          <c:order val="0"/>
          <c:tx>
            <c:v>Nitrogen Enthalpy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-1.3512812007146557E-2"/>
                  <c:y val="-0.12870561282932416"/>
                </c:manualLayout>
              </c:layout>
              <c:numFmt formatCode="0.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Properties!$T$7:$T$74</c:f>
              <c:numCache>
                <c:formatCode>0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Properties!$V$7:$V$74</c:f>
              <c:numCache>
                <c:formatCode>0.0</c:formatCode>
                <c:ptCount val="68"/>
                <c:pt idx="0" formatCode="0.00">
                  <c:v>2.84</c:v>
                </c:pt>
                <c:pt idx="1">
                  <c:v>1.4</c:v>
                </c:pt>
                <c:pt idx="2" formatCode="0">
                  <c:v>0</c:v>
                </c:pt>
                <c:pt idx="3" formatCode="0.00">
                  <c:v>0.05</c:v>
                </c:pt>
                <c:pt idx="4" formatCode="0.00">
                  <c:v>1.51</c:v>
                </c:pt>
                <c:pt idx="5" formatCode="0.00">
                  <c:v>2.97</c:v>
                </c:pt>
                <c:pt idx="6" formatCode="0.00">
                  <c:v>4.4400000000000004</c:v>
                </c:pt>
                <c:pt idx="7" formatCode="0.00">
                  <c:v>5.92</c:v>
                </c:pt>
                <c:pt idx="8" formatCode="0.00">
                  <c:v>7.41</c:v>
                </c:pt>
                <c:pt idx="9">
                  <c:v>8.9</c:v>
                </c:pt>
                <c:pt idx="10" formatCode="0.00">
                  <c:v>10.42</c:v>
                </c:pt>
                <c:pt idx="11" formatCode="0.00">
                  <c:v>11.94</c:v>
                </c:pt>
                <c:pt idx="12" formatCode="0.00">
                  <c:v>13.48</c:v>
                </c:pt>
                <c:pt idx="13" formatCode="0.00">
                  <c:v>15.04</c:v>
                </c:pt>
                <c:pt idx="14" formatCode="0.00">
                  <c:v>16.62</c:v>
                </c:pt>
                <c:pt idx="15" formatCode="0.00">
                  <c:v>18.22</c:v>
                </c:pt>
                <c:pt idx="16" formatCode="0.00">
                  <c:v>19.84</c:v>
                </c:pt>
                <c:pt idx="17" formatCode="0.00">
                  <c:v>21.47</c:v>
                </c:pt>
                <c:pt idx="18" formatCode="0.00">
                  <c:v>23.11</c:v>
                </c:pt>
                <c:pt idx="19" formatCode="0.00">
                  <c:v>24.77</c:v>
                </c:pt>
                <c:pt idx="20" formatCode="0.00">
                  <c:v>26.44</c:v>
                </c:pt>
                <c:pt idx="21" formatCode="0.00">
                  <c:v>28.12</c:v>
                </c:pt>
                <c:pt idx="22" formatCode="0.00">
                  <c:v>29.81</c:v>
                </c:pt>
                <c:pt idx="23" formatCode="0.00">
                  <c:v>31.51</c:v>
                </c:pt>
                <c:pt idx="24" formatCode="0.00">
                  <c:v>33.22</c:v>
                </c:pt>
                <c:pt idx="25" formatCode="0.00">
                  <c:v>34.94</c:v>
                </c:pt>
                <c:pt idx="26" formatCode="0.00">
                  <c:v>36.67</c:v>
                </c:pt>
                <c:pt idx="27">
                  <c:v>38.4</c:v>
                </c:pt>
                <c:pt idx="28" formatCode="0.00">
                  <c:v>40.15</c:v>
                </c:pt>
                <c:pt idx="29">
                  <c:v>41.9</c:v>
                </c:pt>
                <c:pt idx="30" formatCode="0.00">
                  <c:v>43.66</c:v>
                </c:pt>
                <c:pt idx="31" formatCode="0.00">
                  <c:v>45.42</c:v>
                </c:pt>
                <c:pt idx="32" formatCode="0.00">
                  <c:v>47.19</c:v>
                </c:pt>
                <c:pt idx="33" formatCode="0.00">
                  <c:v>48.97</c:v>
                </c:pt>
                <c:pt idx="34" formatCode="0.00">
                  <c:v>50.75</c:v>
                </c:pt>
                <c:pt idx="35" formatCode="0.00">
                  <c:v>52.54</c:v>
                </c:pt>
                <c:pt idx="36" formatCode="0.00">
                  <c:v>54.33</c:v>
                </c:pt>
                <c:pt idx="37" formatCode="0.00">
                  <c:v>56.13</c:v>
                </c:pt>
                <c:pt idx="38" formatCode="0.00">
                  <c:v>57.93</c:v>
                </c:pt>
                <c:pt idx="39" formatCode="0.00">
                  <c:v>59.73</c:v>
                </c:pt>
                <c:pt idx="40" formatCode="0.00">
                  <c:v>61.54</c:v>
                </c:pt>
                <c:pt idx="41" formatCode="0.00">
                  <c:v>63.36</c:v>
                </c:pt>
                <c:pt idx="42" formatCode="0.00">
                  <c:v>65.17</c:v>
                </c:pt>
                <c:pt idx="43" formatCode="0.00">
                  <c:v>66.989999999999995</c:v>
                </c:pt>
                <c:pt idx="44" formatCode="0.00">
                  <c:v>68.819999999999993</c:v>
                </c:pt>
                <c:pt idx="45" formatCode="0.00">
                  <c:v>70.64</c:v>
                </c:pt>
                <c:pt idx="46" formatCode="0.00">
                  <c:v>72.47</c:v>
                </c:pt>
                <c:pt idx="47">
                  <c:v>74.3</c:v>
                </c:pt>
                <c:pt idx="48" formatCode="0.00">
                  <c:v>76.13</c:v>
                </c:pt>
                <c:pt idx="49" formatCode="0.00">
                  <c:v>77.97</c:v>
                </c:pt>
                <c:pt idx="50" formatCode="0.00">
                  <c:v>79.81</c:v>
                </c:pt>
                <c:pt idx="51" formatCode="0.00">
                  <c:v>81.650000000000006</c:v>
                </c:pt>
                <c:pt idx="52" formatCode="0.00">
                  <c:v>83.49</c:v>
                </c:pt>
                <c:pt idx="53" formatCode="0.00">
                  <c:v>85.33</c:v>
                </c:pt>
                <c:pt idx="54" formatCode="0.00">
                  <c:v>87.18</c:v>
                </c:pt>
                <c:pt idx="55" formatCode="0.00">
                  <c:v>89.03</c:v>
                </c:pt>
                <c:pt idx="56" formatCode="0.00">
                  <c:v>90.88</c:v>
                </c:pt>
                <c:pt idx="57" formatCode="0.00">
                  <c:v>92.73</c:v>
                </c:pt>
                <c:pt idx="58" formatCode="0.00">
                  <c:v>94.58</c:v>
                </c:pt>
                <c:pt idx="59" formatCode="0.00">
                  <c:v>96.43</c:v>
                </c:pt>
                <c:pt idx="60" formatCode="0.00">
                  <c:v>98.29</c:v>
                </c:pt>
                <c:pt idx="61" formatCode="0.00">
                  <c:v>100.14</c:v>
                </c:pt>
                <c:pt idx="62" formatCode="0">
                  <c:v>102</c:v>
                </c:pt>
                <c:pt idx="63" formatCode="0.00">
                  <c:v>103.86</c:v>
                </c:pt>
                <c:pt idx="64" formatCode="0.00">
                  <c:v>105.72</c:v>
                </c:pt>
                <c:pt idx="65" formatCode="0.00">
                  <c:v>107.58</c:v>
                </c:pt>
                <c:pt idx="66" formatCode="0.00">
                  <c:v>109.45</c:v>
                </c:pt>
                <c:pt idx="67" formatCode="0.00">
                  <c:v>111.31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E28-4E16-86A2-65E718FD6C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1645256"/>
        <c:axId val="1211641976"/>
      </c:scatterChart>
      <c:valAx>
        <c:axId val="1211645256"/>
        <c:scaling>
          <c:orientation val="minMax"/>
          <c:max val="3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 (K)</a:t>
                </a:r>
              </a:p>
            </c:rich>
          </c:tx>
          <c:layout>
            <c:manualLayout>
              <c:xMode val="edge"/>
              <c:yMode val="edge"/>
              <c:x val="0.40937060251060631"/>
              <c:y val="0.93033200746813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1641976"/>
        <c:crosses val="autoZero"/>
        <c:crossBetween val="midCat"/>
        <c:majorUnit val="400"/>
      </c:valAx>
      <c:valAx>
        <c:axId val="1211641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 (MJ/Kmol)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1645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Poly Graphs'!A1"/><Relationship Id="rId13" Type="http://schemas.openxmlformats.org/officeDocument/2006/relationships/hyperlink" Target="#'EGR NOx PPM'!A1"/><Relationship Id="rId3" Type="http://schemas.openxmlformats.org/officeDocument/2006/relationships/image" Target="../media/image2.png"/><Relationship Id="rId7" Type="http://schemas.openxmlformats.org/officeDocument/2006/relationships/hyperlink" Target="#'NOx Model (2)'!A1"/><Relationship Id="rId12" Type="http://schemas.openxmlformats.org/officeDocument/2006/relationships/hyperlink" Target="#EGR!A1"/><Relationship Id="rId17" Type="http://schemas.openxmlformats.org/officeDocument/2006/relationships/hyperlink" Target="#Properties!A1"/><Relationship Id="rId2" Type="http://schemas.microsoft.com/office/2007/relationships/hdphoto" Target="../media/hdphoto1.wdp"/><Relationship Id="rId16" Type="http://schemas.openxmlformats.org/officeDocument/2006/relationships/hyperlink" Target="#'Air &amp; Fuel Properties'!A1"/><Relationship Id="rId1" Type="http://schemas.openxmlformats.org/officeDocument/2006/relationships/image" Target="../media/image1.png"/><Relationship Id="rId6" Type="http://schemas.openxmlformats.org/officeDocument/2006/relationships/hyperlink" Target="#'NOx Model (1)'!A1"/><Relationship Id="rId11" Type="http://schemas.openxmlformats.org/officeDocument/2006/relationships/hyperlink" Target="#'NOx PPM'!A1"/><Relationship Id="rId5" Type="http://schemas.openxmlformats.org/officeDocument/2006/relationships/hyperlink" Target="#'Fuel Blend Calc'!A1"/><Relationship Id="rId15" Type="http://schemas.openxmlformats.org/officeDocument/2006/relationships/hyperlink" Target="#'EGR NOx Alternative Fuel Graphs'!A1"/><Relationship Id="rId10" Type="http://schemas.openxmlformats.org/officeDocument/2006/relationships/hyperlink" Target="#'NOx Alternative Fuels Graph'!A1"/><Relationship Id="rId4" Type="http://schemas.microsoft.com/office/2007/relationships/hdphoto" Target="../media/hdphoto2.wdp"/><Relationship Id="rId9" Type="http://schemas.openxmlformats.org/officeDocument/2006/relationships/hyperlink" Target="#Sheet5!A1"/><Relationship Id="rId14" Type="http://schemas.openxmlformats.org/officeDocument/2006/relationships/hyperlink" Target="#'EGR NOx Iso-Octane Graph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Home Page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Home Page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Home Page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'Home Page'!A1"/><Relationship Id="rId4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'Home Page'!A1"/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hyperlink" Target="#'Home Page'!A1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Home Page'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hyperlink" Target="#'Home Page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Home Page'!A1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0.xml"/><Relationship Id="rId3" Type="http://schemas.openxmlformats.org/officeDocument/2006/relationships/chart" Target="../charts/chart15.xml"/><Relationship Id="rId7" Type="http://schemas.openxmlformats.org/officeDocument/2006/relationships/chart" Target="../charts/chart19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11" Type="http://schemas.openxmlformats.org/officeDocument/2006/relationships/hyperlink" Target="#'Home Page'!A1"/><Relationship Id="rId5" Type="http://schemas.openxmlformats.org/officeDocument/2006/relationships/chart" Target="../charts/chart17.xml"/><Relationship Id="rId10" Type="http://schemas.openxmlformats.org/officeDocument/2006/relationships/chart" Target="../charts/chart22.xml"/><Relationship Id="rId4" Type="http://schemas.openxmlformats.org/officeDocument/2006/relationships/chart" Target="../charts/chart16.xml"/><Relationship Id="rId9" Type="http://schemas.openxmlformats.org/officeDocument/2006/relationships/chart" Target="../charts/chart21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5.xml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5" Type="http://schemas.openxmlformats.org/officeDocument/2006/relationships/hyperlink" Target="#'Home Page'!A1"/><Relationship Id="rId4" Type="http://schemas.openxmlformats.org/officeDocument/2006/relationships/chart" Target="../charts/chart2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Home Page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Home Pag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0</xdr:row>
      <xdr:rowOff>0</xdr:rowOff>
    </xdr:from>
    <xdr:to>
      <xdr:col>16</xdr:col>
      <xdr:colOff>0</xdr:colOff>
      <xdr:row>20</xdr:row>
      <xdr:rowOff>118128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8F967F63-1DE3-4DE1-A3C1-1F55DDBDBDFD}"/>
            </a:ext>
          </a:extLst>
        </xdr:cNvPr>
        <xdr:cNvGrpSpPr/>
      </xdr:nvGrpSpPr>
      <xdr:grpSpPr>
        <a:xfrm>
          <a:off x="3571875" y="0"/>
          <a:ext cx="6181725" cy="3928128"/>
          <a:chOff x="4848225" y="2039915"/>
          <a:chExt cx="6153150" cy="4136112"/>
        </a:xfrm>
      </xdr:grpSpPr>
      <xdr:pic>
        <xdr:nvPicPr>
          <xdr:cNvPr id="2" name="Picture 1" descr="Image result for molecular structure cartoon no background">
            <a:extLst>
              <a:ext uri="{FF2B5EF4-FFF2-40B4-BE49-F238E27FC236}">
                <a16:creationId xmlns:a16="http://schemas.microsoft.com/office/drawing/2014/main" id="{AE22FBE4-0C8C-4621-8532-18F2722A47AA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ackgroundRemoval t="5514" b="89866" l="7283" r="93261">
                        <a14:foregroundMark x1="17391" y1="18480" x2="17391" y2="18480"/>
                        <a14:foregroundMark x1="26957" y1="27273" x2="26957" y2="27273"/>
                        <a14:foregroundMark x1="22500" y1="8346" x2="22283" y2="24888"/>
                        <a14:foregroundMark x1="23478" y1="27571" x2="20978" y2="12519"/>
                        <a14:foregroundMark x1="19348" y1="14158" x2="19130" y2="14605"/>
                        <a14:foregroundMark x1="16413" y1="21311" x2="16413" y2="22057"/>
                        <a14:foregroundMark x1="16413" y1="28167" x2="16413" y2="28167"/>
                        <a14:foregroundMark x1="16957" y1="32191" x2="17283" y2="33234"/>
                        <a14:foregroundMark x1="19348" y1="37109" x2="19457" y2="12817"/>
                        <a14:foregroundMark x1="20761" y1="16542" x2="39022" y2="15946"/>
                        <a14:foregroundMark x1="22500" y1="14903" x2="20435" y2="10283"/>
                        <a14:foregroundMark x1="19239" y1="14307" x2="19239" y2="14307"/>
                        <a14:foregroundMark x1="19239" y1="14456" x2="11739" y2="16542"/>
                        <a14:foregroundMark x1="16630" y1="21610" x2="8478" y2="22057"/>
                        <a14:foregroundMark x1="15978" y1="28316" x2="7391" y2="40089"/>
                        <a14:foregroundMark x1="17283" y1="33234" x2="22609" y2="57973"/>
                        <a14:foregroundMark x1="73478" y1="29657" x2="73478" y2="29657"/>
                        <a14:foregroundMark x1="73587" y1="29657" x2="73696" y2="5663"/>
                        <a14:foregroundMark x1="73696" y1="29955" x2="85543" y2="52608"/>
                        <a14:foregroundMark x1="73478" y1="29806" x2="93261" y2="31297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t="4405"/>
          <a:stretch/>
        </xdr:blipFill>
        <xdr:spPr bwMode="auto">
          <a:xfrm>
            <a:off x="4848225" y="2039915"/>
            <a:ext cx="6153150" cy="413611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474EBC14-5ADC-45F7-87C3-ACDA6A30A437}"/>
              </a:ext>
            </a:extLst>
          </xdr:cNvPr>
          <xdr:cNvSpPr/>
        </xdr:nvSpPr>
        <xdr:spPr>
          <a:xfrm>
            <a:off x="6981825" y="2688722"/>
            <a:ext cx="1812330" cy="2226177"/>
          </a:xfrm>
          <a:prstGeom prst="rect">
            <a:avLst/>
          </a:prstGeom>
          <a:noFill/>
        </xdr:spPr>
        <xdr:txBody>
          <a:bodyPr wrap="none" lIns="91440" tIns="45720" rIns="91440" bIns="45720">
            <a:noAutofit/>
          </a:bodyPr>
          <a:lstStyle/>
          <a:p>
            <a:pPr algn="ctr"/>
            <a:r>
              <a:rPr lang="en-US" sz="28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Combustion</a:t>
            </a:r>
            <a:r>
              <a:rPr lang="en-US" sz="2800" b="1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and Emission Study:</a:t>
            </a:r>
          </a:p>
          <a:p>
            <a:pPr algn="ctr"/>
            <a:r>
              <a:rPr lang="en-US" sz="2800" b="1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Modelling Fuels and NOx</a:t>
            </a:r>
          </a:p>
          <a:p>
            <a:pPr algn="ctr"/>
            <a:endParaRPr lang="en-US" sz="28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  <a:p>
            <a:pPr algn="ctr"/>
            <a:r>
              <a:rPr lang="en-US" sz="20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Callum-James Hill</a:t>
            </a:r>
          </a:p>
          <a:p>
            <a:pPr algn="ctr"/>
            <a:r>
              <a:rPr lang="en-US" sz="20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P148699</a:t>
            </a:r>
            <a:endParaRPr lang="en-US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twoCellAnchor>
    <xdr:from>
      <xdr:col>0</xdr:col>
      <xdr:colOff>0</xdr:colOff>
      <xdr:row>0</xdr:row>
      <xdr:rowOff>19050</xdr:rowOff>
    </xdr:from>
    <xdr:to>
      <xdr:col>5</xdr:col>
      <xdr:colOff>383156</xdr:colOff>
      <xdr:row>10</xdr:row>
      <xdr:rowOff>55044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3A18F2BA-6564-45E1-8B71-335DD158B5A8}"/>
            </a:ext>
          </a:extLst>
        </xdr:cNvPr>
        <xdr:cNvGrpSpPr/>
      </xdr:nvGrpSpPr>
      <xdr:grpSpPr>
        <a:xfrm>
          <a:off x="0" y="19050"/>
          <a:ext cx="3431156" cy="1940994"/>
          <a:chOff x="1095375" y="206295"/>
          <a:chExt cx="2762250" cy="1727078"/>
        </a:xfrm>
      </xdr:grpSpPr>
      <xdr:pic>
        <xdr:nvPicPr>
          <xdr:cNvPr id="5" name="Picture 4" descr="Image result for molecular structure cartoon no background">
            <a:extLst>
              <a:ext uri="{FF2B5EF4-FFF2-40B4-BE49-F238E27FC236}">
                <a16:creationId xmlns:a16="http://schemas.microsoft.com/office/drawing/2014/main" id="{67BBE599-596F-4918-B87C-3E4E772E279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ackgroundRemoval t="5514" b="89866" l="7283" r="93261">
                        <a14:foregroundMark x1="17391" y1="18480" x2="17391" y2="18480"/>
                        <a14:foregroundMark x1="26957" y1="27273" x2="26957" y2="27273"/>
                        <a14:foregroundMark x1="22500" y1="8346" x2="22283" y2="24888"/>
                        <a14:foregroundMark x1="23478" y1="27571" x2="20978" y2="12519"/>
                        <a14:foregroundMark x1="19348" y1="14158" x2="19130" y2="14605"/>
                        <a14:foregroundMark x1="16413" y1="21311" x2="16413" y2="22057"/>
                        <a14:foregroundMark x1="16413" y1="28167" x2="16413" y2="28167"/>
                        <a14:foregroundMark x1="16957" y1="32191" x2="17283" y2="33234"/>
                        <a14:foregroundMark x1="19348" y1="37109" x2="19457" y2="12817"/>
                        <a14:foregroundMark x1="20761" y1="16542" x2="39022" y2="15946"/>
                        <a14:foregroundMark x1="22500" y1="14903" x2="20435" y2="10283"/>
                        <a14:foregroundMark x1="19239" y1="14307" x2="19239" y2="14307"/>
                        <a14:foregroundMark x1="19239" y1="14456" x2="11739" y2="16542"/>
                        <a14:foregroundMark x1="16630" y1="21610" x2="8478" y2="22057"/>
                        <a14:foregroundMark x1="15978" y1="28316" x2="7391" y2="40089"/>
                        <a14:foregroundMark x1="17283" y1="33234" x2="22609" y2="57973"/>
                        <a14:foregroundMark x1="73478" y1="29657" x2="73478" y2="29657"/>
                        <a14:foregroundMark x1="73587" y1="29657" x2="73696" y2="5663"/>
                        <a14:foregroundMark x1="73696" y1="29955" x2="85543" y2="52608"/>
                        <a14:foregroundMark x1="73478" y1="29806" x2="93261" y2="31297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95375" y="206295"/>
            <a:ext cx="2762250" cy="172707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F9697FE9-2F0A-439D-A59D-32412C203380}"/>
              </a:ext>
            </a:extLst>
          </xdr:cNvPr>
          <xdr:cNvSpPr/>
        </xdr:nvSpPr>
        <xdr:spPr>
          <a:xfrm>
            <a:off x="1624415" y="383673"/>
            <a:ext cx="1685119" cy="639912"/>
          </a:xfrm>
          <a:prstGeom prst="rect">
            <a:avLst/>
          </a:prstGeom>
          <a:noFill/>
        </xdr:spPr>
        <xdr:txBody>
          <a:bodyPr wrap="none" lIns="91440" tIns="45720" rIns="91440" bIns="45720">
            <a:spAutoFit/>
          </a:bodyPr>
          <a:lstStyle/>
          <a:p>
            <a:pPr algn="ctr"/>
            <a:r>
              <a:rPr lang="en-US" sz="36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Task One</a:t>
            </a:r>
          </a:p>
        </xdr:txBody>
      </xdr:sp>
    </xdr:grpSp>
    <xdr:clientData/>
  </xdr:twoCellAnchor>
  <xdr:twoCellAnchor>
    <xdr:from>
      <xdr:col>1</xdr:col>
      <xdr:colOff>19051</xdr:colOff>
      <xdr:row>9</xdr:row>
      <xdr:rowOff>38101</xdr:rowOff>
    </xdr:from>
    <xdr:to>
      <xdr:col>4</xdr:col>
      <xdr:colOff>528294</xdr:colOff>
      <xdr:row>15</xdr:row>
      <xdr:rowOff>85725</xdr:rowOff>
    </xdr:to>
    <xdr:grpSp>
      <xdr:nvGrpSpPr>
        <xdr:cNvPr id="45" name="Group 44">
          <a:extLst>
            <a:ext uri="{FF2B5EF4-FFF2-40B4-BE49-F238E27FC236}">
              <a16:creationId xmlns:a16="http://schemas.microsoft.com/office/drawing/2014/main" id="{7B9998F4-4E7A-40F8-8D60-34F57D6F4213}"/>
            </a:ext>
          </a:extLst>
        </xdr:cNvPr>
        <xdr:cNvGrpSpPr/>
      </xdr:nvGrpSpPr>
      <xdr:grpSpPr>
        <a:xfrm>
          <a:off x="628651" y="1752601"/>
          <a:ext cx="2338043" cy="1190624"/>
          <a:chOff x="2095500" y="5429251"/>
          <a:chExt cx="2200275" cy="1304924"/>
        </a:xfrm>
      </xdr:grpSpPr>
      <xdr:pic>
        <xdr:nvPicPr>
          <xdr:cNvPr id="42" name="Picture 41" descr="Image result for nox molecule cartoon">
            <a:extLst>
              <a:ext uri="{FF2B5EF4-FFF2-40B4-BE49-F238E27FC236}">
                <a16:creationId xmlns:a16="http://schemas.microsoft.com/office/drawing/2014/main" id="{DC84A07B-4DC7-414C-80A6-5D96060E839D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3890" b="94966" l="0" r="100000">
                        <a14:foregroundMark x1="65141" y1="4119" x2="65141" y2="4119"/>
                        <a14:foregroundMark x1="34331" y1="94966" x2="34331" y2="9496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2245792" y="5429251"/>
            <a:ext cx="1782424" cy="13049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4" name="Rectangle 43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493A7790-1EB8-4D3F-8172-C0D95EC119BF}"/>
              </a:ext>
            </a:extLst>
          </xdr:cNvPr>
          <xdr:cNvSpPr/>
        </xdr:nvSpPr>
        <xdr:spPr>
          <a:xfrm>
            <a:off x="2095500" y="5657850"/>
            <a:ext cx="2200275" cy="501012"/>
          </a:xfrm>
          <a:prstGeom prst="rect">
            <a:avLst/>
          </a:prstGeom>
          <a:noFill/>
        </xdr:spPr>
        <xdr:txBody>
          <a:bodyPr wrap="square" lIns="91440" tIns="45720" rIns="91440" bIns="45720">
            <a:noAutofit/>
          </a:bodyPr>
          <a:lstStyle/>
          <a:p>
            <a:pPr algn="ctr"/>
            <a:r>
              <a:rPr lang="en-US" sz="1800" b="0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Fuel Blend </a:t>
            </a:r>
          </a:p>
          <a:p>
            <a:pPr algn="ctr"/>
            <a:r>
              <a:rPr lang="en-US" sz="1200" b="0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(</a:t>
            </a:r>
            <a:r>
              <a:rPr lang="en-US" sz="1100" b="0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Iso-Octane</a:t>
            </a:r>
            <a:r>
              <a:rPr lang="en-US" sz="1100" b="0" cap="none" spc="0" baseline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&amp; Methanol)</a:t>
            </a:r>
            <a:endParaRPr lang="en-US" sz="12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twoCellAnchor>
    <xdr:from>
      <xdr:col>3</xdr:col>
      <xdr:colOff>495301</xdr:colOff>
      <xdr:row>14</xdr:row>
      <xdr:rowOff>76200</xdr:rowOff>
    </xdr:from>
    <xdr:to>
      <xdr:col>8</xdr:col>
      <xdr:colOff>382508</xdr:colOff>
      <xdr:row>22</xdr:row>
      <xdr:rowOff>128000</xdr:rowOff>
    </xdr:to>
    <xdr:grpSp>
      <xdr:nvGrpSpPr>
        <xdr:cNvPr id="18" name="Group 17">
          <a:extLst>
            <a:ext uri="{FF2B5EF4-FFF2-40B4-BE49-F238E27FC236}">
              <a16:creationId xmlns:a16="http://schemas.microsoft.com/office/drawing/2014/main" id="{E83D88EA-7DDD-43AF-82CD-692D7CC3F1FC}"/>
            </a:ext>
          </a:extLst>
        </xdr:cNvPr>
        <xdr:cNvGrpSpPr/>
      </xdr:nvGrpSpPr>
      <xdr:grpSpPr>
        <a:xfrm>
          <a:off x="2324101" y="2743200"/>
          <a:ext cx="2935207" cy="1575800"/>
          <a:chOff x="1219200" y="4381500"/>
          <a:chExt cx="2762250" cy="1727078"/>
        </a:xfrm>
      </xdr:grpSpPr>
      <xdr:pic>
        <xdr:nvPicPr>
          <xdr:cNvPr id="19" name="Picture 18" descr="Image result for molecular structure cartoon no background">
            <a:extLst>
              <a:ext uri="{FF2B5EF4-FFF2-40B4-BE49-F238E27FC236}">
                <a16:creationId xmlns:a16="http://schemas.microsoft.com/office/drawing/2014/main" id="{F860FCC5-3C9D-4E0B-89F5-8A637143BF0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ackgroundRemoval t="5514" b="89866" l="7283" r="93261">
                        <a14:foregroundMark x1="17391" y1="18480" x2="17391" y2="18480"/>
                        <a14:foregroundMark x1="26957" y1="27273" x2="26957" y2="27273"/>
                        <a14:foregroundMark x1="22500" y1="8346" x2="22283" y2="24888"/>
                        <a14:foregroundMark x1="23478" y1="27571" x2="20978" y2="12519"/>
                        <a14:foregroundMark x1="19348" y1="14158" x2="19130" y2="14605"/>
                        <a14:foregroundMark x1="16413" y1="21311" x2="16413" y2="22057"/>
                        <a14:foregroundMark x1="16413" y1="28167" x2="16413" y2="28167"/>
                        <a14:foregroundMark x1="16957" y1="32191" x2="17283" y2="33234"/>
                        <a14:foregroundMark x1="19348" y1="37109" x2="19457" y2="12817"/>
                        <a14:foregroundMark x1="20761" y1="16542" x2="39022" y2="15946"/>
                        <a14:foregroundMark x1="22500" y1="14903" x2="20435" y2="10283"/>
                        <a14:foregroundMark x1="19239" y1="14307" x2="19239" y2="14307"/>
                        <a14:foregroundMark x1="19239" y1="14456" x2="11739" y2="16542"/>
                        <a14:foregroundMark x1="16630" y1="21610" x2="8478" y2="22057"/>
                        <a14:foregroundMark x1="15978" y1="28316" x2="7391" y2="40089"/>
                        <a14:foregroundMark x1="17283" y1="33234" x2="22609" y2="57973"/>
                        <a14:foregroundMark x1="73478" y1="29657" x2="73478" y2="29657"/>
                        <a14:foregroundMark x1="73587" y1="29657" x2="73696" y2="5663"/>
                        <a14:foregroundMark x1="73696" y1="29955" x2="85543" y2="52608"/>
                        <a14:foregroundMark x1="73478" y1="29806" x2="93261" y2="31297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19200" y="4381500"/>
            <a:ext cx="2762250" cy="172707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DFB10A57-B281-4D39-BC35-7AE4CA28DFC3}"/>
              </a:ext>
            </a:extLst>
          </xdr:cNvPr>
          <xdr:cNvSpPr/>
        </xdr:nvSpPr>
        <xdr:spPr>
          <a:xfrm>
            <a:off x="1514475" y="4552950"/>
            <a:ext cx="2139047" cy="718466"/>
          </a:xfrm>
          <a:prstGeom prst="rect">
            <a:avLst/>
          </a:prstGeom>
          <a:noFill/>
        </xdr:spPr>
        <xdr:txBody>
          <a:bodyPr wrap="none" lIns="91440" tIns="45720" rIns="91440" bIns="45720">
            <a:noAutofit/>
          </a:bodyPr>
          <a:lstStyle/>
          <a:p>
            <a:pPr algn="ctr"/>
            <a:r>
              <a:rPr lang="en-US" sz="36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Tables</a:t>
            </a:r>
          </a:p>
        </xdr:txBody>
      </xdr:sp>
    </xdr:grpSp>
    <xdr:clientData/>
  </xdr:twoCellAnchor>
  <xdr:twoCellAnchor>
    <xdr:from>
      <xdr:col>14</xdr:col>
      <xdr:colOff>323849</xdr:colOff>
      <xdr:row>9</xdr:row>
      <xdr:rowOff>76200</xdr:rowOff>
    </xdr:from>
    <xdr:to>
      <xdr:col>20</xdr:col>
      <xdr:colOff>218861</xdr:colOff>
      <xdr:row>18</xdr:row>
      <xdr:rowOff>169364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5A31B17D-72A0-469F-A8E8-9E80170C1A2E}"/>
            </a:ext>
          </a:extLst>
        </xdr:cNvPr>
        <xdr:cNvGrpSpPr/>
      </xdr:nvGrpSpPr>
      <xdr:grpSpPr>
        <a:xfrm>
          <a:off x="8858249" y="1790700"/>
          <a:ext cx="3552612" cy="1807664"/>
          <a:chOff x="4277853" y="5600950"/>
          <a:chExt cx="2762250" cy="1727078"/>
        </a:xfrm>
      </xdr:grpSpPr>
      <xdr:pic>
        <xdr:nvPicPr>
          <xdr:cNvPr id="62" name="Picture 61" descr="Image result for molecular structure cartoon no background">
            <a:extLst>
              <a:ext uri="{FF2B5EF4-FFF2-40B4-BE49-F238E27FC236}">
                <a16:creationId xmlns:a16="http://schemas.microsoft.com/office/drawing/2014/main" id="{5F283118-BC10-4C26-B99E-1572A61E6CC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ackgroundRemoval t="5514" b="89866" l="7283" r="93261">
                        <a14:foregroundMark x1="17391" y1="18480" x2="17391" y2="18480"/>
                        <a14:foregroundMark x1="26957" y1="27273" x2="26957" y2="27273"/>
                        <a14:foregroundMark x1="22500" y1="8346" x2="22283" y2="24888"/>
                        <a14:foregroundMark x1="23478" y1="27571" x2="20978" y2="12519"/>
                        <a14:foregroundMark x1="19348" y1="14158" x2="19130" y2="14605"/>
                        <a14:foregroundMark x1="16413" y1="21311" x2="16413" y2="22057"/>
                        <a14:foregroundMark x1="16413" y1="28167" x2="16413" y2="28167"/>
                        <a14:foregroundMark x1="16957" y1="32191" x2="17283" y2="33234"/>
                        <a14:foregroundMark x1="19348" y1="37109" x2="19457" y2="12817"/>
                        <a14:foregroundMark x1="20761" y1="16542" x2="39022" y2="15946"/>
                        <a14:foregroundMark x1="22500" y1="14903" x2="20435" y2="10283"/>
                        <a14:foregroundMark x1="19239" y1="14307" x2="19239" y2="14307"/>
                        <a14:foregroundMark x1="19239" y1="14456" x2="11739" y2="16542"/>
                        <a14:foregroundMark x1="16630" y1="21610" x2="8478" y2="22057"/>
                        <a14:foregroundMark x1="15978" y1="28316" x2="7391" y2="40089"/>
                        <a14:foregroundMark x1="17283" y1="33234" x2="22609" y2="57973"/>
                        <a14:foregroundMark x1="73478" y1="29657" x2="73478" y2="29657"/>
                        <a14:foregroundMark x1="73587" y1="29657" x2="73696" y2="5663"/>
                        <a14:foregroundMark x1="73696" y1="29955" x2="85543" y2="52608"/>
                        <a14:foregroundMark x1="73478" y1="29806" x2="93261" y2="31297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277853" y="5600950"/>
            <a:ext cx="2762250" cy="172707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63" name="Rectangle 62">
            <a:extLst>
              <a:ext uri="{FF2B5EF4-FFF2-40B4-BE49-F238E27FC236}">
                <a16:creationId xmlns:a16="http://schemas.microsoft.com/office/drawing/2014/main" id="{FB14EE53-6DC3-4514-8B69-D8181549584C}"/>
              </a:ext>
            </a:extLst>
          </xdr:cNvPr>
          <xdr:cNvSpPr/>
        </xdr:nvSpPr>
        <xdr:spPr>
          <a:xfrm>
            <a:off x="4545623" y="5843504"/>
            <a:ext cx="2139047" cy="718466"/>
          </a:xfrm>
          <a:prstGeom prst="rect">
            <a:avLst/>
          </a:prstGeom>
          <a:noFill/>
        </xdr:spPr>
        <xdr:txBody>
          <a:bodyPr wrap="none" lIns="91440" tIns="45720" rIns="91440" bIns="45720">
            <a:noAutofit/>
          </a:bodyPr>
          <a:lstStyle/>
          <a:p>
            <a:pPr algn="ctr"/>
            <a:r>
              <a:rPr lang="en-US" sz="40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Task Two</a:t>
            </a:r>
          </a:p>
          <a:p>
            <a:pPr algn="ctr"/>
            <a:r>
              <a:rPr lang="en-US" sz="32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Part A</a:t>
            </a:r>
          </a:p>
        </xdr:txBody>
      </xdr:sp>
    </xdr:grpSp>
    <xdr:clientData/>
  </xdr:twoCellAnchor>
  <xdr:twoCellAnchor>
    <xdr:from>
      <xdr:col>13</xdr:col>
      <xdr:colOff>523876</xdr:colOff>
      <xdr:row>17</xdr:row>
      <xdr:rowOff>85726</xdr:rowOff>
    </xdr:from>
    <xdr:to>
      <xdr:col>17</xdr:col>
      <xdr:colOff>228601</xdr:colOff>
      <xdr:row>23</xdr:row>
      <xdr:rowOff>133350</xdr:rowOff>
    </xdr:to>
    <xdr:grpSp>
      <xdr:nvGrpSpPr>
        <xdr:cNvPr id="21" name="Group 20">
          <a:extLst>
            <a:ext uri="{FF2B5EF4-FFF2-40B4-BE49-F238E27FC236}">
              <a16:creationId xmlns:a16="http://schemas.microsoft.com/office/drawing/2014/main" id="{FC7F6D19-3B82-4B2C-BAF5-ED460C663543}"/>
            </a:ext>
          </a:extLst>
        </xdr:cNvPr>
        <xdr:cNvGrpSpPr/>
      </xdr:nvGrpSpPr>
      <xdr:grpSpPr>
        <a:xfrm>
          <a:off x="8448676" y="3324226"/>
          <a:ext cx="2143125" cy="1190624"/>
          <a:chOff x="1140882" y="1828800"/>
          <a:chExt cx="2619597" cy="1781175"/>
        </a:xfrm>
      </xdr:grpSpPr>
      <xdr:pic>
        <xdr:nvPicPr>
          <xdr:cNvPr id="22" name="Picture 21" descr="Image result for nox molecule cartoon">
            <a:extLst>
              <a:ext uri="{FF2B5EF4-FFF2-40B4-BE49-F238E27FC236}">
                <a16:creationId xmlns:a16="http://schemas.microsoft.com/office/drawing/2014/main" id="{8B9C0D75-043D-4785-B68B-867430CFDF05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3890" b="94966" l="0" r="100000">
                        <a14:foregroundMark x1="65141" y1="4119" x2="65141" y2="4119"/>
                        <a14:foregroundMark x1="34331" y1="94966" x2="34331" y2="9496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285875" y="1828800"/>
            <a:ext cx="2315120" cy="17811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3" name="Rectangle 22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7009E515-0164-43B4-ACE8-4ED3620ADE9C}"/>
              </a:ext>
            </a:extLst>
          </xdr:cNvPr>
          <xdr:cNvSpPr/>
        </xdr:nvSpPr>
        <xdr:spPr>
          <a:xfrm>
            <a:off x="1152525" y="2381250"/>
            <a:ext cx="2607954" cy="613723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8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NOx Model (1)</a:t>
            </a:r>
            <a:endParaRPr kumimoji="0" lang="en-US" sz="1050" b="0" i="0" u="none" strike="noStrike" kern="0" cap="none" spc="0" normalizeH="0" baseline="0" noProof="0">
              <a:ln w="0"/>
              <a:solidFill>
                <a:sysClr val="window" lastClr="FFFFFF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</a:endParaRPr>
          </a:p>
        </xdr:txBody>
      </xdr:sp>
      <xdr:sp macro="" textlink="">
        <xdr:nvSpPr>
          <xdr:cNvPr id="64" name="Rectangle 63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42CB0134-27DC-4164-923C-9504E7C2C846}"/>
              </a:ext>
            </a:extLst>
          </xdr:cNvPr>
          <xdr:cNvSpPr/>
        </xdr:nvSpPr>
        <xdr:spPr>
          <a:xfrm>
            <a:off x="1140882" y="2381249"/>
            <a:ext cx="2607954" cy="613723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8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NOx Model (1)</a:t>
            </a:r>
            <a:endParaRPr kumimoji="0" lang="en-US" sz="1050" b="0" i="0" u="none" strike="noStrike" kern="0" cap="none" spc="0" normalizeH="0" baseline="0" noProof="0">
              <a:ln w="0"/>
              <a:solidFill>
                <a:sysClr val="window" lastClr="FFFFFF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</a:endParaRPr>
          </a:p>
        </xdr:txBody>
      </xdr:sp>
    </xdr:grpSp>
    <xdr:clientData/>
  </xdr:twoCellAnchor>
  <xdr:twoCellAnchor>
    <xdr:from>
      <xdr:col>17</xdr:col>
      <xdr:colOff>333375</xdr:colOff>
      <xdr:row>17</xdr:row>
      <xdr:rowOff>9525</xdr:rowOff>
    </xdr:from>
    <xdr:to>
      <xdr:col>21</xdr:col>
      <xdr:colOff>28575</xdr:colOff>
      <xdr:row>23</xdr:row>
      <xdr:rowOff>57149</xdr:rowOff>
    </xdr:to>
    <xdr:grpSp>
      <xdr:nvGrpSpPr>
        <xdr:cNvPr id="25" name="Group 24">
          <a:extLst>
            <a:ext uri="{FF2B5EF4-FFF2-40B4-BE49-F238E27FC236}">
              <a16:creationId xmlns:a16="http://schemas.microsoft.com/office/drawing/2014/main" id="{996F33F9-FEBA-4C60-B439-E5F5049BC50F}"/>
            </a:ext>
          </a:extLst>
        </xdr:cNvPr>
        <xdr:cNvGrpSpPr/>
      </xdr:nvGrpSpPr>
      <xdr:grpSpPr>
        <a:xfrm>
          <a:off x="10696575" y="3248025"/>
          <a:ext cx="2133600" cy="1190624"/>
          <a:chOff x="-6904192" y="4863924"/>
          <a:chExt cx="2607954" cy="1781175"/>
        </a:xfrm>
      </xdr:grpSpPr>
      <xdr:pic>
        <xdr:nvPicPr>
          <xdr:cNvPr id="26" name="Picture 25" descr="Image result for nox molecule cartoon">
            <a:extLst>
              <a:ext uri="{FF2B5EF4-FFF2-40B4-BE49-F238E27FC236}">
                <a16:creationId xmlns:a16="http://schemas.microsoft.com/office/drawing/2014/main" id="{4488EEA1-D369-4E63-A55B-665C35F4F336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3890" b="94966" l="0" r="100000">
                        <a14:foregroundMark x1="65141" y1="4119" x2="65141" y2="4119"/>
                        <a14:foregroundMark x1="34331" y1="94966" x2="34331" y2="9496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-6770841" y="4863924"/>
            <a:ext cx="2315121" cy="17811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71" name="Rectangle 70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6522B167-A0CE-4378-B19B-26E948E0B9FB}"/>
              </a:ext>
            </a:extLst>
          </xdr:cNvPr>
          <xdr:cNvSpPr/>
        </xdr:nvSpPr>
        <xdr:spPr>
          <a:xfrm>
            <a:off x="-6904192" y="5330878"/>
            <a:ext cx="2607954" cy="613723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8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NOx Model (2)</a:t>
            </a:r>
            <a:endParaRPr kumimoji="0" lang="en-US" sz="1050" b="0" i="0" u="none" strike="noStrike" kern="0" cap="none" spc="0" normalizeH="0" baseline="0" noProof="0">
              <a:ln w="0"/>
              <a:solidFill>
                <a:sysClr val="window" lastClr="FFFFFF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</a:endParaRPr>
          </a:p>
        </xdr:txBody>
      </xdr:sp>
    </xdr:grpSp>
    <xdr:clientData/>
  </xdr:twoCellAnchor>
  <xdr:twoCellAnchor>
    <xdr:from>
      <xdr:col>17</xdr:col>
      <xdr:colOff>295276</xdr:colOff>
      <xdr:row>23</xdr:row>
      <xdr:rowOff>38101</xdr:rowOff>
    </xdr:from>
    <xdr:to>
      <xdr:col>20</xdr:col>
      <xdr:colOff>600076</xdr:colOff>
      <xdr:row>29</xdr:row>
      <xdr:rowOff>85725</xdr:rowOff>
    </xdr:to>
    <xdr:grpSp>
      <xdr:nvGrpSpPr>
        <xdr:cNvPr id="32" name="Group 31">
          <a:extLst>
            <a:ext uri="{FF2B5EF4-FFF2-40B4-BE49-F238E27FC236}">
              <a16:creationId xmlns:a16="http://schemas.microsoft.com/office/drawing/2014/main" id="{69DBCCE3-F239-4610-B74F-E81D4494F78E}"/>
            </a:ext>
          </a:extLst>
        </xdr:cNvPr>
        <xdr:cNvGrpSpPr/>
      </xdr:nvGrpSpPr>
      <xdr:grpSpPr>
        <a:xfrm>
          <a:off x="10658476" y="4419601"/>
          <a:ext cx="2133600" cy="1190624"/>
          <a:chOff x="1152525" y="1828800"/>
          <a:chExt cx="2607954" cy="1781175"/>
        </a:xfrm>
      </xdr:grpSpPr>
      <xdr:pic>
        <xdr:nvPicPr>
          <xdr:cNvPr id="33" name="Picture 32" descr="Image result for nox molecule cartoon">
            <a:extLst>
              <a:ext uri="{FF2B5EF4-FFF2-40B4-BE49-F238E27FC236}">
                <a16:creationId xmlns:a16="http://schemas.microsoft.com/office/drawing/2014/main" id="{7DF33A95-C52D-4819-82AD-CF1A433F1B2D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3890" b="94966" l="0" r="100000">
                        <a14:foregroundMark x1="65141" y1="4119" x2="65141" y2="4119"/>
                        <a14:foregroundMark x1="34331" y1="94966" x2="34331" y2="9496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285875" y="1828800"/>
            <a:ext cx="2315120" cy="17811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4" name="Rectangle 33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A470AF6D-7A10-4F94-ABEB-C360789EB4CA}"/>
              </a:ext>
            </a:extLst>
          </xdr:cNvPr>
          <xdr:cNvSpPr/>
        </xdr:nvSpPr>
        <xdr:spPr>
          <a:xfrm>
            <a:off x="1152525" y="2381250"/>
            <a:ext cx="2607954" cy="613723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8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Poly Graphs</a:t>
            </a:r>
            <a:endParaRPr kumimoji="0" lang="en-US" sz="1050" b="0" i="0" u="none" strike="noStrike" kern="0" cap="none" spc="0" normalizeH="0" baseline="0" noProof="0">
              <a:ln w="0"/>
              <a:solidFill>
                <a:sysClr val="window" lastClr="FFFFFF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</a:endParaRPr>
          </a:p>
        </xdr:txBody>
      </xdr:sp>
    </xdr:grpSp>
    <xdr:clientData/>
  </xdr:twoCellAnchor>
  <xdr:twoCellAnchor>
    <xdr:from>
      <xdr:col>13</xdr:col>
      <xdr:colOff>590551</xdr:colOff>
      <xdr:row>30</xdr:row>
      <xdr:rowOff>28576</xdr:rowOff>
    </xdr:from>
    <xdr:to>
      <xdr:col>17</xdr:col>
      <xdr:colOff>285751</xdr:colOff>
      <xdr:row>36</xdr:row>
      <xdr:rowOff>76200</xdr:rowOff>
    </xdr:to>
    <xdr:grpSp>
      <xdr:nvGrpSpPr>
        <xdr:cNvPr id="35" name="Group 34">
          <a:extLst>
            <a:ext uri="{FF2B5EF4-FFF2-40B4-BE49-F238E27FC236}">
              <a16:creationId xmlns:a16="http://schemas.microsoft.com/office/drawing/2014/main" id="{DF10561A-C729-451F-AD8F-C1EB9DD81D00}"/>
            </a:ext>
          </a:extLst>
        </xdr:cNvPr>
        <xdr:cNvGrpSpPr/>
      </xdr:nvGrpSpPr>
      <xdr:grpSpPr>
        <a:xfrm>
          <a:off x="8515351" y="5743576"/>
          <a:ext cx="2133600" cy="1190624"/>
          <a:chOff x="1085850" y="1905000"/>
          <a:chExt cx="2607954" cy="1781175"/>
        </a:xfrm>
      </xdr:grpSpPr>
      <xdr:pic>
        <xdr:nvPicPr>
          <xdr:cNvPr id="36" name="Picture 35" descr="Image result for nox molecule cartoon">
            <a:extLst>
              <a:ext uri="{FF2B5EF4-FFF2-40B4-BE49-F238E27FC236}">
                <a16:creationId xmlns:a16="http://schemas.microsoft.com/office/drawing/2014/main" id="{7117A172-7266-40EF-8DD0-E5410AA9EFB3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3890" b="94966" l="0" r="100000">
                        <a14:foregroundMark x1="65141" y1="4119" x2="65141" y2="4119"/>
                        <a14:foregroundMark x1="34331" y1="94966" x2="34331" y2="9496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181100" y="1905000"/>
            <a:ext cx="2315120" cy="17811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7" name="Rectangle 36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EF9A85D2-1175-4634-B27D-D302A29154E4}"/>
              </a:ext>
            </a:extLst>
          </xdr:cNvPr>
          <xdr:cNvSpPr/>
        </xdr:nvSpPr>
        <xdr:spPr>
          <a:xfrm>
            <a:off x="1085850" y="2418969"/>
            <a:ext cx="2607954" cy="973120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6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Iso-Octane NOx Graph</a:t>
            </a:r>
            <a:endParaRPr kumimoji="0" lang="en-US" sz="1000" b="0" i="0" u="none" strike="noStrike" kern="0" cap="none" spc="0" normalizeH="0" baseline="0" noProof="0">
              <a:ln w="0"/>
              <a:solidFill>
                <a:sysClr val="window" lastClr="FFFFFF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</a:endParaRPr>
          </a:p>
        </xdr:txBody>
      </xdr:sp>
    </xdr:grpSp>
    <xdr:clientData/>
  </xdr:twoCellAnchor>
  <xdr:twoCellAnchor>
    <xdr:from>
      <xdr:col>17</xdr:col>
      <xdr:colOff>323851</xdr:colOff>
      <xdr:row>29</xdr:row>
      <xdr:rowOff>123826</xdr:rowOff>
    </xdr:from>
    <xdr:to>
      <xdr:col>21</xdr:col>
      <xdr:colOff>19051</xdr:colOff>
      <xdr:row>35</xdr:row>
      <xdr:rowOff>171450</xdr:rowOff>
    </xdr:to>
    <xdr:grpSp>
      <xdr:nvGrpSpPr>
        <xdr:cNvPr id="38" name="Group 37">
          <a:extLst>
            <a:ext uri="{FF2B5EF4-FFF2-40B4-BE49-F238E27FC236}">
              <a16:creationId xmlns:a16="http://schemas.microsoft.com/office/drawing/2014/main" id="{81F45315-449A-4787-B1A3-CA6D485985F7}"/>
            </a:ext>
          </a:extLst>
        </xdr:cNvPr>
        <xdr:cNvGrpSpPr/>
      </xdr:nvGrpSpPr>
      <xdr:grpSpPr>
        <a:xfrm>
          <a:off x="10687051" y="5648326"/>
          <a:ext cx="2133600" cy="1190624"/>
          <a:chOff x="1047750" y="1905000"/>
          <a:chExt cx="2607954" cy="1781175"/>
        </a:xfrm>
      </xdr:grpSpPr>
      <xdr:pic>
        <xdr:nvPicPr>
          <xdr:cNvPr id="39" name="Picture 38" descr="Image result for nox molecule cartoon">
            <a:extLst>
              <a:ext uri="{FF2B5EF4-FFF2-40B4-BE49-F238E27FC236}">
                <a16:creationId xmlns:a16="http://schemas.microsoft.com/office/drawing/2014/main" id="{9FA7F907-7B73-4BF0-A1B9-88CBBF1EBC7C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3890" b="94966" l="0" r="100000">
                        <a14:foregroundMark x1="65141" y1="4119" x2="65141" y2="4119"/>
                        <a14:foregroundMark x1="34331" y1="94966" x2="34331" y2="9496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181100" y="1905000"/>
            <a:ext cx="2315121" cy="17811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0" name="Rectangle 39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A769A04C-1AE7-4FE6-AD97-E589D12D1A4B}"/>
              </a:ext>
            </a:extLst>
          </xdr:cNvPr>
          <xdr:cNvSpPr/>
        </xdr:nvSpPr>
        <xdr:spPr>
          <a:xfrm>
            <a:off x="1047750" y="2333625"/>
            <a:ext cx="2607954" cy="973120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6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Alternative Fuels NOx Graphs</a:t>
            </a:r>
            <a:endParaRPr kumimoji="0" lang="en-US" sz="1000" b="0" i="0" u="none" strike="noStrike" kern="0" cap="none" spc="0" normalizeH="0" baseline="0" noProof="0">
              <a:ln w="0"/>
              <a:solidFill>
                <a:sysClr val="window" lastClr="FFFFFF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</a:endParaRPr>
          </a:p>
        </xdr:txBody>
      </xdr:sp>
    </xdr:grpSp>
    <xdr:clientData/>
  </xdr:twoCellAnchor>
  <xdr:twoCellAnchor>
    <xdr:from>
      <xdr:col>13</xdr:col>
      <xdr:colOff>571501</xdr:colOff>
      <xdr:row>23</xdr:row>
      <xdr:rowOff>142875</xdr:rowOff>
    </xdr:from>
    <xdr:to>
      <xdr:col>17</xdr:col>
      <xdr:colOff>266701</xdr:colOff>
      <xdr:row>29</xdr:row>
      <xdr:rowOff>190499</xdr:rowOff>
    </xdr:to>
    <xdr:grpSp>
      <xdr:nvGrpSpPr>
        <xdr:cNvPr id="59" name="Group 58">
          <a:extLst>
            <a:ext uri="{FF2B5EF4-FFF2-40B4-BE49-F238E27FC236}">
              <a16:creationId xmlns:a16="http://schemas.microsoft.com/office/drawing/2014/main" id="{C7CBA321-3325-4C1A-B962-D6071ED6EEAD}"/>
            </a:ext>
          </a:extLst>
        </xdr:cNvPr>
        <xdr:cNvGrpSpPr/>
      </xdr:nvGrpSpPr>
      <xdr:grpSpPr>
        <a:xfrm>
          <a:off x="8496301" y="4524375"/>
          <a:ext cx="2133600" cy="1190624"/>
          <a:chOff x="1152525" y="1828800"/>
          <a:chExt cx="2607954" cy="1781175"/>
        </a:xfrm>
      </xdr:grpSpPr>
      <xdr:pic>
        <xdr:nvPicPr>
          <xdr:cNvPr id="60" name="Picture 59" descr="Image result for nox molecule cartoon">
            <a:extLst>
              <a:ext uri="{FF2B5EF4-FFF2-40B4-BE49-F238E27FC236}">
                <a16:creationId xmlns:a16="http://schemas.microsoft.com/office/drawing/2014/main" id="{036D2AB8-7EA7-445A-8F54-40D34287283F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3890" b="94966" l="0" r="100000">
                        <a14:foregroundMark x1="65141" y1="4119" x2="65141" y2="4119"/>
                        <a14:foregroundMark x1="34331" y1="94966" x2="34331" y2="9496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285875" y="1828800"/>
            <a:ext cx="2315120" cy="17811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61" name="Rectangle 60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BC0AB600-D68F-4DE7-8611-B0F9D0C1856B}"/>
              </a:ext>
            </a:extLst>
          </xdr:cNvPr>
          <xdr:cNvSpPr/>
        </xdr:nvSpPr>
        <xdr:spPr>
          <a:xfrm>
            <a:off x="1152525" y="2381250"/>
            <a:ext cx="2607954" cy="613723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8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NOx PPM</a:t>
            </a:r>
            <a:endParaRPr kumimoji="0" lang="en-US" sz="1050" b="0" i="0" u="none" strike="noStrike" kern="0" cap="none" spc="0" normalizeH="0" baseline="0" noProof="0">
              <a:ln w="0"/>
              <a:solidFill>
                <a:sysClr val="window" lastClr="FFFFFF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</a:endParaRPr>
          </a:p>
        </xdr:txBody>
      </xdr:sp>
    </xdr:grpSp>
    <xdr:clientData/>
  </xdr:twoCellAnchor>
  <xdr:twoCellAnchor>
    <xdr:from>
      <xdr:col>21</xdr:col>
      <xdr:colOff>381001</xdr:colOff>
      <xdr:row>1</xdr:row>
      <xdr:rowOff>76200</xdr:rowOff>
    </xdr:from>
    <xdr:to>
      <xdr:col>28</xdr:col>
      <xdr:colOff>295276</xdr:colOff>
      <xdr:row>24</xdr:row>
      <xdr:rowOff>66674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8558EB11-A035-438D-A918-6C9B53AF77A1}"/>
            </a:ext>
          </a:extLst>
        </xdr:cNvPr>
        <xdr:cNvGrpSpPr/>
      </xdr:nvGrpSpPr>
      <xdr:grpSpPr>
        <a:xfrm>
          <a:off x="13182601" y="266700"/>
          <a:ext cx="4181475" cy="4371974"/>
          <a:chOff x="7124700" y="2590800"/>
          <a:chExt cx="4181475" cy="4371974"/>
        </a:xfrm>
      </xdr:grpSpPr>
      <xdr:grpSp>
        <xdr:nvGrpSpPr>
          <xdr:cNvPr id="15" name="Group 14">
            <a:extLst>
              <a:ext uri="{FF2B5EF4-FFF2-40B4-BE49-F238E27FC236}">
                <a16:creationId xmlns:a16="http://schemas.microsoft.com/office/drawing/2014/main" id="{BC773B8F-250A-4305-8CE6-D0C91671E4CB}"/>
              </a:ext>
            </a:extLst>
          </xdr:cNvPr>
          <xdr:cNvGrpSpPr/>
        </xdr:nvGrpSpPr>
        <xdr:grpSpPr>
          <a:xfrm>
            <a:off x="7839075" y="2590800"/>
            <a:ext cx="2935207" cy="1575800"/>
            <a:chOff x="1219200" y="4381500"/>
            <a:chExt cx="2762250" cy="1727078"/>
          </a:xfrm>
        </xdr:grpSpPr>
        <xdr:pic>
          <xdr:nvPicPr>
            <xdr:cNvPr id="16" name="Picture 15" descr="Image result for molecular structure cartoon no background">
              <a:extLst>
                <a:ext uri="{FF2B5EF4-FFF2-40B4-BE49-F238E27FC236}">
                  <a16:creationId xmlns:a16="http://schemas.microsoft.com/office/drawing/2014/main" id="{6542BFD5-CAC2-4BF0-8FE3-F2528D1CFF21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BEBA8EAE-BF5A-486C-A8C5-ECC9F3942E4B}">
                  <a14:imgProps xmlns:a14="http://schemas.microsoft.com/office/drawing/2010/main">
                    <a14:imgLayer r:embed="rId2">
                      <a14:imgEffect>
                        <a14:backgroundRemoval t="5514" b="89866" l="7283" r="93261">
                          <a14:foregroundMark x1="17391" y1="18480" x2="17391" y2="18480"/>
                          <a14:foregroundMark x1="26957" y1="27273" x2="26957" y2="27273"/>
                          <a14:foregroundMark x1="22500" y1="8346" x2="22283" y2="24888"/>
                          <a14:foregroundMark x1="23478" y1="27571" x2="20978" y2="12519"/>
                          <a14:foregroundMark x1="19348" y1="14158" x2="19130" y2="14605"/>
                          <a14:foregroundMark x1="16413" y1="21311" x2="16413" y2="22057"/>
                          <a14:foregroundMark x1="16413" y1="28167" x2="16413" y2="28167"/>
                          <a14:foregroundMark x1="16957" y1="32191" x2="17283" y2="33234"/>
                          <a14:foregroundMark x1="19348" y1="37109" x2="19457" y2="12817"/>
                          <a14:foregroundMark x1="20761" y1="16542" x2="39022" y2="15946"/>
                          <a14:foregroundMark x1="22500" y1="14903" x2="20435" y2="10283"/>
                          <a14:foregroundMark x1="19239" y1="14307" x2="19239" y2="14307"/>
                          <a14:foregroundMark x1="19239" y1="14456" x2="11739" y2="16542"/>
                          <a14:foregroundMark x1="16630" y1="21610" x2="8478" y2="22057"/>
                          <a14:foregroundMark x1="15978" y1="28316" x2="7391" y2="40089"/>
                          <a14:foregroundMark x1="17283" y1="33234" x2="22609" y2="57973"/>
                          <a14:foregroundMark x1="73478" y1="29657" x2="73478" y2="29657"/>
                          <a14:foregroundMark x1="73587" y1="29657" x2="73696" y2="5663"/>
                          <a14:foregroundMark x1="73696" y1="29955" x2="85543" y2="52608"/>
                          <a14:foregroundMark x1="73478" y1="29806" x2="93261" y2="31297"/>
                        </a14:backgroundRemoval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219200" y="4381500"/>
              <a:ext cx="2762250" cy="1727078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17" name="Rectangle 16">
              <a:extLst>
                <a:ext uri="{FF2B5EF4-FFF2-40B4-BE49-F238E27FC236}">
                  <a16:creationId xmlns:a16="http://schemas.microsoft.com/office/drawing/2014/main" id="{14BED315-9FBF-40BD-B42C-DDA73C376780}"/>
                </a:ext>
              </a:extLst>
            </xdr:cNvPr>
            <xdr:cNvSpPr/>
          </xdr:nvSpPr>
          <xdr:spPr>
            <a:xfrm>
              <a:off x="1524000" y="4514850"/>
              <a:ext cx="2139047" cy="718466"/>
            </a:xfrm>
            <a:prstGeom prst="rect">
              <a:avLst/>
            </a:prstGeom>
            <a:noFill/>
          </xdr:spPr>
          <xdr:txBody>
            <a:bodyPr wrap="none" lIns="91440" tIns="45720" rIns="91440" bIns="45720">
              <a:noAutofit/>
            </a:bodyPr>
            <a:lstStyle/>
            <a:p>
              <a:pPr algn="ctr"/>
              <a:r>
                <a:rPr lang="en-US" sz="3600" b="1" cap="none" spc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Task Two</a:t>
              </a:r>
            </a:p>
            <a:p>
              <a:pPr algn="ctr"/>
              <a:r>
                <a:rPr lang="en-US" sz="2800" b="1" cap="none" spc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Part B</a:t>
              </a:r>
            </a:p>
          </xdr:txBody>
        </xdr:sp>
      </xdr:grpSp>
      <xdr:grpSp>
        <xdr:nvGrpSpPr>
          <xdr:cNvPr id="50" name="Group 49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3AFF2EE9-F83E-4002-9D6F-F77973203B5A}"/>
              </a:ext>
            </a:extLst>
          </xdr:cNvPr>
          <xdr:cNvGrpSpPr/>
        </xdr:nvGrpSpPr>
        <xdr:grpSpPr>
          <a:xfrm>
            <a:off x="7134225" y="4362450"/>
            <a:ext cx="2133600" cy="1190624"/>
            <a:chOff x="1164168" y="1828800"/>
            <a:chExt cx="2607954" cy="1781175"/>
          </a:xfrm>
        </xdr:grpSpPr>
        <xdr:pic>
          <xdr:nvPicPr>
            <xdr:cNvPr id="51" name="Picture 50" descr="Image result for nox molecule cartoon">
              <a:extLst>
                <a:ext uri="{FF2B5EF4-FFF2-40B4-BE49-F238E27FC236}">
                  <a16:creationId xmlns:a16="http://schemas.microsoft.com/office/drawing/2014/main" id="{A6F2745D-71DC-4A63-BCA8-0D77B0681D69}"/>
                </a:ext>
              </a:extLst>
            </xdr:cNvPr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3890" b="94966" l="0" r="100000">
                          <a14:foregroundMark x1="65141" y1="4119" x2="65141" y2="4119"/>
                          <a14:foregroundMark x1="34331" y1="94966" x2="34331" y2="94966"/>
                        </a14:backgroundRemoval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/>
          </xdr:blipFill>
          <xdr:spPr bwMode="auto">
            <a:xfrm>
              <a:off x="1285875" y="1828800"/>
              <a:ext cx="2315120" cy="1781175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52" name="Rectangle 51">
              <a:extLst>
                <a:ext uri="{FF2B5EF4-FFF2-40B4-BE49-F238E27FC236}">
                  <a16:creationId xmlns:a16="http://schemas.microsoft.com/office/drawing/2014/main" id="{29A2C78F-4077-423B-83FD-9AA4EC023C65}"/>
                </a:ext>
              </a:extLst>
            </xdr:cNvPr>
            <xdr:cNvSpPr/>
          </xdr:nvSpPr>
          <xdr:spPr>
            <a:xfrm>
              <a:off x="1164168" y="2381249"/>
              <a:ext cx="2607954" cy="613723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</a:bodyPr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sz="1800" b="0" i="0" u="none" strike="noStrike" kern="0" cap="none" spc="0" normalizeH="0" baseline="0" noProof="0">
                  <a:ln w="0"/>
                  <a:solidFill>
                    <a:sysClr val="window" lastClr="FFFFFF"/>
                  </a:solidFill>
                  <a:effectLst>
                    <a:outerShdw blurRad="38100" dist="19050" dir="2700000" algn="tl" rotWithShape="0">
                      <a:sysClr val="windowText" lastClr="000000">
                        <a:alpha val="40000"/>
                      </a:sysClr>
                    </a:outerShdw>
                  </a:effectLst>
                  <a:uLnTx/>
                  <a:uFillTx/>
                </a:rPr>
                <a:t>EGR</a:t>
              </a:r>
              <a:endParaRPr kumimoji="0" lang="en-US" sz="105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endParaRPr>
            </a:p>
          </xdr:txBody>
        </xdr:sp>
      </xdr:grpSp>
      <xdr:grpSp>
        <xdr:nvGrpSpPr>
          <xdr:cNvPr id="56" name="Group 55">
            <a:extLst>
              <a:ext uri="{FF2B5EF4-FFF2-40B4-BE49-F238E27FC236}">
                <a16:creationId xmlns:a16="http://schemas.microsoft.com/office/drawing/2014/main" id="{86A5656F-6119-446E-B914-EFD86F7DB0C7}"/>
              </a:ext>
            </a:extLst>
          </xdr:cNvPr>
          <xdr:cNvGrpSpPr/>
        </xdr:nvGrpSpPr>
        <xdr:grpSpPr>
          <a:xfrm>
            <a:off x="9153525" y="4381500"/>
            <a:ext cx="2133600" cy="1190624"/>
            <a:chOff x="1152525" y="1828800"/>
            <a:chExt cx="2607954" cy="1781175"/>
          </a:xfrm>
        </xdr:grpSpPr>
        <xdr:pic>
          <xdr:nvPicPr>
            <xdr:cNvPr id="57" name="Picture 56" descr="Image result for nox molecule cartoon">
              <a:extLst>
                <a:ext uri="{FF2B5EF4-FFF2-40B4-BE49-F238E27FC236}">
                  <a16:creationId xmlns:a16="http://schemas.microsoft.com/office/drawing/2014/main" id="{0D5E7AF6-232F-40A9-A81B-21EFD898A0A5}"/>
                </a:ext>
              </a:extLst>
            </xdr:cNvPr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3890" b="94966" l="0" r="100000">
                          <a14:foregroundMark x1="65141" y1="4119" x2="65141" y2="4119"/>
                          <a14:foregroundMark x1="34331" y1="94966" x2="34331" y2="94966"/>
                        </a14:backgroundRemoval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/>
          </xdr:blipFill>
          <xdr:spPr bwMode="auto">
            <a:xfrm>
              <a:off x="1285875" y="1828800"/>
              <a:ext cx="2315120" cy="1781175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58" name="Rectangle 57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E181F598-62FB-4184-BAC1-AD1FFD7F8775}"/>
                </a:ext>
              </a:extLst>
            </xdr:cNvPr>
            <xdr:cNvSpPr/>
          </xdr:nvSpPr>
          <xdr:spPr>
            <a:xfrm>
              <a:off x="1152525" y="2381250"/>
              <a:ext cx="2607954" cy="613723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</a:bodyPr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sz="1800" b="0" i="0" u="none" strike="noStrike" kern="0" cap="none" spc="0" normalizeH="0" baseline="0" noProof="0">
                  <a:ln w="0"/>
                  <a:solidFill>
                    <a:sysClr val="window" lastClr="FFFFFF"/>
                  </a:solidFill>
                  <a:effectLst>
                    <a:outerShdw blurRad="38100" dist="19050" dir="2700000" algn="tl" rotWithShape="0">
                      <a:sysClr val="windowText" lastClr="000000">
                        <a:alpha val="40000"/>
                      </a:sysClr>
                    </a:outerShdw>
                  </a:effectLst>
                  <a:uLnTx/>
                  <a:uFillTx/>
                </a:rPr>
                <a:t>EGR NOx PPM</a:t>
              </a:r>
              <a:endParaRPr kumimoji="0" lang="en-US" sz="105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endParaRPr>
            </a:p>
          </xdr:txBody>
        </xdr:sp>
      </xdr:grpSp>
      <xdr:grpSp>
        <xdr:nvGrpSpPr>
          <xdr:cNvPr id="65" name="Group 64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7F0DED85-2983-47F9-82E3-AB029F2B5CF0}"/>
              </a:ext>
            </a:extLst>
          </xdr:cNvPr>
          <xdr:cNvGrpSpPr/>
        </xdr:nvGrpSpPr>
        <xdr:grpSpPr>
          <a:xfrm>
            <a:off x="7124700" y="5734050"/>
            <a:ext cx="2133600" cy="1190624"/>
            <a:chOff x="1085850" y="1905000"/>
            <a:chExt cx="2607954" cy="1781175"/>
          </a:xfrm>
        </xdr:grpSpPr>
        <xdr:pic>
          <xdr:nvPicPr>
            <xdr:cNvPr id="66" name="Picture 65" descr="Image result for nox molecule cartoon">
              <a:extLst>
                <a:ext uri="{FF2B5EF4-FFF2-40B4-BE49-F238E27FC236}">
                  <a16:creationId xmlns:a16="http://schemas.microsoft.com/office/drawing/2014/main" id="{3497C495-7DBC-44AC-B6C7-21C8293A8E74}"/>
                </a:ext>
              </a:extLst>
            </xdr:cNvPr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3890" b="94966" l="0" r="100000">
                          <a14:foregroundMark x1="65141" y1="4119" x2="65141" y2="4119"/>
                          <a14:foregroundMark x1="34331" y1="94966" x2="34331" y2="94966"/>
                        </a14:backgroundRemoval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/>
          </xdr:blipFill>
          <xdr:spPr bwMode="auto">
            <a:xfrm>
              <a:off x="1181100" y="1905000"/>
              <a:ext cx="2315120" cy="1781175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67" name="Rectangle 66">
              <a:extLst>
                <a:ext uri="{FF2B5EF4-FFF2-40B4-BE49-F238E27FC236}">
                  <a16:creationId xmlns:a16="http://schemas.microsoft.com/office/drawing/2014/main" id="{BAFDA5EB-6075-4F50-B588-0EB03367CF2A}"/>
                </a:ext>
              </a:extLst>
            </xdr:cNvPr>
            <xdr:cNvSpPr/>
          </xdr:nvSpPr>
          <xdr:spPr>
            <a:xfrm>
              <a:off x="1085850" y="2276475"/>
              <a:ext cx="2607954" cy="973120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</a:bodyPr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sz="1600" b="0" i="0" u="none" strike="noStrike" kern="0" cap="none" spc="0" normalizeH="0" baseline="0" noProof="0">
                  <a:ln w="0"/>
                  <a:solidFill>
                    <a:sysClr val="window" lastClr="FFFFFF"/>
                  </a:solidFill>
                  <a:effectLst>
                    <a:outerShdw blurRad="38100" dist="19050" dir="2700000" algn="tl" rotWithShape="0">
                      <a:sysClr val="windowText" lastClr="000000">
                        <a:alpha val="40000"/>
                      </a:sysClr>
                    </a:outerShdw>
                  </a:effectLst>
                  <a:uLnTx/>
                  <a:uFillTx/>
                </a:rPr>
                <a:t>Iso-Octane NOx Graph with EGR</a:t>
              </a:r>
              <a:endParaRPr kumimoji="0" lang="en-US" sz="10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endParaRPr>
            </a:p>
          </xdr:txBody>
        </xdr:sp>
      </xdr:grpSp>
      <xdr:grpSp>
        <xdr:nvGrpSpPr>
          <xdr:cNvPr id="68" name="Group 67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14DD35E1-1D0F-4F5C-8115-068CF49D3303}"/>
              </a:ext>
            </a:extLst>
          </xdr:cNvPr>
          <xdr:cNvGrpSpPr/>
        </xdr:nvGrpSpPr>
        <xdr:grpSpPr>
          <a:xfrm>
            <a:off x="9172575" y="5772150"/>
            <a:ext cx="2133600" cy="1190624"/>
            <a:chOff x="1048479" y="1905000"/>
            <a:chExt cx="2607954" cy="1781175"/>
          </a:xfrm>
        </xdr:grpSpPr>
        <xdr:pic>
          <xdr:nvPicPr>
            <xdr:cNvPr id="69" name="Picture 68" descr="Image result for nox molecule cartoon">
              <a:extLst>
                <a:ext uri="{FF2B5EF4-FFF2-40B4-BE49-F238E27FC236}">
                  <a16:creationId xmlns:a16="http://schemas.microsoft.com/office/drawing/2014/main" id="{C0B917D2-3BC3-4814-B264-EE840AF126D4}"/>
                </a:ext>
              </a:extLst>
            </xdr:cNvPr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3890" b="94966" l="0" r="100000">
                          <a14:foregroundMark x1="65141" y1="4119" x2="65141" y2="4119"/>
                          <a14:foregroundMark x1="34331" y1="94966" x2="34331" y2="94966"/>
                        </a14:backgroundRemoval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/>
          </xdr:blipFill>
          <xdr:spPr bwMode="auto">
            <a:xfrm>
              <a:off x="1181100" y="1905000"/>
              <a:ext cx="2315120" cy="1781175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70" name="Rectangle 69">
              <a:extLst>
                <a:ext uri="{FF2B5EF4-FFF2-40B4-BE49-F238E27FC236}">
                  <a16:creationId xmlns:a16="http://schemas.microsoft.com/office/drawing/2014/main" id="{250DE52C-333A-4E23-9F48-A4F83307CC27}"/>
                </a:ext>
              </a:extLst>
            </xdr:cNvPr>
            <xdr:cNvSpPr/>
          </xdr:nvSpPr>
          <xdr:spPr>
            <a:xfrm>
              <a:off x="1048479" y="2333105"/>
              <a:ext cx="2607954" cy="973120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</a:bodyPr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sz="1600" b="0" i="0" u="none" strike="noStrike" kern="0" cap="none" spc="0" normalizeH="0" baseline="0" noProof="0">
                  <a:ln w="0"/>
                  <a:solidFill>
                    <a:sysClr val="window" lastClr="FFFFFF"/>
                  </a:solidFill>
                  <a:effectLst>
                    <a:outerShdw blurRad="38100" dist="19050" dir="2700000" algn="tl" rotWithShape="0">
                      <a:sysClr val="windowText" lastClr="000000">
                        <a:alpha val="40000"/>
                      </a:sysClr>
                    </a:outerShdw>
                  </a:effectLst>
                  <a:uLnTx/>
                  <a:uFillTx/>
                </a:rPr>
                <a:t>Alternative Fuels NOx Graphs with EGR</a:t>
              </a:r>
              <a:endParaRPr kumimoji="0" lang="en-US" sz="10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endParaRPr>
            </a:p>
          </xdr:txBody>
        </xdr:sp>
      </xdr:grpSp>
    </xdr:grpSp>
    <xdr:clientData/>
  </xdr:twoCellAnchor>
  <xdr:twoCellAnchor>
    <xdr:from>
      <xdr:col>2</xdr:col>
      <xdr:colOff>495301</xdr:colOff>
      <xdr:row>21</xdr:row>
      <xdr:rowOff>161925</xdr:rowOff>
    </xdr:from>
    <xdr:to>
      <xdr:col>6</xdr:col>
      <xdr:colOff>190501</xdr:colOff>
      <xdr:row>28</xdr:row>
      <xdr:rowOff>19049</xdr:rowOff>
    </xdr:to>
    <xdr:grpSp>
      <xdr:nvGrpSpPr>
        <xdr:cNvPr id="90" name="Group 89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CE8BBA1-2BFF-453A-B4F4-89FE4BC65766}"/>
            </a:ext>
          </a:extLst>
        </xdr:cNvPr>
        <xdr:cNvGrpSpPr/>
      </xdr:nvGrpSpPr>
      <xdr:grpSpPr>
        <a:xfrm>
          <a:off x="1714501" y="4162425"/>
          <a:ext cx="2133600" cy="1190624"/>
          <a:chOff x="1199096" y="1828800"/>
          <a:chExt cx="2607954" cy="1781175"/>
        </a:xfrm>
      </xdr:grpSpPr>
      <xdr:pic>
        <xdr:nvPicPr>
          <xdr:cNvPr id="91" name="Picture 90" descr="Image result for nox molecule cartoon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51CDE9CB-DAD1-4807-AD7B-0E24F1CEEDBB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3890" b="94966" l="0" r="100000">
                        <a14:foregroundMark x1="65141" y1="4119" x2="65141" y2="4119"/>
                        <a14:foregroundMark x1="34331" y1="94966" x2="34331" y2="9496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285875" y="1828800"/>
            <a:ext cx="2315120" cy="17811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2" name="Rectangle 91">
            <a:extLst>
              <a:ext uri="{FF2B5EF4-FFF2-40B4-BE49-F238E27FC236}">
                <a16:creationId xmlns:a16="http://schemas.microsoft.com/office/drawing/2014/main" id="{ED3CE526-8B05-45F0-80E2-55CEC57AE0BD}"/>
              </a:ext>
            </a:extLst>
          </xdr:cNvPr>
          <xdr:cNvSpPr/>
        </xdr:nvSpPr>
        <xdr:spPr>
          <a:xfrm>
            <a:off x="1199096" y="2124760"/>
            <a:ext cx="2607954" cy="981301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8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Air &amp; Fuel 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8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Properties</a:t>
            </a:r>
            <a:endParaRPr kumimoji="0" lang="en-US" sz="1050" b="0" i="0" u="none" strike="noStrike" kern="0" cap="none" spc="0" normalizeH="0" baseline="0" noProof="0">
              <a:ln w="0"/>
              <a:solidFill>
                <a:sysClr val="window" lastClr="FFFFFF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</a:endParaRPr>
          </a:p>
        </xdr:txBody>
      </xdr:sp>
    </xdr:grpSp>
    <xdr:clientData/>
  </xdr:twoCellAnchor>
  <xdr:twoCellAnchor>
    <xdr:from>
      <xdr:col>5</xdr:col>
      <xdr:colOff>457201</xdr:colOff>
      <xdr:row>22</xdr:row>
      <xdr:rowOff>28575</xdr:rowOff>
    </xdr:from>
    <xdr:to>
      <xdr:col>9</xdr:col>
      <xdr:colOff>152401</xdr:colOff>
      <xdr:row>28</xdr:row>
      <xdr:rowOff>76199</xdr:rowOff>
    </xdr:to>
    <xdr:grpSp>
      <xdr:nvGrpSpPr>
        <xdr:cNvPr id="93" name="Group 92">
          <a:extLst>
            <a:ext uri="{FF2B5EF4-FFF2-40B4-BE49-F238E27FC236}">
              <a16:creationId xmlns:a16="http://schemas.microsoft.com/office/drawing/2014/main" id="{83B89458-20F1-4D33-B344-EE75AC0AB650}"/>
            </a:ext>
          </a:extLst>
        </xdr:cNvPr>
        <xdr:cNvGrpSpPr/>
      </xdr:nvGrpSpPr>
      <xdr:grpSpPr>
        <a:xfrm>
          <a:off x="3505201" y="4219575"/>
          <a:ext cx="2133600" cy="1190624"/>
          <a:chOff x="1094312" y="1828800"/>
          <a:chExt cx="2607954" cy="1781175"/>
        </a:xfrm>
      </xdr:grpSpPr>
      <xdr:pic>
        <xdr:nvPicPr>
          <xdr:cNvPr id="94" name="Picture 93" descr="Image result for nox molecule cartoon">
            <a:extLst>
              <a:ext uri="{FF2B5EF4-FFF2-40B4-BE49-F238E27FC236}">
                <a16:creationId xmlns:a16="http://schemas.microsoft.com/office/drawing/2014/main" id="{9CEDF456-1B57-4966-88C0-A1A5EC24958B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3890" b="94966" l="0" r="100000">
                        <a14:foregroundMark x1="65141" y1="4119" x2="65141" y2="4119"/>
                        <a14:foregroundMark x1="34331" y1="94966" x2="34331" y2="9496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285875" y="1828800"/>
            <a:ext cx="2315120" cy="17811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5" name="Rectangle 94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1CFC5AB1-ED32-4A66-9FFB-318D2BA3D706}"/>
              </a:ext>
            </a:extLst>
          </xdr:cNvPr>
          <xdr:cNvSpPr/>
        </xdr:nvSpPr>
        <xdr:spPr>
          <a:xfrm>
            <a:off x="1094312" y="2053513"/>
            <a:ext cx="2607954" cy="981301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8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Properties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8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of </a:t>
            </a:r>
            <a:r>
              <a:rPr kumimoji="0" lang="en-US" sz="16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CO</a:t>
            </a:r>
            <a:r>
              <a:rPr kumimoji="0" lang="en-US" sz="11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2</a:t>
            </a:r>
            <a:r>
              <a:rPr kumimoji="0" lang="en-US" sz="16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, H</a:t>
            </a:r>
            <a:r>
              <a:rPr kumimoji="0" lang="en-US" sz="11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2</a:t>
            </a:r>
            <a:r>
              <a:rPr kumimoji="0" lang="en-US" sz="16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O,N</a:t>
            </a:r>
            <a:r>
              <a:rPr kumimoji="0" lang="en-US" sz="11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2</a:t>
            </a:r>
            <a:r>
              <a:rPr kumimoji="0" lang="en-US" sz="16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 &amp; O</a:t>
            </a:r>
            <a:r>
              <a:rPr kumimoji="0" lang="en-US" sz="1100" b="0" i="0" u="none" strike="noStrike" kern="0" cap="none" spc="0" normalizeH="0" baseline="0" noProof="0">
                <a:ln w="0"/>
                <a:solidFill>
                  <a:sysClr val="window" lastClr="FFFFFF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</a:rPr>
              <a:t>2</a:t>
            </a:r>
            <a:endParaRPr kumimoji="0" lang="en-US" sz="1050" b="0" i="0" u="none" strike="noStrike" kern="0" cap="none" spc="0" normalizeH="0" baseline="0" noProof="0">
              <a:ln w="0"/>
              <a:solidFill>
                <a:sysClr val="window" lastClr="FFFFFF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266700</xdr:colOff>
      <xdr:row>6</xdr:row>
      <xdr:rowOff>28575</xdr:rowOff>
    </xdr:from>
    <xdr:ext cx="3499099" cy="18293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SpPr txBox="1"/>
          </xdr:nvSpPr>
          <xdr:spPr>
            <a:xfrm>
              <a:off x="1304925" y="1019175"/>
              <a:ext cx="3499099" cy="1829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𝑥</m:t>
                        </m:r>
                      </m:sub>
                    </m:sSub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𝑦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𝑋</m:t>
                    </m:r>
                    <m:d>
                      <m:d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GB" sz="11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latin typeface="Cambria Math" panose="02040503050406030204" pitchFamily="18" charset="0"/>
                              </a:rPr>
                              <m:t>𝑂</m:t>
                            </m:r>
                          </m:e>
                          <m:sub>
                            <m:r>
                              <a:rPr lang="en-GB" sz="110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+3.76</m:t>
                        </m:r>
                        <m:sSub>
                          <m:sSubPr>
                            <m:ctrlPr>
                              <a:rPr lang="en-GB" sz="11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𝑁</m:t>
                            </m:r>
                          </m:e>
                          <m:sub>
                            <m:r>
                              <a:rPr lang="en-GB" sz="110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e>
                    </m:d>
                    <m:r>
                      <a:rPr lang="en-GB" sz="1100" b="0" i="1">
                        <a:latin typeface="Cambria Math" panose="02040503050406030204" pitchFamily="18" charset="0"/>
                      </a:rPr>
                      <m:t>−→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1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2</m:t>
                    </m:r>
                    <m:sSub>
                      <m:sSubPr>
                        <m:ctrlPr>
                          <a:rPr lang="en-GB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𝑂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+3.76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𝑛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3</m:t>
                    </m:r>
                    <m:sSub>
                      <m:sSubPr>
                        <m:ctrlPr>
                          <a:rPr lang="en-GB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𝑁</m:t>
                        </m:r>
                      </m:e>
                      <m:sub>
                        <m:r>
                          <a:rPr lang="en-GB" sz="1100" i="0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1304925" y="1019175"/>
              <a:ext cx="3499099" cy="1829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𝐶_𝑥 𝐻_𝑦</a:t>
              </a:r>
              <a:r>
                <a:rPr lang="en-GB" sz="1100" b="0" i="0">
                  <a:latin typeface="Cambria Math" panose="02040503050406030204" pitchFamily="18" charset="0"/>
                </a:rPr>
                <a:t>+𝑋(</a:t>
              </a:r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r>
                <a:rPr lang="en-GB" sz="1100" b="0" i="0">
                  <a:latin typeface="Cambria Math" panose="02040503050406030204" pitchFamily="18" charset="0"/>
                </a:rPr>
                <a:t>+3.76𝑁_</a:t>
              </a:r>
              <a:r>
                <a:rPr lang="en-GB" sz="1100" i="0">
                  <a:latin typeface="Cambria Math" panose="02040503050406030204" pitchFamily="18" charset="0"/>
                </a:rPr>
                <a:t>2 )</a:t>
              </a:r>
              <a:r>
                <a:rPr lang="en-GB" sz="1100" b="0" i="0">
                  <a:latin typeface="Cambria Math" panose="02040503050406030204" pitchFamily="18" charset="0"/>
                </a:rPr>
                <a:t>−→𝑛1𝐶𝑂_</a:t>
              </a:r>
              <a:r>
                <a:rPr lang="en-GB" sz="1100" i="0">
                  <a:latin typeface="Cambria Math" panose="02040503050406030204" pitchFamily="18" charset="0"/>
                </a:rPr>
                <a:t>2</a:t>
              </a:r>
              <a:r>
                <a:rPr lang="en-GB" sz="1100" b="0" i="0">
                  <a:latin typeface="Cambria Math" panose="02040503050406030204" pitchFamily="18" charset="0"/>
                </a:rPr>
                <a:t>+𝑛2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𝐻_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2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𝑂+3.76𝑛3𝑁_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2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14</xdr:col>
      <xdr:colOff>552450</xdr:colOff>
      <xdr:row>6</xdr:row>
      <xdr:rowOff>133350</xdr:rowOff>
    </xdr:from>
    <xdr:to>
      <xdr:col>14</xdr:col>
      <xdr:colOff>1466850</xdr:colOff>
      <xdr:row>8</xdr:row>
      <xdr:rowOff>114300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2582525" y="1200150"/>
          <a:ext cx="914400" cy="514350"/>
        </a:xfrm>
        <a:prstGeom prst="rect">
          <a:avLst/>
        </a:prstGeom>
        <a:solidFill>
          <a:srgbClr val="FF0000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 b="1">
              <a:solidFill>
                <a:schemeClr val="bg1"/>
              </a:solidFill>
            </a:rPr>
            <a:t>Reactent</a:t>
          </a:r>
          <a:r>
            <a:rPr lang="en-GB" sz="1100" b="1" baseline="0">
              <a:solidFill>
                <a:schemeClr val="bg1"/>
              </a:solidFill>
            </a:rPr>
            <a:t> Mass</a:t>
          </a:r>
          <a:endParaRPr lang="en-GB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85725</xdr:colOff>
      <xdr:row>3</xdr:row>
      <xdr:rowOff>95250</xdr:rowOff>
    </xdr:from>
    <xdr:to>
      <xdr:col>15</xdr:col>
      <xdr:colOff>28575</xdr:colOff>
      <xdr:row>4</xdr:row>
      <xdr:rowOff>142875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1039475" y="95250"/>
          <a:ext cx="1752600" cy="314325"/>
        </a:xfrm>
        <a:prstGeom prst="rect">
          <a:avLst/>
        </a:prstGeom>
        <a:solidFill>
          <a:srgbClr val="7030A0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 b="1">
              <a:solidFill>
                <a:schemeClr val="bg1"/>
              </a:solidFill>
            </a:rPr>
            <a:t>Fuel Mass</a:t>
          </a:r>
        </a:p>
        <a:p>
          <a:pPr algn="ctr"/>
          <a:endParaRPr lang="en-GB" sz="1100"/>
        </a:p>
      </xdr:txBody>
    </xdr:sp>
    <xdr:clientData/>
  </xdr:twoCellAnchor>
  <xdr:twoCellAnchor>
    <xdr:from>
      <xdr:col>14</xdr:col>
      <xdr:colOff>266700</xdr:colOff>
      <xdr:row>4</xdr:row>
      <xdr:rowOff>190500</xdr:rowOff>
    </xdr:from>
    <xdr:to>
      <xdr:col>14</xdr:col>
      <xdr:colOff>1628775</xdr:colOff>
      <xdr:row>6</xdr:row>
      <xdr:rowOff>95250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2296775" y="857250"/>
          <a:ext cx="1362075" cy="304800"/>
        </a:xfrm>
        <a:prstGeom prst="rect">
          <a:avLst/>
        </a:prstGeom>
        <a:solidFill>
          <a:srgbClr val="00B0F0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 b="1">
              <a:solidFill>
                <a:schemeClr val="bg1"/>
              </a:solidFill>
            </a:rPr>
            <a:t>Air Mass</a:t>
          </a:r>
        </a:p>
        <a:p>
          <a:pPr algn="ctr"/>
          <a:endParaRPr lang="en-GB" sz="1100" b="1"/>
        </a:p>
      </xdr:txBody>
    </xdr:sp>
    <xdr:clientData/>
  </xdr:twoCellAnchor>
  <xdr:oneCellAnchor>
    <xdr:from>
      <xdr:col>1</xdr:col>
      <xdr:colOff>133350</xdr:colOff>
      <xdr:row>24</xdr:row>
      <xdr:rowOff>66675</xdr:rowOff>
    </xdr:from>
    <xdr:ext cx="3665106" cy="18293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9" name="TextBox 28">
              <a:extLst>
                <a:ext uri="{FF2B5EF4-FFF2-40B4-BE49-F238E27FC236}">
                  <a16:creationId xmlns:a16="http://schemas.microsoft.com/office/drawing/2014/main" id="{00000000-0008-0000-0100-00001D000000}"/>
                </a:ext>
              </a:extLst>
            </xdr:cNvPr>
            <xdr:cNvSpPr txBox="1"/>
          </xdr:nvSpPr>
          <xdr:spPr>
            <a:xfrm>
              <a:off x="9372600" y="1133475"/>
              <a:ext cx="3665106" cy="1829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𝑥</m:t>
                        </m:r>
                      </m:sub>
                    </m:sSub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𝑦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𝑂𝑧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𝑋</m:t>
                    </m:r>
                    <m:d>
                      <m:d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GB" sz="11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latin typeface="Cambria Math" panose="02040503050406030204" pitchFamily="18" charset="0"/>
                              </a:rPr>
                              <m:t>𝑂</m:t>
                            </m:r>
                          </m:e>
                          <m:sub>
                            <m:r>
                              <a:rPr lang="en-GB" sz="110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+3.76</m:t>
                        </m:r>
                        <m:sSub>
                          <m:sSubPr>
                            <m:ctrlPr>
                              <a:rPr lang="en-GB" sz="11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𝑁</m:t>
                            </m:r>
                          </m:e>
                          <m:sub>
                            <m:r>
                              <a:rPr lang="en-GB" sz="110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e>
                    </m:d>
                    <m:r>
                      <a:rPr lang="en-GB" sz="1100" b="0" i="1">
                        <a:latin typeface="Cambria Math" panose="02040503050406030204" pitchFamily="18" charset="0"/>
                      </a:rPr>
                      <m:t>−→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1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2</m:t>
                    </m:r>
                    <m:sSub>
                      <m:sSubPr>
                        <m:ctrlPr>
                          <a:rPr lang="en-GB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𝑂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+3.76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𝑛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3</m:t>
                    </m:r>
                    <m:sSub>
                      <m:sSubPr>
                        <m:ctrlPr>
                          <a:rPr lang="en-GB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𝑁</m:t>
                        </m:r>
                      </m:e>
                      <m:sub>
                        <m:r>
                          <a:rPr lang="en-GB" sz="1100" i="0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9" name="TextBox 28"/>
            <xdr:cNvSpPr txBox="1"/>
          </xdr:nvSpPr>
          <xdr:spPr>
            <a:xfrm>
              <a:off x="9372600" y="1133475"/>
              <a:ext cx="3665106" cy="1829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𝐶_𝑥 𝐻_𝑦</a:t>
              </a:r>
              <a:r>
                <a:rPr lang="en-GB" sz="1100" b="0" i="0">
                  <a:latin typeface="Cambria Math" panose="02040503050406030204" pitchFamily="18" charset="0"/>
                </a:rPr>
                <a:t> 𝑂𝑧+𝑋(</a:t>
              </a:r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r>
                <a:rPr lang="en-GB" sz="1100" b="0" i="0">
                  <a:latin typeface="Cambria Math" panose="02040503050406030204" pitchFamily="18" charset="0"/>
                </a:rPr>
                <a:t>+3.76𝑁_</a:t>
              </a:r>
              <a:r>
                <a:rPr lang="en-GB" sz="1100" i="0">
                  <a:latin typeface="Cambria Math" panose="02040503050406030204" pitchFamily="18" charset="0"/>
                </a:rPr>
                <a:t>2 )</a:t>
              </a:r>
              <a:r>
                <a:rPr lang="en-GB" sz="1100" b="0" i="0">
                  <a:latin typeface="Cambria Math" panose="02040503050406030204" pitchFamily="18" charset="0"/>
                </a:rPr>
                <a:t>−→𝑛1𝐶𝑂_</a:t>
              </a:r>
              <a:r>
                <a:rPr lang="en-GB" sz="1100" i="0">
                  <a:latin typeface="Cambria Math" panose="02040503050406030204" pitchFamily="18" charset="0"/>
                </a:rPr>
                <a:t>2</a:t>
              </a:r>
              <a:r>
                <a:rPr lang="en-GB" sz="1100" b="0" i="0">
                  <a:latin typeface="Cambria Math" panose="02040503050406030204" pitchFamily="18" charset="0"/>
                </a:rPr>
                <a:t>+𝑛2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𝐻_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2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𝑂+3.76𝑛3𝑁_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2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1</xdr:col>
      <xdr:colOff>238125</xdr:colOff>
      <xdr:row>6</xdr:row>
      <xdr:rowOff>28575</xdr:rowOff>
    </xdr:from>
    <xdr:to>
      <xdr:col>1</xdr:col>
      <xdr:colOff>647700</xdr:colOff>
      <xdr:row>6</xdr:row>
      <xdr:rowOff>247650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1362075" y="1095375"/>
          <a:ext cx="409575" cy="219075"/>
        </a:xfrm>
        <a:prstGeom prst="rect">
          <a:avLst/>
        </a:prstGeom>
        <a:noFill/>
        <a:ln w="190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762000</xdr:colOff>
      <xdr:row>6</xdr:row>
      <xdr:rowOff>19050</xdr:rowOff>
    </xdr:from>
    <xdr:to>
      <xdr:col>3</xdr:col>
      <xdr:colOff>66675</xdr:colOff>
      <xdr:row>6</xdr:row>
      <xdr:rowOff>276225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1885950" y="1085850"/>
          <a:ext cx="962025" cy="257175"/>
        </a:xfrm>
        <a:prstGeom prst="rect">
          <a:avLst/>
        </a:prstGeom>
        <a:noFill/>
        <a:ln w="1905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266700</xdr:colOff>
      <xdr:row>6</xdr:row>
      <xdr:rowOff>28576</xdr:rowOff>
    </xdr:from>
    <xdr:to>
      <xdr:col>5</xdr:col>
      <xdr:colOff>361950</xdr:colOff>
      <xdr:row>6</xdr:row>
      <xdr:rowOff>238125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3124200" y="1064896"/>
          <a:ext cx="1794510" cy="209549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133350</xdr:colOff>
      <xdr:row>24</xdr:row>
      <xdr:rowOff>38100</xdr:rowOff>
    </xdr:from>
    <xdr:to>
      <xdr:col>1</xdr:col>
      <xdr:colOff>676275</xdr:colOff>
      <xdr:row>24</xdr:row>
      <xdr:rowOff>247650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1257300" y="4819650"/>
          <a:ext cx="542925" cy="209550"/>
        </a:xfrm>
        <a:prstGeom prst="rect">
          <a:avLst/>
        </a:prstGeom>
        <a:noFill/>
        <a:ln w="190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300990</xdr:colOff>
      <xdr:row>24</xdr:row>
      <xdr:rowOff>59054</xdr:rowOff>
    </xdr:from>
    <xdr:to>
      <xdr:col>5</xdr:col>
      <xdr:colOff>424814</xdr:colOff>
      <xdr:row>24</xdr:row>
      <xdr:rowOff>240029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3158490" y="4653914"/>
          <a:ext cx="1823084" cy="180975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oneCellAnchor>
    <xdr:from>
      <xdr:col>1</xdr:col>
      <xdr:colOff>266700</xdr:colOff>
      <xdr:row>6</xdr:row>
      <xdr:rowOff>28575</xdr:rowOff>
    </xdr:from>
    <xdr:ext cx="3499099" cy="18293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00000000-0008-0000-0100-000030000000}"/>
                </a:ext>
              </a:extLst>
            </xdr:cNvPr>
            <xdr:cNvSpPr txBox="1"/>
          </xdr:nvSpPr>
          <xdr:spPr>
            <a:xfrm>
              <a:off x="876300" y="1038225"/>
              <a:ext cx="3499099" cy="1829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𝑥</m:t>
                        </m:r>
                      </m:sub>
                    </m:sSub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𝑦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𝑋</m:t>
                    </m:r>
                    <m:d>
                      <m:d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GB" sz="11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latin typeface="Cambria Math" panose="02040503050406030204" pitchFamily="18" charset="0"/>
                              </a:rPr>
                              <m:t>𝑂</m:t>
                            </m:r>
                          </m:e>
                          <m:sub>
                            <m:r>
                              <a:rPr lang="en-GB" sz="110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+3.76</m:t>
                        </m:r>
                        <m:sSub>
                          <m:sSubPr>
                            <m:ctrlPr>
                              <a:rPr lang="en-GB" sz="11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𝑁</m:t>
                            </m:r>
                          </m:e>
                          <m:sub>
                            <m:r>
                              <a:rPr lang="en-GB" sz="110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e>
                    </m:d>
                    <m:r>
                      <a:rPr lang="en-GB" sz="1100" b="0" i="1">
                        <a:latin typeface="Cambria Math" panose="02040503050406030204" pitchFamily="18" charset="0"/>
                      </a:rPr>
                      <m:t>−→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1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2</m:t>
                    </m:r>
                    <m:sSub>
                      <m:sSubPr>
                        <m:ctrlPr>
                          <a:rPr lang="en-GB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𝑂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+3.76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𝑛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3</m:t>
                    </m:r>
                    <m:sSub>
                      <m:sSubPr>
                        <m:ctrlPr>
                          <a:rPr lang="en-GB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𝑁</m:t>
                        </m:r>
                      </m:e>
                      <m:sub>
                        <m:r>
                          <a:rPr lang="en-GB" sz="1100" i="0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8" name="TextBox 47"/>
            <xdr:cNvSpPr txBox="1"/>
          </xdr:nvSpPr>
          <xdr:spPr>
            <a:xfrm>
              <a:off x="876300" y="1038225"/>
              <a:ext cx="3499099" cy="1829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𝐶_𝑥 𝐻_𝑦</a:t>
              </a:r>
              <a:r>
                <a:rPr lang="en-GB" sz="1100" b="0" i="0">
                  <a:latin typeface="Cambria Math" panose="02040503050406030204" pitchFamily="18" charset="0"/>
                </a:rPr>
                <a:t>+𝑋(</a:t>
              </a:r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r>
                <a:rPr lang="en-GB" sz="1100" b="0" i="0">
                  <a:latin typeface="Cambria Math" panose="02040503050406030204" pitchFamily="18" charset="0"/>
                </a:rPr>
                <a:t>+3.76𝑁_</a:t>
              </a:r>
              <a:r>
                <a:rPr lang="en-GB" sz="1100" i="0">
                  <a:latin typeface="Cambria Math" panose="02040503050406030204" pitchFamily="18" charset="0"/>
                </a:rPr>
                <a:t>2 )</a:t>
              </a:r>
              <a:r>
                <a:rPr lang="en-GB" sz="1100" b="0" i="0">
                  <a:latin typeface="Cambria Math" panose="02040503050406030204" pitchFamily="18" charset="0"/>
                </a:rPr>
                <a:t>−→𝑛1𝐶𝑂_</a:t>
              </a:r>
              <a:r>
                <a:rPr lang="en-GB" sz="1100" i="0">
                  <a:latin typeface="Cambria Math" panose="02040503050406030204" pitchFamily="18" charset="0"/>
                </a:rPr>
                <a:t>2</a:t>
              </a:r>
              <a:r>
                <a:rPr lang="en-GB" sz="1100" b="0" i="0">
                  <a:latin typeface="Cambria Math" panose="02040503050406030204" pitchFamily="18" charset="0"/>
                </a:rPr>
                <a:t>+𝑛2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𝐻_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2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𝑂+3.76𝑛3𝑁_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2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9</xdr:col>
      <xdr:colOff>323851</xdr:colOff>
      <xdr:row>6</xdr:row>
      <xdr:rowOff>20955</xdr:rowOff>
    </xdr:from>
    <xdr:to>
      <xdr:col>10</xdr:col>
      <xdr:colOff>733425</xdr:colOff>
      <xdr:row>6</xdr:row>
      <xdr:rowOff>230505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8309611" y="1057275"/>
          <a:ext cx="981074" cy="209550"/>
        </a:xfrm>
        <a:prstGeom prst="rect">
          <a:avLst/>
        </a:prstGeom>
        <a:noFill/>
        <a:ln w="1905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769620</xdr:colOff>
      <xdr:row>24</xdr:row>
      <xdr:rowOff>49530</xdr:rowOff>
    </xdr:from>
    <xdr:to>
      <xdr:col>3</xdr:col>
      <xdr:colOff>64770</xdr:colOff>
      <xdr:row>24</xdr:row>
      <xdr:rowOff>240030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1927860" y="4644390"/>
          <a:ext cx="994410" cy="190500"/>
        </a:xfrm>
        <a:prstGeom prst="rect">
          <a:avLst/>
        </a:prstGeom>
        <a:noFill/>
        <a:ln w="1905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oneCellAnchor>
    <xdr:from>
      <xdr:col>8</xdr:col>
      <xdr:colOff>152400</xdr:colOff>
      <xdr:row>6</xdr:row>
      <xdr:rowOff>28575</xdr:rowOff>
    </xdr:from>
    <xdr:ext cx="428232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4" name="TextBox 63">
              <a:extLst>
                <a:ext uri="{FF2B5EF4-FFF2-40B4-BE49-F238E27FC236}">
                  <a16:creationId xmlns:a16="http://schemas.microsoft.com/office/drawing/2014/main" id="{00000000-0008-0000-0100-000040000000}"/>
                </a:ext>
              </a:extLst>
            </xdr:cNvPr>
            <xdr:cNvSpPr txBox="1"/>
          </xdr:nvSpPr>
          <xdr:spPr>
            <a:xfrm>
              <a:off x="5686425" y="4800600"/>
              <a:ext cx="42823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8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𝐻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18+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1+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𝑋</m:t>
                    </m:r>
                    <m:d>
                      <m:d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GB" sz="11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latin typeface="Cambria Math" panose="02040503050406030204" pitchFamily="18" charset="0"/>
                              </a:rPr>
                              <m:t>𝑂</m:t>
                            </m:r>
                          </m:e>
                          <m:sub>
                            <m:r>
                              <a:rPr lang="en-GB" sz="110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+3.76</m:t>
                        </m:r>
                        <m:sSub>
                          <m:sSubPr>
                            <m:ctrlPr>
                              <a:rPr lang="en-GB" sz="11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𝑁</m:t>
                            </m:r>
                          </m:e>
                          <m:sub>
                            <m:r>
                              <a:rPr lang="en-GB" sz="110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e>
                    </m:d>
                    <m:r>
                      <a:rPr lang="en-GB" sz="1100" b="0" i="1">
                        <a:latin typeface="Cambria Math" panose="02040503050406030204" pitchFamily="18" charset="0"/>
                      </a:rPr>
                      <m:t>−→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1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2</m:t>
                    </m:r>
                    <m:sSub>
                      <m:sSubPr>
                        <m:ctrlPr>
                          <a:rPr lang="en-GB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𝑂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+3.76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𝑛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3</m:t>
                    </m:r>
                    <m:sSub>
                      <m:sSubPr>
                        <m:ctrlPr>
                          <a:rPr lang="en-GB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𝑁</m:t>
                        </m:r>
                      </m:e>
                      <m:sub>
                        <m:r>
                          <a:rPr lang="en-GB" sz="1100" i="0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4" name="TextBox 63"/>
            <xdr:cNvSpPr txBox="1"/>
          </xdr:nvSpPr>
          <xdr:spPr>
            <a:xfrm>
              <a:off x="5686425" y="4800600"/>
              <a:ext cx="42823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𝐶8𝐻18+</a:t>
              </a:r>
              <a:r>
                <a:rPr lang="en-GB" sz="1100" i="0">
                  <a:latin typeface="Cambria Math" panose="02040503050406030204" pitchFamily="18" charset="0"/>
                </a:rPr>
                <a:t>𝐶_</a:t>
              </a:r>
              <a:r>
                <a:rPr lang="en-GB" sz="1100" b="0" i="0">
                  <a:latin typeface="Cambria Math" panose="02040503050406030204" pitchFamily="18" charset="0"/>
                </a:rPr>
                <a:t>1 </a:t>
              </a:r>
              <a:r>
                <a:rPr lang="en-GB" sz="1100" i="0">
                  <a:latin typeface="Cambria Math" panose="02040503050406030204" pitchFamily="18" charset="0"/>
                </a:rPr>
                <a:t>𝐻_</a:t>
              </a:r>
              <a:r>
                <a:rPr lang="en-GB" sz="1100" b="0" i="0">
                  <a:latin typeface="Cambria Math" panose="02040503050406030204" pitchFamily="18" charset="0"/>
                </a:rPr>
                <a:t>4 𝑂1+𝑋(</a:t>
              </a:r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r>
                <a:rPr lang="en-GB" sz="1100" b="0" i="0">
                  <a:latin typeface="Cambria Math" panose="02040503050406030204" pitchFamily="18" charset="0"/>
                </a:rPr>
                <a:t>+3.76𝑁_</a:t>
              </a:r>
              <a:r>
                <a:rPr lang="en-GB" sz="1100" i="0">
                  <a:latin typeface="Cambria Math" panose="02040503050406030204" pitchFamily="18" charset="0"/>
                </a:rPr>
                <a:t>2 )</a:t>
              </a:r>
              <a:r>
                <a:rPr lang="en-GB" sz="1100" b="0" i="0">
                  <a:latin typeface="Cambria Math" panose="02040503050406030204" pitchFamily="18" charset="0"/>
                </a:rPr>
                <a:t>−→𝑛1𝐶𝑂_</a:t>
              </a:r>
              <a:r>
                <a:rPr lang="en-GB" sz="1100" i="0">
                  <a:latin typeface="Cambria Math" panose="02040503050406030204" pitchFamily="18" charset="0"/>
                </a:rPr>
                <a:t>2</a:t>
              </a:r>
              <a:r>
                <a:rPr lang="en-GB" sz="1100" b="0" i="0">
                  <a:latin typeface="Cambria Math" panose="02040503050406030204" pitchFamily="18" charset="0"/>
                </a:rPr>
                <a:t>+𝑛2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𝐻_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2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𝑂+3.76𝑛3𝑁_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2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8</xdr:col>
      <xdr:colOff>165735</xdr:colOff>
      <xdr:row>6</xdr:row>
      <xdr:rowOff>11430</xdr:rowOff>
    </xdr:from>
    <xdr:to>
      <xdr:col>9</xdr:col>
      <xdr:colOff>222885</xdr:colOff>
      <xdr:row>6</xdr:row>
      <xdr:rowOff>220979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/>
      </xdr:nvSpPr>
      <xdr:spPr>
        <a:xfrm>
          <a:off x="7077075" y="1047750"/>
          <a:ext cx="1131570" cy="209549"/>
        </a:xfrm>
        <a:prstGeom prst="rect">
          <a:avLst/>
        </a:prstGeom>
        <a:noFill/>
        <a:ln w="190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40005</xdr:colOff>
      <xdr:row>6</xdr:row>
      <xdr:rowOff>20956</xdr:rowOff>
    </xdr:from>
    <xdr:to>
      <xdr:col>13</xdr:col>
      <xdr:colOff>544830</xdr:colOff>
      <xdr:row>6</xdr:row>
      <xdr:rowOff>240030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/>
      </xdr:nvSpPr>
      <xdr:spPr>
        <a:xfrm>
          <a:off x="9557385" y="1057276"/>
          <a:ext cx="1769745" cy="219074"/>
        </a:xfrm>
        <a:prstGeom prst="rect">
          <a:avLst/>
        </a:prstGeom>
        <a:noFill/>
        <a:ln w="19050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3</xdr:col>
      <xdr:colOff>228600</xdr:colOff>
      <xdr:row>19</xdr:row>
      <xdr:rowOff>9525</xdr:rowOff>
    </xdr:from>
    <xdr:ext cx="542925" cy="18485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 txBox="1"/>
          </xdr:nvSpPr>
          <xdr:spPr>
            <a:xfrm>
              <a:off x="2867025" y="3790950"/>
              <a:ext cx="542925" cy="1848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n-GB" sz="110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</a:rPr>
                      <m:t>Δ</m:t>
                    </m:r>
                    <m:sSup>
                      <m:sSupPr>
                        <m:ctrlPr>
                          <a:rPr lang="en-GB" sz="110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solidFill>
                                  <a:sysClr val="windowText" lastClr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solidFill>
                                  <a:sysClr val="windowText" lastClr="000000"/>
                                </a:solidFill>
                                <a:latin typeface="Cambria Math" panose="02040503050406030204" pitchFamily="18" charset="0"/>
                              </a:rPr>
                              <m:t>h</m:t>
                            </m:r>
                          </m:e>
                        </m:acc>
                      </m:e>
                      <m:sup>
                        <m:r>
                          <a:rPr lang="en-GB" sz="1100" i="0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0</m:t>
                        </m:r>
                      </m:sup>
                    </m:sSup>
                  </m:oMath>
                </m:oMathPara>
              </a14:m>
              <a:endParaRPr lang="en-GB" sz="110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2867025" y="3790950"/>
              <a:ext cx="542925" cy="1848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Δℎ ̂^0</a:t>
              </a:r>
              <a:endParaRPr lang="en-GB" sz="110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oneCellAnchor>
    <xdr:from>
      <xdr:col>10</xdr:col>
      <xdr:colOff>195262</xdr:colOff>
      <xdr:row>19</xdr:row>
      <xdr:rowOff>28574</xdr:rowOff>
    </xdr:from>
    <xdr:ext cx="542925" cy="18485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3" name="TextBox 22">
              <a:extLst>
                <a:ext uri="{FF2B5EF4-FFF2-40B4-BE49-F238E27FC236}">
                  <a16:creationId xmlns:a16="http://schemas.microsoft.com/office/drawing/2014/main" id="{00000000-0008-0000-0100-000017000000}"/>
                </a:ext>
              </a:extLst>
            </xdr:cNvPr>
            <xdr:cNvSpPr txBox="1"/>
          </xdr:nvSpPr>
          <xdr:spPr>
            <a:xfrm>
              <a:off x="9986962" y="3809999"/>
              <a:ext cx="542925" cy="1848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n-GB" sz="110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</a:rPr>
                      <m:t>Δ</m:t>
                    </m:r>
                    <m:sSup>
                      <m:sSupPr>
                        <m:ctrlPr>
                          <a:rPr lang="en-GB" sz="110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solidFill>
                                  <a:sysClr val="windowText" lastClr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solidFill>
                                  <a:sysClr val="windowText" lastClr="000000"/>
                                </a:solidFill>
                                <a:latin typeface="Cambria Math" panose="02040503050406030204" pitchFamily="18" charset="0"/>
                              </a:rPr>
                              <m:t>h</m:t>
                            </m:r>
                          </m:e>
                        </m:acc>
                      </m:e>
                      <m:sup>
                        <m:r>
                          <a:rPr lang="en-GB" sz="1100" i="0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0</m:t>
                        </m:r>
                      </m:sup>
                    </m:sSup>
                  </m:oMath>
                </m:oMathPara>
              </a14:m>
              <a:endParaRPr lang="en-GB" sz="1100">
                <a:solidFill>
                  <a:schemeClr val="bg1"/>
                </a:solidFill>
              </a:endParaRPr>
            </a:p>
          </xdr:txBody>
        </xdr:sp>
      </mc:Choice>
      <mc:Fallback xmlns="">
        <xdr:sp macro="" textlink="">
          <xdr:nvSpPr>
            <xdr:cNvPr id="23" name="TextBox 22"/>
            <xdr:cNvSpPr txBox="1"/>
          </xdr:nvSpPr>
          <xdr:spPr>
            <a:xfrm>
              <a:off x="9986962" y="3809999"/>
              <a:ext cx="542925" cy="1848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Δℎ ̂^0</a:t>
              </a:r>
              <a:endParaRPr lang="en-GB" sz="1100">
                <a:solidFill>
                  <a:schemeClr val="bg1"/>
                </a:solidFill>
              </a:endParaRPr>
            </a:p>
          </xdr:txBody>
        </xdr:sp>
      </mc:Fallback>
    </mc:AlternateContent>
    <xdr:clientData/>
  </xdr:oneCellAnchor>
  <xdr:oneCellAnchor>
    <xdr:from>
      <xdr:col>8</xdr:col>
      <xdr:colOff>200977</xdr:colOff>
      <xdr:row>29</xdr:row>
      <xdr:rowOff>12382</xdr:rowOff>
    </xdr:from>
    <xdr:ext cx="542925" cy="18485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TextBox 23">
              <a:extLst>
                <a:ext uri="{FF2B5EF4-FFF2-40B4-BE49-F238E27FC236}">
                  <a16:creationId xmlns:a16="http://schemas.microsoft.com/office/drawing/2014/main" id="{00000000-0008-0000-0100-000018000000}"/>
                </a:ext>
              </a:extLst>
            </xdr:cNvPr>
            <xdr:cNvSpPr txBox="1"/>
          </xdr:nvSpPr>
          <xdr:spPr>
            <a:xfrm>
              <a:off x="7112317" y="5628322"/>
              <a:ext cx="542925" cy="1848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n-GB" sz="1100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</a:rPr>
                      <m:t>Δ</m:t>
                    </m:r>
                    <m:sSup>
                      <m:sSupPr>
                        <m:ctrlPr>
                          <a:rPr lang="en-GB" sz="110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solidFill>
                                  <a:sysClr val="windowText" lastClr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solidFill>
                                  <a:sysClr val="windowText" lastClr="000000"/>
                                </a:solidFill>
                                <a:latin typeface="Cambria Math" panose="02040503050406030204" pitchFamily="18" charset="0"/>
                              </a:rPr>
                              <m:t>h</m:t>
                            </m:r>
                          </m:e>
                        </m:acc>
                      </m:e>
                      <m:sup>
                        <m:r>
                          <a:rPr lang="en-GB" sz="1100" i="0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0</m:t>
                        </m:r>
                      </m:sup>
                    </m:sSup>
                  </m:oMath>
                </m:oMathPara>
              </a14:m>
              <a:endParaRPr lang="en-GB" sz="1100">
                <a:solidFill>
                  <a:sysClr val="windowText" lastClr="000000"/>
                </a:solidFill>
              </a:endParaRPr>
            </a:p>
          </xdr:txBody>
        </xdr:sp>
      </mc:Choice>
      <mc:Fallback xmlns="">
        <xdr:sp macro="" textlink="">
          <xdr:nvSpPr>
            <xdr:cNvPr id="24" name="TextBox 23">
              <a:extLst>
                <a:ext uri="{FF2B5EF4-FFF2-40B4-BE49-F238E27FC236}">
                  <a16:creationId xmlns:a16="http://schemas.microsoft.com/office/drawing/2014/main" id="{00000000-0008-0000-0100-000018000000}"/>
                </a:ext>
              </a:extLst>
            </xdr:cNvPr>
            <xdr:cNvSpPr txBox="1"/>
          </xdr:nvSpPr>
          <xdr:spPr>
            <a:xfrm>
              <a:off x="7112317" y="5628322"/>
              <a:ext cx="542925" cy="1848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Δℎ ̂^0</a:t>
              </a:r>
              <a:endParaRPr lang="en-GB" sz="1100">
                <a:solidFill>
                  <a:sysClr val="windowText" lastClr="000000"/>
                </a:solidFill>
              </a:endParaRPr>
            </a:p>
          </xdr:txBody>
        </xdr:sp>
      </mc:Fallback>
    </mc:AlternateContent>
    <xdr:clientData/>
  </xdr:oneCellAnchor>
  <xdr:oneCellAnchor>
    <xdr:from>
      <xdr:col>8</xdr:col>
      <xdr:colOff>135731</xdr:colOff>
      <xdr:row>30</xdr:row>
      <xdr:rowOff>93344</xdr:rowOff>
    </xdr:from>
    <xdr:ext cx="65960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 txBox="1"/>
          </xdr:nvSpPr>
          <xdr:spPr>
            <a:xfrm>
              <a:off x="7047071" y="5899784"/>
              <a:ext cx="6596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</a:rPr>
                      <m:t>h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 txBox="1"/>
          </xdr:nvSpPr>
          <xdr:spPr>
            <a:xfrm>
              <a:off x="7047071" y="5899784"/>
              <a:ext cx="6596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ℎ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190500</xdr:colOff>
      <xdr:row>37</xdr:row>
      <xdr:rowOff>19050</xdr:rowOff>
    </xdr:from>
    <xdr:ext cx="542925" cy="18485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8" name="TextBox 27">
              <a:extLst>
                <a:ext uri="{FF2B5EF4-FFF2-40B4-BE49-F238E27FC236}">
                  <a16:creationId xmlns:a16="http://schemas.microsoft.com/office/drawing/2014/main" id="{00000000-0008-0000-0100-00001C000000}"/>
                </a:ext>
              </a:extLst>
            </xdr:cNvPr>
            <xdr:cNvSpPr txBox="1"/>
          </xdr:nvSpPr>
          <xdr:spPr>
            <a:xfrm>
              <a:off x="2828925" y="7448550"/>
              <a:ext cx="542925" cy="18485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kumimoji="0" lang="en-GB" sz="1100" b="0" i="0" u="none" strike="noStrike" kern="0" cap="none" spc="0" normalizeH="0" baseline="0" noProof="0" smtClean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Δ</m:t>
                    </m:r>
                    <m:sSup>
                      <m:sSupPr>
                        <m:ctrlPr>
                          <a:rPr kumimoji="0" lang="en-GB" sz="1100" b="0" i="1" u="none" strike="noStrike" kern="0" cap="none" spc="0" normalizeH="0" baseline="0" noProof="0" smtClean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kumimoji="0" lang="en-GB" sz="1100" b="0" i="1" u="none" strike="noStrike" kern="0" cap="none" spc="0" normalizeH="0" baseline="0" noProof="0" smtClean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accPr>
                          <m:e>
                            <m:r>
                              <a:rPr kumimoji="0" lang="en-GB" sz="1100" b="0" i="1" u="none" strike="noStrike" kern="0" cap="none" spc="0" normalizeH="0" baseline="0" noProof="0" smtClean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h</m:t>
                            </m:r>
                          </m:e>
                        </m:acc>
                      </m:e>
                      <m:sup>
                        <m:r>
                          <a:rPr kumimoji="0" lang="en-GB" sz="1100" b="0" i="0" u="none" strike="noStrike" kern="0" cap="none" spc="0" normalizeH="0" baseline="0" noProof="0" smtClean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0</m:t>
                        </m:r>
                      </m:sup>
                    </m:sSup>
                  </m:oMath>
                </m:oMathPara>
              </a14:m>
              <a:endParaRPr kumimoji="0" lang="en-GB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28" name="TextBox 27"/>
            <xdr:cNvSpPr txBox="1"/>
          </xdr:nvSpPr>
          <xdr:spPr>
            <a:xfrm>
              <a:off x="2828925" y="7448550"/>
              <a:ext cx="542925" cy="18485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0" i="0" u="none" strike="noStrike" kern="0" cap="none" spc="0" normalizeH="0" baseline="0" noProof="0" smtClean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Δℎ ̂^0</a:t>
              </a:r>
              <a:endParaRPr kumimoji="0" lang="en-GB" sz="1100" b="0" i="0" u="none" strike="noStrike" kern="0" cap="none" spc="0" normalizeH="0" baseline="0" noProof="0" smtClean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Fallback>
    </mc:AlternateContent>
    <xdr:clientData/>
  </xdr:oneCellAnchor>
  <xdr:twoCellAnchor>
    <xdr:from>
      <xdr:col>13</xdr:col>
      <xdr:colOff>723900</xdr:colOff>
      <xdr:row>0</xdr:row>
      <xdr:rowOff>190500</xdr:rowOff>
    </xdr:from>
    <xdr:to>
      <xdr:col>15</xdr:col>
      <xdr:colOff>514350</xdr:colOff>
      <xdr:row>4</xdr:row>
      <xdr:rowOff>38100</xdr:rowOff>
    </xdr:to>
    <xdr:sp macro="" textlink="">
      <xdr:nvSpPr>
        <xdr:cNvPr id="30" name="TextBox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11201400" y="190500"/>
          <a:ext cx="2324100" cy="7143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32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 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32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962891</xdr:colOff>
      <xdr:row>17</xdr:row>
      <xdr:rowOff>866</xdr:rowOff>
    </xdr:from>
    <xdr:ext cx="542925" cy="18485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3679ABDE-F3BD-4E77-BB38-F588CC8CD298}"/>
                </a:ext>
              </a:extLst>
            </xdr:cNvPr>
            <xdr:cNvSpPr txBox="1"/>
          </xdr:nvSpPr>
          <xdr:spPr>
            <a:xfrm>
              <a:off x="15969096" y="3706957"/>
              <a:ext cx="542925" cy="18485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kumimoji="0" lang="en-GB" sz="11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bg1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𝚫</m:t>
                    </m:r>
                    <m:sSup>
                      <m:sSupPr>
                        <m:ctrlPr>
                          <a:rPr kumimoji="0" lang="en-GB" sz="11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chemeClr val="bg1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kumimoji="0" lang="en-GB" sz="11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chemeClr val="bg1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accPr>
                          <m:e>
                            <m:r>
                              <a:rPr kumimoji="0" lang="en-GB" sz="11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chemeClr val="bg1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𝒉</m:t>
                            </m:r>
                          </m:e>
                        </m:acc>
                      </m:e>
                      <m:sup>
                        <m:r>
                          <a:rPr kumimoji="0" lang="en-GB" sz="11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chemeClr val="bg1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𝟎</m:t>
                        </m:r>
                      </m:sup>
                    </m:sSup>
                  </m:oMath>
                </m:oMathPara>
              </a14:m>
              <a:endParaRPr kumimoji="0" lang="en-GB" sz="11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3679ABDE-F3BD-4E77-BB38-F588CC8CD298}"/>
                </a:ext>
              </a:extLst>
            </xdr:cNvPr>
            <xdr:cNvSpPr txBox="1"/>
          </xdr:nvSpPr>
          <xdr:spPr>
            <a:xfrm>
              <a:off x="15969096" y="3706957"/>
              <a:ext cx="542925" cy="18485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𝚫𝒉 ̂^𝟎</a:t>
              </a:r>
              <a:endParaRPr kumimoji="0" lang="en-GB" sz="11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</mc:Fallback>
    </mc:AlternateContent>
    <xdr:clientData/>
  </xdr:oneCellAnchor>
  <xdr:oneCellAnchor>
    <xdr:from>
      <xdr:col>10</xdr:col>
      <xdr:colOff>31173</xdr:colOff>
      <xdr:row>1</xdr:row>
      <xdr:rowOff>36368</xdr:rowOff>
    </xdr:from>
    <xdr:ext cx="866775" cy="17844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CC8E1DE2-2206-4B78-9545-7388E1A70DBC}"/>
                </a:ext>
              </a:extLst>
            </xdr:cNvPr>
            <xdr:cNvSpPr txBox="1"/>
          </xdr:nvSpPr>
          <xdr:spPr>
            <a:xfrm>
              <a:off x="8499764" y="339436"/>
              <a:ext cx="866775" cy="178447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kumimoji="0" lang="en-GB" sz="1100" b="1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Cambria Math" panose="02040503050406030204" pitchFamily="18" charset="0"/>
                      <a:ea typeface="+mn-ea"/>
                      <a:cs typeface="+mn-cs"/>
                    </a:rPr>
                    <m:t>𝚫</m:t>
                  </m:r>
                  <m:sSup>
                    <m:sSupPr>
                      <m:ctrlPr>
                        <a:rPr kumimoji="0" lang="en-GB" sz="11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bg1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pPr>
                    <m:e>
                      <m:acc>
                        <m:accPr>
                          <m:chr m:val="̂"/>
                          <m:ctrlPr>
                            <a:rPr kumimoji="0" lang="en-GB" sz="11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chemeClr val="bg1"/>
                              </a:solidFill>
                              <a:effectLst/>
                              <a:uLnTx/>
                              <a:uFillTx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accPr>
                        <m:e>
                          <m:r>
                            <a:rPr kumimoji="0" lang="en-GB" sz="11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chemeClr val="bg1"/>
                              </a:solidFill>
                              <a:effectLst/>
                              <a:uLnTx/>
                              <a:uFillTx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𝒉</m:t>
                          </m:r>
                        </m:e>
                      </m:acc>
                    </m:e>
                    <m:sup>
                      <m:r>
                        <a:rPr kumimoji="0" lang="en-GB" sz="11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bg1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𝟎</m:t>
                      </m:r>
                    </m:sup>
                  </m:sSup>
                </m:oMath>
              </a14:m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 </a:t>
              </a:r>
              <a:r>
                <a:rPr kumimoji="0" lang="en-GB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(KJ/Mol)</a:t>
              </a:r>
              <a:endParaRPr kumimoji="0" lang="en-GB" sz="11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CC8E1DE2-2206-4B78-9545-7388E1A70DBC}"/>
                </a:ext>
              </a:extLst>
            </xdr:cNvPr>
            <xdr:cNvSpPr txBox="1"/>
          </xdr:nvSpPr>
          <xdr:spPr>
            <a:xfrm>
              <a:off x="8499764" y="339436"/>
              <a:ext cx="866775" cy="178447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𝚫𝒉 ̂^𝟎</a:t>
              </a:r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 </a:t>
              </a:r>
              <a:r>
                <a:rPr kumimoji="0" lang="en-GB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(KJ/Mol)</a:t>
              </a:r>
              <a:endParaRPr kumimoji="0" lang="en-GB" sz="11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</mc:Fallback>
    </mc:AlternateContent>
    <xdr:clientData/>
  </xdr:oneCellAnchor>
  <xdr:twoCellAnchor>
    <xdr:from>
      <xdr:col>3</xdr:col>
      <xdr:colOff>762000</xdr:colOff>
      <xdr:row>7</xdr:row>
      <xdr:rowOff>138547</xdr:rowOff>
    </xdr:from>
    <xdr:to>
      <xdr:col>6</xdr:col>
      <xdr:colOff>328504</xdr:colOff>
      <xdr:row>10</xdr:row>
      <xdr:rowOff>103044</xdr:rowOff>
    </xdr:to>
    <xdr:sp macro="" textlink="">
      <xdr:nvSpPr>
        <xdr:cNvPr id="6" name="TextBox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BB7E2E-6EE4-4DE2-98B5-05611CD4B9A5}"/>
            </a:ext>
          </a:extLst>
        </xdr:cNvPr>
        <xdr:cNvSpPr txBox="1"/>
      </xdr:nvSpPr>
      <xdr:spPr>
        <a:xfrm>
          <a:off x="3281795" y="2086842"/>
          <a:ext cx="2077641" cy="5619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24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24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57150</xdr:colOff>
      <xdr:row>1</xdr:row>
      <xdr:rowOff>19050</xdr:rowOff>
    </xdr:from>
    <xdr:ext cx="866775" cy="52931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6F1BA33C-A44A-4F69-A916-7498F8AD7FD2}"/>
                </a:ext>
              </a:extLst>
            </xdr:cNvPr>
            <xdr:cNvSpPr txBox="1"/>
          </xdr:nvSpPr>
          <xdr:spPr>
            <a:xfrm>
              <a:off x="8362950" y="323850"/>
              <a:ext cx="866775" cy="529312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kumimoji="0" lang="en-GB" sz="1100" b="1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Cambria Math" panose="02040503050406030204" pitchFamily="18" charset="0"/>
                      <a:ea typeface="+mn-ea"/>
                      <a:cs typeface="+mn-cs"/>
                    </a:rPr>
                    <m:t>𝚫</m:t>
                  </m:r>
                  <m:sSup>
                    <m:sSupPr>
                      <m:ctrlPr>
                        <a:rPr kumimoji="0" lang="en-GB" sz="11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bg1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pPr>
                    <m:e>
                      <m:acc>
                        <m:accPr>
                          <m:chr m:val="̂"/>
                          <m:ctrlPr>
                            <a:rPr kumimoji="0" lang="en-GB" sz="11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chemeClr val="bg1"/>
                              </a:solidFill>
                              <a:effectLst/>
                              <a:uLnTx/>
                              <a:uFillTx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accPr>
                        <m:e>
                          <m:r>
                            <a:rPr kumimoji="0" lang="en-GB" sz="11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chemeClr val="bg1"/>
                              </a:solidFill>
                              <a:effectLst/>
                              <a:uLnTx/>
                              <a:uFillTx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𝒉</m:t>
                          </m:r>
                        </m:e>
                      </m:acc>
                    </m:e>
                    <m:sup>
                      <m:r>
                        <a:rPr kumimoji="0" lang="en-GB" sz="11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bg1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𝟎</m:t>
                      </m:r>
                    </m:sup>
                  </m:sSup>
                </m:oMath>
              </a14:m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+mn-lt"/>
                  <a:ea typeface="+mn-ea"/>
                  <a:cs typeface="Arial" panose="020B0604020202020204" pitchFamily="34" charset="0"/>
                </a:rPr>
                <a:t> (KJ/Mol)</a:t>
              </a:r>
            </a:p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+mn-lt"/>
                  <a:ea typeface="+mn-ea"/>
                  <a:cs typeface="Arial" panose="020B0604020202020204" pitchFamily="34" charset="0"/>
                </a:rPr>
                <a:t>Enthalpy of Formation</a:t>
              </a: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6F1BA33C-A44A-4F69-A916-7498F8AD7FD2}"/>
                </a:ext>
              </a:extLst>
            </xdr:cNvPr>
            <xdr:cNvSpPr txBox="1"/>
          </xdr:nvSpPr>
          <xdr:spPr>
            <a:xfrm>
              <a:off x="8362950" y="323850"/>
              <a:ext cx="866775" cy="529312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𝚫𝒉 ̂^𝟎</a:t>
              </a:r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+mn-lt"/>
                  <a:ea typeface="+mn-ea"/>
                  <a:cs typeface="Arial" panose="020B0604020202020204" pitchFamily="34" charset="0"/>
                </a:rPr>
                <a:t> (KJ/Mol)</a:t>
              </a:r>
            </a:p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+mn-lt"/>
                  <a:ea typeface="+mn-ea"/>
                  <a:cs typeface="Arial" panose="020B0604020202020204" pitchFamily="34" charset="0"/>
                </a:rPr>
                <a:t>Enthalpy of Formation</a:t>
              </a:r>
            </a:p>
          </xdr:txBody>
        </xdr:sp>
      </mc:Fallback>
    </mc:AlternateContent>
    <xdr:clientData/>
  </xdr:oneCellAnchor>
  <xdr:twoCellAnchor>
    <xdr:from>
      <xdr:col>5</xdr:col>
      <xdr:colOff>495300</xdr:colOff>
      <xdr:row>16</xdr:row>
      <xdr:rowOff>95250</xdr:rowOff>
    </xdr:from>
    <xdr:to>
      <xdr:col>8</xdr:col>
      <xdr:colOff>201216</xdr:colOff>
      <xdr:row>19</xdr:row>
      <xdr:rowOff>66675</xdr:rowOff>
    </xdr:to>
    <xdr:sp macro="" textlink="">
      <xdr:nvSpPr>
        <xdr:cNvPr id="6" name="TextBox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2AD1CF-3D3B-4530-A89B-C2FC1A212D06}"/>
            </a:ext>
          </a:extLst>
        </xdr:cNvPr>
        <xdr:cNvSpPr txBox="1"/>
      </xdr:nvSpPr>
      <xdr:spPr>
        <a:xfrm>
          <a:off x="3124200" y="3714750"/>
          <a:ext cx="2077641" cy="5619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24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24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533400</xdr:colOff>
      <xdr:row>2</xdr:row>
      <xdr:rowOff>104775</xdr:rowOff>
    </xdr:from>
    <xdr:to>
      <xdr:col>0</xdr:col>
      <xdr:colOff>1066800</xdr:colOff>
      <xdr:row>2</xdr:row>
      <xdr:rowOff>104776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BDEF4091-9295-42C4-BD7E-0CF1712DFB58}"/>
            </a:ext>
          </a:extLst>
        </xdr:cNvPr>
        <xdr:cNvCxnSpPr/>
      </xdr:nvCxnSpPr>
      <xdr:spPr>
        <a:xfrm flipV="1">
          <a:off x="533400" y="952500"/>
          <a:ext cx="533400" cy="1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0</xdr:row>
      <xdr:rowOff>47625</xdr:rowOff>
    </xdr:from>
    <xdr:to>
      <xdr:col>11</xdr:col>
      <xdr:colOff>172641</xdr:colOff>
      <xdr:row>3</xdr:row>
      <xdr:rowOff>19050</xdr:rowOff>
    </xdr:to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E5ABB7-7C5B-4834-86FA-CF326BDF21CE}"/>
            </a:ext>
          </a:extLst>
        </xdr:cNvPr>
        <xdr:cNvSpPr txBox="1"/>
      </xdr:nvSpPr>
      <xdr:spPr>
        <a:xfrm>
          <a:off x="4829175" y="47625"/>
          <a:ext cx="2372916" cy="5619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28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28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85725</xdr:colOff>
      <xdr:row>6</xdr:row>
      <xdr:rowOff>66674</xdr:rowOff>
    </xdr:from>
    <xdr:to>
      <xdr:col>32</xdr:col>
      <xdr:colOff>38100</xdr:colOff>
      <xdr:row>21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E33FC7F-10B0-4E8F-B898-DA4A4D40C3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128585</xdr:colOff>
      <xdr:row>22</xdr:row>
      <xdr:rowOff>66675</xdr:rowOff>
    </xdr:from>
    <xdr:to>
      <xdr:col>15</xdr:col>
      <xdr:colOff>333375</xdr:colOff>
      <xdr:row>39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8CAB9BF-61C4-47E1-B502-5B5850CDDE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409574</xdr:colOff>
      <xdr:row>22</xdr:row>
      <xdr:rowOff>57149</xdr:rowOff>
    </xdr:from>
    <xdr:to>
      <xdr:col>24</xdr:col>
      <xdr:colOff>57149</xdr:colOff>
      <xdr:row>39</xdr:row>
      <xdr:rowOff>76199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15416B-E970-4250-B611-E41E6BF87F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152400" y="447675"/>
    <xdr:ext cx="8665882" cy="6293971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975D8FE-8B42-4654-9E7F-6F3B53C7E9C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twoCellAnchor>
    <xdr:from>
      <xdr:col>15</xdr:col>
      <xdr:colOff>0</xdr:colOff>
      <xdr:row>12</xdr:row>
      <xdr:rowOff>0</xdr:rowOff>
    </xdr:from>
    <xdr:to>
      <xdr:col>18</xdr:col>
      <xdr:colOff>248841</xdr:colOff>
      <xdr:row>14</xdr:row>
      <xdr:rowOff>180975</xdr:rowOff>
    </xdr:to>
    <xdr:sp macro="" textlink="">
      <xdr:nvSpPr>
        <xdr:cNvPr id="4" name="TextBox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EF2DEB4-C12D-42BB-9C35-DA04590DCF6D}"/>
            </a:ext>
          </a:extLst>
        </xdr:cNvPr>
        <xdr:cNvSpPr txBox="1"/>
      </xdr:nvSpPr>
      <xdr:spPr>
        <a:xfrm>
          <a:off x="9144000" y="2286000"/>
          <a:ext cx="2077641" cy="5619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28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28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581025" y="438149"/>
    <xdr:ext cx="5524500" cy="408622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4DB8F6E-6337-4A10-9D52-9C6DC151009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6715125" y="447675"/>
    <xdr:ext cx="5505450" cy="4029075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8781BF9-8446-491E-B498-2C6BF8BB644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absoluteAnchor>
    <xdr:pos x="609600" y="4905375"/>
    <xdr:ext cx="5486400" cy="3676649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498B12D-C595-4E7A-BFA4-97B3CCF0113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absoluteAnchor>
    <xdr:pos x="6696075" y="4914901"/>
    <xdr:ext cx="5514975" cy="3676650"/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3B5844F-9304-4116-A533-8B2C419097E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absoluteAnchor>
    <xdr:pos x="4286251" y="8972550"/>
    <xdr:ext cx="5448300" cy="3714750"/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20C358E-1173-4F0B-A512-0AE6B744E21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  <xdr:twoCellAnchor>
    <xdr:from>
      <xdr:col>20</xdr:col>
      <xdr:colOff>104775</xdr:colOff>
      <xdr:row>5</xdr:row>
      <xdr:rowOff>66675</xdr:rowOff>
    </xdr:from>
    <xdr:to>
      <xdr:col>23</xdr:col>
      <xdr:colOff>353616</xdr:colOff>
      <xdr:row>8</xdr:row>
      <xdr:rowOff>57150</xdr:rowOff>
    </xdr:to>
    <xdr:sp macro="" textlink="">
      <xdr:nvSpPr>
        <xdr:cNvPr id="7" name="TextBox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3B58083-99FD-42B2-9BFC-45592824F5EA}"/>
            </a:ext>
          </a:extLst>
        </xdr:cNvPr>
        <xdr:cNvSpPr txBox="1"/>
      </xdr:nvSpPr>
      <xdr:spPr>
        <a:xfrm>
          <a:off x="12296775" y="1085850"/>
          <a:ext cx="2077641" cy="5619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28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28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161925</xdr:colOff>
      <xdr:row>1</xdr:row>
      <xdr:rowOff>38100</xdr:rowOff>
    </xdr:from>
    <xdr:ext cx="866775" cy="52931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7662F689-CB2F-40C0-B80C-884C0E2466EC}"/>
                </a:ext>
              </a:extLst>
            </xdr:cNvPr>
            <xdr:cNvSpPr txBox="1"/>
          </xdr:nvSpPr>
          <xdr:spPr>
            <a:xfrm>
              <a:off x="7267575" y="342900"/>
              <a:ext cx="866775" cy="529312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kumimoji="0" lang="en-GB" sz="1100" b="1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Cambria Math" panose="02040503050406030204" pitchFamily="18" charset="0"/>
                      <a:ea typeface="+mn-ea"/>
                      <a:cs typeface="+mn-cs"/>
                    </a:rPr>
                    <m:t>𝚫</m:t>
                  </m:r>
                  <m:sSup>
                    <m:sSupPr>
                      <m:ctrlPr>
                        <a:rPr kumimoji="0" lang="en-GB" sz="11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bg1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pPr>
                    <m:e>
                      <m:acc>
                        <m:accPr>
                          <m:chr m:val="̂"/>
                          <m:ctrlPr>
                            <a:rPr kumimoji="0" lang="en-GB" sz="11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chemeClr val="bg1"/>
                              </a:solidFill>
                              <a:effectLst/>
                              <a:uLnTx/>
                              <a:uFillTx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accPr>
                        <m:e>
                          <m:r>
                            <a:rPr kumimoji="0" lang="en-GB" sz="11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chemeClr val="bg1"/>
                              </a:solidFill>
                              <a:effectLst/>
                              <a:uLnTx/>
                              <a:uFillTx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𝒉</m:t>
                          </m:r>
                        </m:e>
                      </m:acc>
                    </m:e>
                    <m:sup>
                      <m:r>
                        <a:rPr kumimoji="0" lang="en-GB" sz="11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bg1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𝟎</m:t>
                      </m:r>
                    </m:sup>
                  </m:sSup>
                </m:oMath>
              </a14:m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+mn-lt"/>
                  <a:ea typeface="+mn-ea"/>
                  <a:cs typeface="Arial" panose="020B0604020202020204" pitchFamily="34" charset="0"/>
                </a:rPr>
                <a:t> (KJ/Mol)</a:t>
              </a:r>
            </a:p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+mn-lt"/>
                  <a:ea typeface="+mn-ea"/>
                  <a:cs typeface="Arial" panose="020B0604020202020204" pitchFamily="34" charset="0"/>
                </a:rPr>
                <a:t>Enthalpy of Formation</a:t>
              </a: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7662F689-CB2F-40C0-B80C-884C0E2466EC}"/>
                </a:ext>
              </a:extLst>
            </xdr:cNvPr>
            <xdr:cNvSpPr txBox="1"/>
          </xdr:nvSpPr>
          <xdr:spPr>
            <a:xfrm>
              <a:off x="7267575" y="342900"/>
              <a:ext cx="866775" cy="529312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𝚫𝒉 ̂^𝟎</a:t>
              </a:r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+mn-lt"/>
                  <a:ea typeface="+mn-ea"/>
                  <a:cs typeface="Arial" panose="020B0604020202020204" pitchFamily="34" charset="0"/>
                </a:rPr>
                <a:t> (KJ/Mol)</a:t>
              </a:r>
            </a:p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+mn-lt"/>
                  <a:ea typeface="+mn-ea"/>
                  <a:cs typeface="Arial" panose="020B0604020202020204" pitchFamily="34" charset="0"/>
                </a:rPr>
                <a:t>Enthalpy of Formation</a:t>
              </a:r>
            </a:p>
          </xdr:txBody>
        </xdr:sp>
      </mc:Fallback>
    </mc:AlternateContent>
    <xdr:clientData/>
  </xdr:oneCellAnchor>
  <xdr:twoCellAnchor>
    <xdr:from>
      <xdr:col>20</xdr:col>
      <xdr:colOff>619125</xdr:colOff>
      <xdr:row>6</xdr:row>
      <xdr:rowOff>0</xdr:rowOff>
    </xdr:from>
    <xdr:to>
      <xdr:col>22</xdr:col>
      <xdr:colOff>1181100</xdr:colOff>
      <xdr:row>8</xdr:row>
      <xdr:rowOff>161925</xdr:rowOff>
    </xdr:to>
    <xdr:sp macro="" textlink="">
      <xdr:nvSpPr>
        <xdr:cNvPr id="4" name="TextBox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0D61CF-4845-423B-A1BE-A69B5FBFE1CF}"/>
            </a:ext>
          </a:extLst>
        </xdr:cNvPr>
        <xdr:cNvSpPr txBox="1"/>
      </xdr:nvSpPr>
      <xdr:spPr>
        <a:xfrm>
          <a:off x="14773275" y="2047875"/>
          <a:ext cx="2305050" cy="5619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28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28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276225</xdr:colOff>
      <xdr:row>2</xdr:row>
      <xdr:rowOff>85725</xdr:rowOff>
    </xdr:from>
    <xdr:to>
      <xdr:col>0</xdr:col>
      <xdr:colOff>809625</xdr:colOff>
      <xdr:row>2</xdr:row>
      <xdr:rowOff>85726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2FB30688-371A-4B00-85B8-465E4C24BF5C}"/>
            </a:ext>
          </a:extLst>
        </xdr:cNvPr>
        <xdr:cNvCxnSpPr/>
      </xdr:nvCxnSpPr>
      <xdr:spPr>
        <a:xfrm flipV="1">
          <a:off x="276225" y="1152525"/>
          <a:ext cx="533400" cy="1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0</xdr:row>
      <xdr:rowOff>0</xdr:rowOff>
    </xdr:from>
    <xdr:to>
      <xdr:col>11</xdr:col>
      <xdr:colOff>296466</xdr:colOff>
      <xdr:row>2</xdr:row>
      <xdr:rowOff>152400</xdr:rowOff>
    </xdr:to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1E3924-42C3-43EC-B7DC-6BBCDC582739}"/>
            </a:ext>
          </a:extLst>
        </xdr:cNvPr>
        <xdr:cNvSpPr txBox="1"/>
      </xdr:nvSpPr>
      <xdr:spPr>
        <a:xfrm>
          <a:off x="4791075" y="0"/>
          <a:ext cx="1944291" cy="5619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28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28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142875</xdr:colOff>
      <xdr:row>29</xdr:row>
      <xdr:rowOff>119062</xdr:rowOff>
    </xdr:from>
    <xdr:to>
      <xdr:col>10</xdr:col>
      <xdr:colOff>104775</xdr:colOff>
      <xdr:row>43</xdr:row>
      <xdr:rowOff>176212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F3D7D11-2E47-456F-8350-D72FDAE34F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276225" y="771525"/>
    <xdr:ext cx="7372350" cy="5246221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84C9246-3A0A-4355-B0CD-83EB419C382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twoCellAnchor>
    <xdr:from>
      <xdr:col>12</xdr:col>
      <xdr:colOff>542924</xdr:colOff>
      <xdr:row>4</xdr:row>
      <xdr:rowOff>19050</xdr:rowOff>
    </xdr:from>
    <xdr:to>
      <xdr:col>24</xdr:col>
      <xdr:colOff>380999</xdr:colOff>
      <xdr:row>31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3CA946C-A36D-4EF1-BAFF-CCA1A0A28C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542925</xdr:colOff>
      <xdr:row>0</xdr:row>
      <xdr:rowOff>133350</xdr:rowOff>
    </xdr:from>
    <xdr:to>
      <xdr:col>14</xdr:col>
      <xdr:colOff>182166</xdr:colOff>
      <xdr:row>3</xdr:row>
      <xdr:rowOff>123825</xdr:rowOff>
    </xdr:to>
    <xdr:sp macro="" textlink="">
      <xdr:nvSpPr>
        <xdr:cNvPr id="7" name="TextBox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07E783A-6580-4D18-A278-94DDA74D914C}"/>
            </a:ext>
          </a:extLst>
        </xdr:cNvPr>
        <xdr:cNvSpPr txBox="1"/>
      </xdr:nvSpPr>
      <xdr:spPr>
        <a:xfrm>
          <a:off x="6638925" y="133350"/>
          <a:ext cx="2077641" cy="5619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28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28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14287</xdr:rowOff>
    </xdr:from>
    <xdr:to>
      <xdr:col>9</xdr:col>
      <xdr:colOff>590550</xdr:colOff>
      <xdr:row>21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261E36A-A360-41F1-BA19-F97090FFD4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9524</xdr:colOff>
      <xdr:row>21</xdr:row>
      <xdr:rowOff>171449</xdr:rowOff>
    </xdr:from>
    <xdr:to>
      <xdr:col>9</xdr:col>
      <xdr:colOff>590549</xdr:colOff>
      <xdr:row>39</xdr:row>
      <xdr:rowOff>47624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9A41010-5185-40BA-A0BD-82FB6BCE79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3</xdr:row>
      <xdr:rowOff>0</xdr:rowOff>
    </xdr:from>
    <xdr:to>
      <xdr:col>19</xdr:col>
      <xdr:colOff>590550</xdr:colOff>
      <xdr:row>21</xdr:row>
      <xdr:rowOff>138113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8D0ED7C-DEC9-4565-8D3B-1C71B4F0D5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19050</xdr:colOff>
      <xdr:row>21</xdr:row>
      <xdr:rowOff>142875</xdr:rowOff>
    </xdr:from>
    <xdr:to>
      <xdr:col>19</xdr:col>
      <xdr:colOff>571500</xdr:colOff>
      <xdr:row>39</xdr:row>
      <xdr:rowOff>9525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E2F6E2D-A20B-4E53-BB08-B8E12745CC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41</xdr:row>
      <xdr:rowOff>0</xdr:rowOff>
    </xdr:from>
    <xdr:to>
      <xdr:col>9</xdr:col>
      <xdr:colOff>590550</xdr:colOff>
      <xdr:row>59</xdr:row>
      <xdr:rowOff>138113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FE45CA30-CEA6-4248-B451-A5F03565C3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9524</xdr:colOff>
      <xdr:row>59</xdr:row>
      <xdr:rowOff>171449</xdr:rowOff>
    </xdr:from>
    <xdr:to>
      <xdr:col>9</xdr:col>
      <xdr:colOff>609599</xdr:colOff>
      <xdr:row>75</xdr:row>
      <xdr:rowOff>180975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B08F7EA-A6AC-4D7E-8004-650B744963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41</xdr:row>
      <xdr:rowOff>0</xdr:rowOff>
    </xdr:from>
    <xdr:to>
      <xdr:col>19</xdr:col>
      <xdr:colOff>590550</xdr:colOff>
      <xdr:row>59</xdr:row>
      <xdr:rowOff>138113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E12A4B20-4B7E-4930-84A1-7D722B834D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9525</xdr:colOff>
      <xdr:row>59</xdr:row>
      <xdr:rowOff>152400</xdr:rowOff>
    </xdr:from>
    <xdr:to>
      <xdr:col>19</xdr:col>
      <xdr:colOff>581025</xdr:colOff>
      <xdr:row>76</xdr:row>
      <xdr:rowOff>19050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1A5E4F54-1342-4B7A-A5C5-B2BD08097D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609599</xdr:colOff>
      <xdr:row>78</xdr:row>
      <xdr:rowOff>0</xdr:rowOff>
    </xdr:from>
    <xdr:to>
      <xdr:col>16</xdr:col>
      <xdr:colOff>0</xdr:colOff>
      <xdr:row>96</xdr:row>
      <xdr:rowOff>138113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BAC1B9B7-B5AF-48FE-AE90-4AF2684B57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19050</xdr:colOff>
      <xdr:row>96</xdr:row>
      <xdr:rowOff>152400</xdr:rowOff>
    </xdr:from>
    <xdr:to>
      <xdr:col>15</xdr:col>
      <xdr:colOff>590550</xdr:colOff>
      <xdr:row>113</xdr:row>
      <xdr:rowOff>19050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DE183EC3-6BA5-4AE3-AB32-0D14F3E1D8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8</xdr:col>
      <xdr:colOff>409575</xdr:colOff>
      <xdr:row>0</xdr:row>
      <xdr:rowOff>0</xdr:rowOff>
    </xdr:from>
    <xdr:to>
      <xdr:col>12</xdr:col>
      <xdr:colOff>48816</xdr:colOff>
      <xdr:row>2</xdr:row>
      <xdr:rowOff>66675</xdr:rowOff>
    </xdr:to>
    <xdr:sp macro="" textlink="">
      <xdr:nvSpPr>
        <xdr:cNvPr id="18" name="TextBox 17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5C0CCC71-360B-42E1-8B60-D6B9DA124ED9}"/>
            </a:ext>
          </a:extLst>
        </xdr:cNvPr>
        <xdr:cNvSpPr txBox="1"/>
      </xdr:nvSpPr>
      <xdr:spPr>
        <a:xfrm>
          <a:off x="5286375" y="0"/>
          <a:ext cx="2077641" cy="4572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28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28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14287</xdr:rowOff>
    </xdr:from>
    <xdr:to>
      <xdr:col>7</xdr:col>
      <xdr:colOff>9525</xdr:colOff>
      <xdr:row>18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8BCEDC7-58A1-42A6-A119-727A6216DF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24</xdr:row>
      <xdr:rowOff>4762</xdr:rowOff>
    </xdr:from>
    <xdr:to>
      <xdr:col>6</xdr:col>
      <xdr:colOff>595313</xdr:colOff>
      <xdr:row>38</xdr:row>
      <xdr:rowOff>80962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080054C-7F79-44C8-97A8-35B79FE449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542925</xdr:colOff>
      <xdr:row>23</xdr:row>
      <xdr:rowOff>200024</xdr:rowOff>
    </xdr:from>
    <xdr:to>
      <xdr:col>15</xdr:col>
      <xdr:colOff>9525</xdr:colOff>
      <xdr:row>38</xdr:row>
      <xdr:rowOff>104774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59F4B07-7FE2-41E1-AC64-B2109C4695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571500</xdr:colOff>
      <xdr:row>4</xdr:row>
      <xdr:rowOff>19049</xdr:rowOff>
    </xdr:from>
    <xdr:to>
      <xdr:col>14</xdr:col>
      <xdr:colOff>600075</xdr:colOff>
      <xdr:row>18</xdr:row>
      <xdr:rowOff>123824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D5FA32A-50E4-4C9B-84B6-F99A4D9E0F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266700</xdr:colOff>
      <xdr:row>4</xdr:row>
      <xdr:rowOff>76200</xdr:rowOff>
    </xdr:from>
    <xdr:to>
      <xdr:col>18</xdr:col>
      <xdr:colOff>515541</xdr:colOff>
      <xdr:row>7</xdr:row>
      <xdr:rowOff>66675</xdr:rowOff>
    </xdr:to>
    <xdr:sp macro="" textlink="">
      <xdr:nvSpPr>
        <xdr:cNvPr id="7" name="TextBox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AF074E4-7CC1-4AD6-8509-69CE7ADB4BF6}"/>
            </a:ext>
          </a:extLst>
        </xdr:cNvPr>
        <xdr:cNvSpPr txBox="1"/>
      </xdr:nvSpPr>
      <xdr:spPr>
        <a:xfrm>
          <a:off x="9410700" y="904875"/>
          <a:ext cx="2077641" cy="5619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28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28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0</xdr:row>
      <xdr:rowOff>0</xdr:rowOff>
    </xdr:from>
    <xdr:to>
      <xdr:col>9</xdr:col>
      <xdr:colOff>296466</xdr:colOff>
      <xdr:row>2</xdr:row>
      <xdr:rowOff>114300</xdr:rowOff>
    </xdr:to>
    <xdr:sp macro="" textlink="">
      <xdr:nvSpPr>
        <xdr:cNvPr id="3" name="Text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3705225" y="0"/>
          <a:ext cx="2077641" cy="5619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24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24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0</xdr:row>
      <xdr:rowOff>0</xdr:rowOff>
    </xdr:from>
    <xdr:to>
      <xdr:col>12</xdr:col>
      <xdr:colOff>296466</xdr:colOff>
      <xdr:row>2</xdr:row>
      <xdr:rowOff>142875</xdr:rowOff>
    </xdr:to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296150" y="0"/>
          <a:ext cx="2077641" cy="5238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3200" b="1" i="0" u="none" strike="noStrike" kern="0" cap="none" spc="0" normalizeH="0" baseline="0" noProof="0">
              <a:ln w="13462">
                <a:solidFill>
                  <a:sysClr val="window" lastClr="FFFFFF"/>
                </a:solidFill>
                <a:prstDash val="solid"/>
              </a:ln>
              <a:solidFill>
                <a:sysClr val="windowText" lastClr="000000">
                  <a:lumMod val="85000"/>
                  <a:lumOff val="15000"/>
                </a:sysClr>
              </a:solidFill>
              <a:effectLst>
                <a:outerShdw dist="38100" dir="2700000" algn="bl" rotWithShape="0">
                  <a:srgbClr val="4472C4"/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HomePage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3200" b="1" i="0" u="none" strike="noStrike" kern="0" cap="none" spc="0" normalizeH="0" baseline="0" noProof="0">
            <a:ln w="13462">
              <a:solidFill>
                <a:sysClr val="window" lastClr="FFFFFF"/>
              </a:solidFill>
              <a:prstDash val="solid"/>
            </a:ln>
            <a:solidFill>
              <a:sysClr val="windowText" lastClr="000000">
                <a:lumMod val="85000"/>
                <a:lumOff val="15000"/>
              </a:sysClr>
            </a:solidFill>
            <a:effectLst>
              <a:outerShdw dist="38100" dir="2700000" algn="bl" rotWithShape="0">
                <a:srgbClr val="4472C4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0C332-1A1B-48FE-963D-6EC22E127FA6}">
  <dimension ref="A1"/>
  <sheetViews>
    <sheetView tabSelected="1" workbookViewId="0"/>
  </sheetViews>
  <sheetFormatPr defaultRowHeight="15" x14ac:dyDescent="0.25"/>
  <cols>
    <col min="1" max="16384" width="9.140625" style="24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R57"/>
  <sheetViews>
    <sheetView zoomScaleNormal="100" workbookViewId="0">
      <selection sqref="A1:N1"/>
    </sheetView>
  </sheetViews>
  <sheetFormatPr defaultColWidth="9.140625" defaultRowHeight="15" x14ac:dyDescent="0.25"/>
  <cols>
    <col min="1" max="1" width="16.85546875" style="32" customWidth="1"/>
    <col min="2" max="2" width="15.7109375" style="32" bestFit="1" customWidth="1"/>
    <col min="3" max="3" width="9.140625" style="32"/>
    <col min="4" max="4" width="13.28515625" style="33" customWidth="1"/>
    <col min="5" max="5" width="11.42578125" style="33" bestFit="1" customWidth="1"/>
    <col min="6" max="6" width="8.28515625" style="32" bestFit="1" customWidth="1"/>
    <col min="7" max="7" width="4.42578125" style="32" customWidth="1"/>
    <col min="8" max="8" width="21.5703125" style="32" customWidth="1"/>
    <col min="9" max="9" width="15.7109375" style="32" bestFit="1" customWidth="1"/>
    <col min="10" max="10" width="8.28515625" style="32" bestFit="1" customWidth="1"/>
    <col min="11" max="11" width="14" style="32" bestFit="1" customWidth="1"/>
    <col min="12" max="12" width="10.140625" style="32" bestFit="1" customWidth="1"/>
    <col min="13" max="13" width="8.28515625" style="32" bestFit="1" customWidth="1"/>
    <col min="14" max="14" width="12.5703125" style="32" customWidth="1"/>
    <col min="15" max="15" width="25.42578125" style="25" customWidth="1"/>
    <col min="16" max="16" width="15.7109375" style="25" bestFit="1" customWidth="1"/>
    <col min="17" max="17" width="8.28515625" style="25" bestFit="1" customWidth="1"/>
    <col min="18" max="18" width="20.5703125" style="25" bestFit="1" customWidth="1"/>
    <col min="19" max="19" width="12" style="24" bestFit="1" customWidth="1"/>
    <col min="20" max="20" width="8.28515625" style="24" bestFit="1" customWidth="1"/>
    <col min="21" max="16384" width="9.140625" style="24"/>
  </cols>
  <sheetData>
    <row r="1" spans="1:18" ht="21" customHeight="1" thickBot="1" x14ac:dyDescent="0.4">
      <c r="A1" s="467" t="s">
        <v>229</v>
      </c>
      <c r="B1" s="468"/>
      <c r="C1" s="468"/>
      <c r="D1" s="468"/>
      <c r="E1" s="468"/>
      <c r="F1" s="468"/>
      <c r="G1" s="468"/>
      <c r="H1" s="469"/>
      <c r="I1" s="469"/>
      <c r="J1" s="469"/>
      <c r="K1" s="469"/>
      <c r="L1" s="469"/>
      <c r="M1" s="469"/>
      <c r="N1" s="470"/>
      <c r="Q1" s="24"/>
      <c r="R1" s="24"/>
    </row>
    <row r="2" spans="1:18" ht="15.75" customHeight="1" thickBot="1" x14ac:dyDescent="0.3">
      <c r="A2" s="446" t="s">
        <v>25</v>
      </c>
      <c r="B2" s="447"/>
      <c r="C2" s="447"/>
      <c r="D2" s="447"/>
      <c r="E2" s="447"/>
      <c r="F2" s="447"/>
      <c r="G2" s="447"/>
      <c r="H2" s="446" t="s">
        <v>28</v>
      </c>
      <c r="I2" s="447"/>
      <c r="J2" s="447"/>
      <c r="K2" s="447"/>
      <c r="L2" s="447"/>
      <c r="M2" s="447"/>
      <c r="N2" s="448"/>
      <c r="Q2" s="24"/>
      <c r="R2" s="24"/>
    </row>
    <row r="3" spans="1:18" ht="15.75" customHeight="1" thickBot="1" x14ac:dyDescent="0.3">
      <c r="A3" s="446" t="s">
        <v>160</v>
      </c>
      <c r="B3" s="448"/>
      <c r="C3" s="193"/>
      <c r="D3" s="193"/>
      <c r="E3" s="193"/>
      <c r="F3" s="193"/>
      <c r="G3" s="193"/>
      <c r="H3" s="449" t="s">
        <v>160</v>
      </c>
      <c r="I3" s="476"/>
      <c r="J3" s="193"/>
      <c r="K3" s="193"/>
      <c r="L3" s="193"/>
      <c r="M3" s="193"/>
      <c r="N3" s="194"/>
      <c r="Q3" s="24"/>
      <c r="R3" s="24"/>
    </row>
    <row r="4" spans="1:18" ht="15.75" thickBot="1" x14ac:dyDescent="0.3">
      <c r="A4" s="10" t="s">
        <v>0</v>
      </c>
      <c r="B4" s="41">
        <v>0.21</v>
      </c>
      <c r="C4" s="2"/>
      <c r="D4" s="449" t="s">
        <v>20</v>
      </c>
      <c r="E4" s="450"/>
      <c r="F4" s="2"/>
      <c r="G4" s="2"/>
      <c r="H4" s="36" t="s">
        <v>0</v>
      </c>
      <c r="I4" s="45">
        <v>0.21</v>
      </c>
      <c r="J4" s="2"/>
      <c r="K4" s="449" t="s">
        <v>20</v>
      </c>
      <c r="L4" s="450"/>
      <c r="M4" s="2"/>
      <c r="N4" s="5"/>
      <c r="Q4" s="24"/>
      <c r="R4" s="24"/>
    </row>
    <row r="5" spans="1:18" ht="15.75" thickBot="1" x14ac:dyDescent="0.3">
      <c r="A5" s="11" t="s">
        <v>1</v>
      </c>
      <c r="B5" s="42">
        <v>0.79</v>
      </c>
      <c r="C5" s="2"/>
      <c r="D5" s="49" t="s">
        <v>21</v>
      </c>
      <c r="E5" s="40">
        <v>3.76</v>
      </c>
      <c r="F5" s="2"/>
      <c r="G5" s="2"/>
      <c r="H5" s="11" t="s">
        <v>1</v>
      </c>
      <c r="I5" s="42">
        <v>0.79</v>
      </c>
      <c r="J5" s="2"/>
      <c r="K5" s="49" t="s">
        <v>21</v>
      </c>
      <c r="L5" s="40">
        <v>3.76</v>
      </c>
      <c r="M5" s="2"/>
      <c r="N5" s="5"/>
      <c r="O5" s="26"/>
      <c r="Q5" s="24"/>
      <c r="R5" s="24"/>
    </row>
    <row r="6" spans="1:18" ht="15.75" thickBot="1" x14ac:dyDescent="0.3">
      <c r="A6" s="3"/>
      <c r="B6" s="2"/>
      <c r="C6" s="2"/>
      <c r="D6" s="4"/>
      <c r="E6" s="4"/>
      <c r="F6" s="2"/>
      <c r="G6" s="2"/>
      <c r="H6" s="3"/>
      <c r="I6" s="2"/>
      <c r="J6" s="2"/>
      <c r="K6" s="4"/>
      <c r="L6" s="4"/>
      <c r="M6" s="2"/>
      <c r="N6" s="5"/>
      <c r="O6" s="26"/>
      <c r="Q6" s="24"/>
      <c r="R6" s="24"/>
    </row>
    <row r="7" spans="1:18" ht="26.25" customHeight="1" thickBot="1" x14ac:dyDescent="0.3">
      <c r="A7" s="34" t="s">
        <v>2</v>
      </c>
      <c r="B7" s="441"/>
      <c r="C7" s="442"/>
      <c r="D7" s="442"/>
      <c r="E7" s="474"/>
      <c r="F7" s="442"/>
      <c r="G7" s="442"/>
      <c r="H7" s="34" t="s">
        <v>2</v>
      </c>
      <c r="I7" s="441"/>
      <c r="J7" s="442"/>
      <c r="K7" s="442"/>
      <c r="L7" s="442"/>
      <c r="M7" s="442"/>
      <c r="N7" s="443"/>
      <c r="O7" s="26"/>
      <c r="R7" s="24"/>
    </row>
    <row r="8" spans="1:18" ht="15.75" thickBot="1" x14ac:dyDescent="0.3">
      <c r="A8" s="35" t="s">
        <v>3</v>
      </c>
      <c r="B8" s="37" t="s">
        <v>14</v>
      </c>
      <c r="C8" s="2"/>
      <c r="D8" s="182"/>
      <c r="E8" s="13" t="s">
        <v>15</v>
      </c>
      <c r="F8" s="2"/>
      <c r="G8" s="2"/>
      <c r="H8" s="35" t="s">
        <v>3</v>
      </c>
      <c r="I8" s="37" t="s">
        <v>27</v>
      </c>
      <c r="J8" s="2"/>
      <c r="K8" s="4"/>
      <c r="L8" s="52" t="s">
        <v>15</v>
      </c>
      <c r="M8" s="2"/>
      <c r="N8" s="5"/>
      <c r="O8" s="26"/>
    </row>
    <row r="9" spans="1:18" ht="15.75" thickBot="1" x14ac:dyDescent="0.3">
      <c r="A9" s="8"/>
      <c r="B9" s="13" t="s">
        <v>15</v>
      </c>
      <c r="C9" s="2"/>
      <c r="D9" s="36" t="s">
        <v>13</v>
      </c>
      <c r="E9" s="41">
        <f>((2*E10)+(E11))/2</f>
        <v>12.5</v>
      </c>
      <c r="F9" s="2"/>
      <c r="G9" s="2"/>
      <c r="H9" s="8"/>
      <c r="I9" s="17" t="s">
        <v>15</v>
      </c>
      <c r="J9" s="2"/>
      <c r="K9" s="36" t="s">
        <v>13</v>
      </c>
      <c r="L9" s="45">
        <f>((2*L10+(L11)-I12))/2</f>
        <v>14</v>
      </c>
      <c r="M9" s="2"/>
      <c r="N9" s="5"/>
      <c r="O9" s="26"/>
    </row>
    <row r="10" spans="1:18" x14ac:dyDescent="0.25">
      <c r="A10" s="195" t="s">
        <v>4</v>
      </c>
      <c r="B10" s="197">
        <v>8</v>
      </c>
      <c r="C10" s="4"/>
      <c r="D10" s="192" t="s">
        <v>16</v>
      </c>
      <c r="E10" s="130">
        <f>B10</f>
        <v>8</v>
      </c>
      <c r="F10" s="2"/>
      <c r="G10" s="2"/>
      <c r="H10" s="36" t="s">
        <v>4</v>
      </c>
      <c r="I10" s="45">
        <f>B10+B28</f>
        <v>9</v>
      </c>
      <c r="J10" s="2"/>
      <c r="K10" s="388" t="s">
        <v>16</v>
      </c>
      <c r="L10" s="130">
        <f>I10</f>
        <v>9</v>
      </c>
      <c r="M10" s="2"/>
      <c r="N10" s="5"/>
      <c r="P10" s="465"/>
      <c r="Q10" s="465"/>
    </row>
    <row r="11" spans="1:18" ht="15.75" thickBot="1" x14ac:dyDescent="0.3">
      <c r="A11" s="196" t="s">
        <v>5</v>
      </c>
      <c r="B11" s="198">
        <v>18</v>
      </c>
      <c r="C11" s="4"/>
      <c r="D11" s="192" t="s">
        <v>17</v>
      </c>
      <c r="E11" s="130">
        <f>B11/2</f>
        <v>9</v>
      </c>
      <c r="F11" s="2"/>
      <c r="G11" s="2"/>
      <c r="H11" s="388" t="s">
        <v>5</v>
      </c>
      <c r="I11" s="130">
        <f>B11+B29</f>
        <v>22</v>
      </c>
      <c r="J11" s="2"/>
      <c r="K11" s="388" t="s">
        <v>17</v>
      </c>
      <c r="L11" s="130">
        <f>I11/2</f>
        <v>11</v>
      </c>
      <c r="M11" s="2"/>
      <c r="N11" s="5"/>
    </row>
    <row r="12" spans="1:18" ht="15.75" thickBot="1" x14ac:dyDescent="0.3">
      <c r="A12" s="9"/>
      <c r="B12" s="2"/>
      <c r="C12" s="2"/>
      <c r="D12" s="11" t="s">
        <v>18</v>
      </c>
      <c r="E12" s="42">
        <f>3.76*E9</f>
        <v>47</v>
      </c>
      <c r="F12" s="2"/>
      <c r="G12" s="2"/>
      <c r="H12" s="11" t="s">
        <v>26</v>
      </c>
      <c r="I12" s="42">
        <v>1</v>
      </c>
      <c r="J12" s="2"/>
      <c r="K12" s="11" t="s">
        <v>18</v>
      </c>
      <c r="L12" s="42">
        <f>L9*3.76</f>
        <v>52.64</v>
      </c>
      <c r="M12" s="2"/>
      <c r="N12" s="5"/>
      <c r="P12" s="26"/>
      <c r="Q12" s="466"/>
    </row>
    <row r="13" spans="1:18" ht="15.75" thickBot="1" x14ac:dyDescent="0.3">
      <c r="A13" s="36" t="s">
        <v>231</v>
      </c>
      <c r="B13" s="38">
        <f>(E9*((2*E17)+E5*2*E18))</f>
        <v>1716</v>
      </c>
      <c r="C13" s="14" t="s">
        <v>23</v>
      </c>
      <c r="D13" s="475" t="s">
        <v>6</v>
      </c>
      <c r="E13" s="458"/>
      <c r="F13" s="2"/>
      <c r="G13" s="2"/>
      <c r="H13" s="10" t="s">
        <v>231</v>
      </c>
      <c r="I13" s="43">
        <f>(L9*((2*L17)+L5*2*L18))</f>
        <v>1921.92</v>
      </c>
      <c r="J13" s="14" t="s">
        <v>23</v>
      </c>
      <c r="K13" s="457" t="s">
        <v>6</v>
      </c>
      <c r="L13" s="458"/>
      <c r="M13" s="2"/>
      <c r="N13" s="5"/>
      <c r="P13" s="26"/>
      <c r="Q13" s="466"/>
    </row>
    <row r="14" spans="1:18" ht="15.75" thickBot="1" x14ac:dyDescent="0.3">
      <c r="A14" s="11" t="s">
        <v>232</v>
      </c>
      <c r="B14" s="39">
        <f>(B10*E15)+(B11*E16)</f>
        <v>114</v>
      </c>
      <c r="C14" s="16" t="s">
        <v>24</v>
      </c>
      <c r="D14" s="50" t="s">
        <v>7</v>
      </c>
      <c r="E14" s="43">
        <f>(2*E17)+(2*E5*E18)</f>
        <v>137.28</v>
      </c>
      <c r="F14" s="14" t="s">
        <v>19</v>
      </c>
      <c r="G14" s="2"/>
      <c r="H14" s="11" t="s">
        <v>232</v>
      </c>
      <c r="I14" s="39">
        <f>(I10*L15)+(I11*L16)+(I12*L17)</f>
        <v>146</v>
      </c>
      <c r="J14" s="16" t="s">
        <v>24</v>
      </c>
      <c r="K14" s="50" t="s">
        <v>7</v>
      </c>
      <c r="L14" s="43">
        <f>(2*L17)+(2*L5*L18)</f>
        <v>137.28</v>
      </c>
      <c r="M14" s="14" t="s">
        <v>19</v>
      </c>
      <c r="N14" s="5"/>
      <c r="P14" s="26"/>
    </row>
    <row r="15" spans="1:18" ht="15.75" thickBot="1" x14ac:dyDescent="0.3">
      <c r="A15" s="9"/>
      <c r="B15" s="4"/>
      <c r="C15" s="2"/>
      <c r="D15" s="51" t="s">
        <v>8</v>
      </c>
      <c r="E15" s="44">
        <v>12</v>
      </c>
      <c r="F15" s="15" t="s">
        <v>19</v>
      </c>
      <c r="G15" s="2"/>
      <c r="H15" s="9"/>
      <c r="I15" s="4"/>
      <c r="J15" s="2"/>
      <c r="K15" s="388" t="s">
        <v>8</v>
      </c>
      <c r="L15" s="44">
        <v>12</v>
      </c>
      <c r="M15" s="15" t="s">
        <v>19</v>
      </c>
      <c r="N15" s="5"/>
      <c r="P15" s="26"/>
    </row>
    <row r="16" spans="1:18" ht="15" customHeight="1" x14ac:dyDescent="0.25">
      <c r="A16" s="453" t="s">
        <v>22</v>
      </c>
      <c r="B16" s="455">
        <f>B13/B14</f>
        <v>15.052631578947368</v>
      </c>
      <c r="C16" s="2"/>
      <c r="D16" s="51" t="s">
        <v>9</v>
      </c>
      <c r="E16" s="44">
        <v>1</v>
      </c>
      <c r="F16" s="15" t="s">
        <v>19</v>
      </c>
      <c r="G16" s="2"/>
      <c r="H16" s="451" t="s">
        <v>22</v>
      </c>
      <c r="I16" s="444">
        <f>I13/I14</f>
        <v>13.163835616438357</v>
      </c>
      <c r="J16" s="2"/>
      <c r="K16" s="388" t="s">
        <v>9</v>
      </c>
      <c r="L16" s="44">
        <v>1</v>
      </c>
      <c r="M16" s="15" t="s">
        <v>19</v>
      </c>
      <c r="N16" s="5"/>
      <c r="P16" s="26"/>
    </row>
    <row r="17" spans="1:18" ht="15.75" thickBot="1" x14ac:dyDescent="0.3">
      <c r="A17" s="454"/>
      <c r="B17" s="456"/>
      <c r="C17" s="2"/>
      <c r="D17" s="51" t="s">
        <v>10</v>
      </c>
      <c r="E17" s="44">
        <v>16</v>
      </c>
      <c r="F17" s="15" t="s">
        <v>19</v>
      </c>
      <c r="G17" s="2"/>
      <c r="H17" s="452"/>
      <c r="I17" s="445"/>
      <c r="J17" s="2"/>
      <c r="K17" s="388" t="s">
        <v>10</v>
      </c>
      <c r="L17" s="44">
        <v>16</v>
      </c>
      <c r="M17" s="15" t="s">
        <v>19</v>
      </c>
      <c r="N17" s="5"/>
    </row>
    <row r="18" spans="1:18" ht="15.75" thickBot="1" x14ac:dyDescent="0.3">
      <c r="A18" s="8"/>
      <c r="B18" s="2"/>
      <c r="C18" s="2"/>
      <c r="D18" s="11" t="s">
        <v>11</v>
      </c>
      <c r="E18" s="39">
        <v>14</v>
      </c>
      <c r="F18" s="16" t="s">
        <v>19</v>
      </c>
      <c r="G18" s="2"/>
      <c r="H18" s="8"/>
      <c r="I18" s="2"/>
      <c r="J18" s="2"/>
      <c r="K18" s="11" t="s">
        <v>11</v>
      </c>
      <c r="L18" s="39">
        <v>14</v>
      </c>
      <c r="M18" s="16" t="s">
        <v>19</v>
      </c>
      <c r="N18" s="5"/>
    </row>
    <row r="19" spans="1:18" ht="15.75" thickBot="1" x14ac:dyDescent="0.3">
      <c r="A19" s="36" t="s">
        <v>143</v>
      </c>
      <c r="B19" s="150" t="s">
        <v>137</v>
      </c>
      <c r="C19" s="2"/>
      <c r="D19" s="4"/>
      <c r="E19" s="4"/>
      <c r="F19" s="2"/>
      <c r="G19" s="2"/>
      <c r="H19" s="36" t="s">
        <v>234</v>
      </c>
      <c r="I19" s="144">
        <f>L10*(L15+(2*L17))</f>
        <v>396</v>
      </c>
      <c r="J19" s="145" t="s">
        <v>19</v>
      </c>
      <c r="K19" s="4"/>
      <c r="L19" s="4"/>
      <c r="M19" s="2"/>
      <c r="N19" s="5"/>
      <c r="P19" s="24"/>
      <c r="Q19" s="24"/>
      <c r="R19" s="24"/>
    </row>
    <row r="20" spans="1:18" ht="15.75" thickBot="1" x14ac:dyDescent="0.3">
      <c r="A20" s="136">
        <f>B16/13.7</f>
        <v>1.098732232039954</v>
      </c>
      <c r="B20" s="42">
        <f>A20*B16</f>
        <v>16.538811492811938</v>
      </c>
      <c r="C20" s="2"/>
      <c r="D20" s="54"/>
      <c r="E20" s="47">
        <v>259.2</v>
      </c>
      <c r="F20" s="31" t="s">
        <v>30</v>
      </c>
      <c r="G20" s="2"/>
      <c r="H20" s="11" t="s">
        <v>233</v>
      </c>
      <c r="I20" s="46">
        <f>I19/I14</f>
        <v>2.7123287671232879</v>
      </c>
      <c r="J20" s="146" t="s">
        <v>38</v>
      </c>
      <c r="K20" s="55"/>
      <c r="L20" s="47">
        <f>E20+E38</f>
        <v>460.7</v>
      </c>
      <c r="M20" s="21" t="s">
        <v>30</v>
      </c>
      <c r="N20" s="5"/>
      <c r="P20" s="26"/>
      <c r="R20" s="24"/>
    </row>
    <row r="21" spans="1:18" ht="15.75" thickBot="1" x14ac:dyDescent="0.3">
      <c r="A21" s="446" t="s">
        <v>12</v>
      </c>
      <c r="B21" s="447"/>
      <c r="C21" s="447"/>
      <c r="D21" s="447"/>
      <c r="E21" s="447"/>
      <c r="F21" s="447"/>
      <c r="G21" s="448"/>
      <c r="H21" s="407"/>
      <c r="I21" s="4"/>
      <c r="J21" s="2"/>
      <c r="K21" s="471" t="s">
        <v>35</v>
      </c>
      <c r="L21" s="472"/>
      <c r="M21" s="473"/>
      <c r="N21" s="5"/>
    </row>
    <row r="22" spans="1:18" ht="15.75" thickBot="1" x14ac:dyDescent="0.3">
      <c r="A22" s="36" t="s">
        <v>0</v>
      </c>
      <c r="B22" s="45">
        <v>0.21</v>
      </c>
      <c r="C22" s="19"/>
      <c r="D22" s="446" t="s">
        <v>20</v>
      </c>
      <c r="E22" s="448"/>
      <c r="F22" s="19"/>
      <c r="G22" s="20"/>
      <c r="H22" s="408" t="s">
        <v>138</v>
      </c>
      <c r="I22" s="147" t="s">
        <v>137</v>
      </c>
      <c r="J22" s="2"/>
      <c r="K22" s="53" t="s">
        <v>31</v>
      </c>
      <c r="L22" s="129">
        <f>(L10*393.5)+(L11*241.8)</f>
        <v>6201.3</v>
      </c>
      <c r="M22" s="22" t="s">
        <v>32</v>
      </c>
      <c r="N22" s="5"/>
    </row>
    <row r="23" spans="1:18" ht="15.75" thickBot="1" x14ac:dyDescent="0.3">
      <c r="A23" s="11" t="s">
        <v>1</v>
      </c>
      <c r="B23" s="42">
        <v>0.79</v>
      </c>
      <c r="C23" s="2"/>
      <c r="D23" s="49" t="s">
        <v>21</v>
      </c>
      <c r="E23" s="40">
        <v>3.76</v>
      </c>
      <c r="F23" s="2"/>
      <c r="G23" s="5"/>
      <c r="H23" s="133">
        <f>I16/13.7</f>
        <v>0.96086391360863921</v>
      </c>
      <c r="I23" s="42">
        <f>H23*I16</f>
        <v>12.648654608511753</v>
      </c>
      <c r="J23" s="2"/>
      <c r="K23" s="53" t="s">
        <v>34</v>
      </c>
      <c r="L23" s="129">
        <f>L22-L20</f>
        <v>5740.6</v>
      </c>
      <c r="M23" s="22" t="s">
        <v>32</v>
      </c>
      <c r="N23" s="5"/>
    </row>
    <row r="24" spans="1:18" ht="15.75" thickBot="1" x14ac:dyDescent="0.3">
      <c r="A24" s="3"/>
      <c r="B24" s="2"/>
      <c r="C24" s="2"/>
      <c r="D24" s="4"/>
      <c r="E24" s="4"/>
      <c r="F24" s="2"/>
      <c r="G24" s="5"/>
      <c r="H24" s="2"/>
      <c r="I24" s="2"/>
      <c r="J24" s="2"/>
      <c r="K24" s="11" t="s">
        <v>36</v>
      </c>
      <c r="L24" s="46">
        <f>L23/I14</f>
        <v>39.319178082191783</v>
      </c>
      <c r="M24" s="146" t="s">
        <v>33</v>
      </c>
      <c r="N24" s="5"/>
    </row>
    <row r="25" spans="1:18" ht="21" customHeight="1" thickBot="1" x14ac:dyDescent="0.3">
      <c r="A25" s="34" t="s">
        <v>2</v>
      </c>
      <c r="B25" s="462"/>
      <c r="C25" s="463"/>
      <c r="D25" s="463"/>
      <c r="E25" s="463"/>
      <c r="F25" s="463"/>
      <c r="G25" s="464"/>
      <c r="H25" s="409" t="s">
        <v>135</v>
      </c>
      <c r="I25" s="365" t="s">
        <v>47</v>
      </c>
      <c r="J25" s="330" t="s">
        <v>7</v>
      </c>
      <c r="K25" s="459" t="s">
        <v>37</v>
      </c>
      <c r="L25" s="460"/>
      <c r="M25" s="461"/>
      <c r="N25" s="5"/>
    </row>
    <row r="26" spans="1:18" ht="15.75" thickBot="1" x14ac:dyDescent="0.3">
      <c r="A26" s="35" t="s">
        <v>3</v>
      </c>
      <c r="B26" s="37" t="s">
        <v>27</v>
      </c>
      <c r="C26" s="2"/>
      <c r="D26" s="182"/>
      <c r="E26" s="13" t="s">
        <v>15</v>
      </c>
      <c r="F26" s="2"/>
      <c r="G26" s="5"/>
      <c r="H26" s="408" t="s">
        <v>136</v>
      </c>
      <c r="I26" s="366">
        <f>B14/I14</f>
        <v>0.78082191780821919</v>
      </c>
      <c r="J26" s="367">
        <f>B13/I13</f>
        <v>0.89285714285714279</v>
      </c>
      <c r="K26" s="363" t="s">
        <v>31</v>
      </c>
      <c r="L26" s="129">
        <f>(L10*393.5)+(L11*285.8)</f>
        <v>6685.3</v>
      </c>
      <c r="M26" s="23" t="s">
        <v>32</v>
      </c>
      <c r="N26" s="5"/>
    </row>
    <row r="27" spans="1:18" ht="15.75" thickBot="1" x14ac:dyDescent="0.3">
      <c r="A27" s="8"/>
      <c r="B27" s="17" t="s">
        <v>15</v>
      </c>
      <c r="C27" s="2"/>
      <c r="D27" s="27" t="s">
        <v>13</v>
      </c>
      <c r="E27" s="45">
        <f>((2*E28)+(E29)-B30)/2</f>
        <v>1.5</v>
      </c>
      <c r="F27" s="2"/>
      <c r="G27" s="5"/>
      <c r="H27" s="410" t="s">
        <v>12</v>
      </c>
      <c r="I27" s="368">
        <f>B32/I14</f>
        <v>0.21917808219178081</v>
      </c>
      <c r="J27" s="369">
        <f>B31/I13</f>
        <v>0.10714285714285715</v>
      </c>
      <c r="K27" s="364" t="s">
        <v>34</v>
      </c>
      <c r="L27" s="129">
        <f>L26-L20</f>
        <v>6224.6</v>
      </c>
      <c r="M27" s="22" t="s">
        <v>32</v>
      </c>
      <c r="N27" s="5"/>
    </row>
    <row r="28" spans="1:18" ht="15.75" thickBot="1" x14ac:dyDescent="0.3">
      <c r="A28" s="36" t="s">
        <v>4</v>
      </c>
      <c r="B28" s="45">
        <v>1</v>
      </c>
      <c r="C28" s="2"/>
      <c r="D28" s="28" t="s">
        <v>16</v>
      </c>
      <c r="E28" s="130">
        <f>B28</f>
        <v>1</v>
      </c>
      <c r="F28" s="2"/>
      <c r="G28" s="5"/>
      <c r="H28" s="434" t="s">
        <v>230</v>
      </c>
      <c r="I28" s="435">
        <f>I26+I27</f>
        <v>1</v>
      </c>
      <c r="J28" s="436">
        <f>J26+J27</f>
        <v>1</v>
      </c>
      <c r="K28" s="370" t="s">
        <v>36</v>
      </c>
      <c r="L28" s="46">
        <f>L27/I14</f>
        <v>42.634246575342466</v>
      </c>
      <c r="M28" s="146" t="s">
        <v>33</v>
      </c>
      <c r="N28" s="6"/>
    </row>
    <row r="29" spans="1:18" x14ac:dyDescent="0.25">
      <c r="A29" s="388" t="s">
        <v>5</v>
      </c>
      <c r="B29" s="130">
        <v>4</v>
      </c>
      <c r="C29" s="2"/>
      <c r="D29" s="28" t="s">
        <v>17</v>
      </c>
      <c r="E29" s="130">
        <f>B29/2</f>
        <v>2</v>
      </c>
      <c r="F29" s="2"/>
      <c r="G29" s="5"/>
      <c r="H29" s="477" t="s">
        <v>39</v>
      </c>
      <c r="I29" s="478"/>
      <c r="J29" s="465"/>
      <c r="K29" s="465"/>
      <c r="L29" s="465"/>
      <c r="M29" s="465"/>
      <c r="N29" s="465"/>
    </row>
    <row r="30" spans="1:18" ht="15.75" thickBot="1" x14ac:dyDescent="0.3">
      <c r="A30" s="11" t="s">
        <v>26</v>
      </c>
      <c r="B30" s="42">
        <v>1</v>
      </c>
      <c r="C30" s="2"/>
      <c r="D30" s="12" t="s">
        <v>18</v>
      </c>
      <c r="E30" s="42">
        <f>3.76*E27</f>
        <v>5.64</v>
      </c>
      <c r="F30" s="2"/>
      <c r="G30" s="5"/>
      <c r="H30" s="48" t="s">
        <v>29</v>
      </c>
      <c r="I30" s="405"/>
      <c r="J30" s="466"/>
      <c r="K30" s="466"/>
      <c r="L30" s="466"/>
      <c r="M30" s="466"/>
      <c r="N30" s="466"/>
    </row>
    <row r="31" spans="1:18" s="143" customFormat="1" ht="30.75" customHeight="1" thickBot="1" x14ac:dyDescent="0.3">
      <c r="A31" s="137" t="s">
        <v>231</v>
      </c>
      <c r="B31" s="138">
        <f>(E27*((2*E35)+E23*2*E36))</f>
        <v>205.92000000000002</v>
      </c>
      <c r="C31" s="139" t="s">
        <v>23</v>
      </c>
      <c r="D31" s="437" t="s">
        <v>6</v>
      </c>
      <c r="E31" s="438"/>
      <c r="F31" s="140"/>
      <c r="G31" s="141"/>
      <c r="H31" s="411" t="s">
        <v>40</v>
      </c>
      <c r="I31" s="406"/>
      <c r="J31" s="480"/>
      <c r="K31" s="480"/>
      <c r="L31" s="480"/>
      <c r="M31" s="480"/>
      <c r="N31" s="480"/>
      <c r="O31" s="142"/>
      <c r="P31" s="142"/>
    </row>
    <row r="32" spans="1:18" ht="15.75" thickBot="1" x14ac:dyDescent="0.3">
      <c r="A32" s="11" t="s">
        <v>232</v>
      </c>
      <c r="B32" s="39">
        <f>(B28*E33)+(B29*E34)+(B30*E35)</f>
        <v>32</v>
      </c>
      <c r="C32" s="16" t="s">
        <v>24</v>
      </c>
      <c r="D32" s="29" t="s">
        <v>7</v>
      </c>
      <c r="E32" s="43">
        <f>(2*E35)+(2*E23*E36)</f>
        <v>137.28</v>
      </c>
      <c r="F32" s="14" t="s">
        <v>19</v>
      </c>
      <c r="G32" s="5"/>
      <c r="H32" s="479"/>
      <c r="I32" s="480"/>
      <c r="J32" s="466"/>
      <c r="K32" s="466"/>
      <c r="L32" s="466"/>
      <c r="M32" s="466"/>
      <c r="N32" s="466"/>
      <c r="P32" s="24"/>
      <c r="Q32" s="24"/>
      <c r="R32" s="24"/>
    </row>
    <row r="33" spans="1:18" ht="16.5" customHeight="1" thickBot="1" x14ac:dyDescent="0.3">
      <c r="A33" s="9"/>
      <c r="B33" s="4"/>
      <c r="C33" s="2"/>
      <c r="D33" s="28" t="s">
        <v>8</v>
      </c>
      <c r="E33" s="44">
        <v>12</v>
      </c>
      <c r="F33" s="15" t="s">
        <v>19</v>
      </c>
      <c r="G33" s="5"/>
      <c r="H33" s="479"/>
      <c r="I33" s="480"/>
      <c r="J33" s="480"/>
      <c r="K33" s="480"/>
      <c r="L33" s="480"/>
      <c r="M33" s="480"/>
      <c r="N33" s="480"/>
      <c r="P33" s="24"/>
      <c r="Q33" s="24"/>
      <c r="R33" s="24"/>
    </row>
    <row r="34" spans="1:18" ht="15" customHeight="1" x14ac:dyDescent="0.25">
      <c r="A34" s="439" t="s">
        <v>22</v>
      </c>
      <c r="B34" s="444">
        <f>B31/B32</f>
        <v>6.4350000000000005</v>
      </c>
      <c r="C34" s="2"/>
      <c r="D34" s="28" t="s">
        <v>9</v>
      </c>
      <c r="E34" s="44">
        <v>1</v>
      </c>
      <c r="F34" s="15" t="s">
        <v>19</v>
      </c>
      <c r="G34" s="5"/>
      <c r="H34" s="148"/>
      <c r="I34" s="26"/>
      <c r="J34" s="480"/>
      <c r="K34" s="480"/>
      <c r="L34" s="480"/>
      <c r="M34" s="480"/>
      <c r="N34" s="480"/>
      <c r="P34" s="24"/>
      <c r="Q34" s="24"/>
      <c r="R34" s="24"/>
    </row>
    <row r="35" spans="1:18" ht="15.75" thickBot="1" x14ac:dyDescent="0.3">
      <c r="A35" s="440"/>
      <c r="B35" s="445"/>
      <c r="C35" s="2"/>
      <c r="D35" s="28" t="s">
        <v>10</v>
      </c>
      <c r="E35" s="44">
        <v>16</v>
      </c>
      <c r="F35" s="15" t="s">
        <v>19</v>
      </c>
      <c r="G35" s="5"/>
      <c r="H35" s="26"/>
      <c r="I35" s="26"/>
      <c r="J35" s="480"/>
      <c r="K35" s="480"/>
      <c r="L35" s="480"/>
      <c r="M35" s="480"/>
      <c r="N35" s="480"/>
      <c r="P35" s="24"/>
      <c r="Q35" s="24"/>
      <c r="R35" s="24"/>
    </row>
    <row r="36" spans="1:18" ht="15.75" thickBot="1" x14ac:dyDescent="0.3">
      <c r="A36" s="8"/>
      <c r="B36" s="2"/>
      <c r="C36" s="2"/>
      <c r="D36" s="12" t="s">
        <v>11</v>
      </c>
      <c r="E36" s="39">
        <v>14</v>
      </c>
      <c r="F36" s="16" t="s">
        <v>19</v>
      </c>
      <c r="G36" s="5"/>
      <c r="J36" s="466"/>
      <c r="K36" s="466"/>
      <c r="L36" s="466"/>
      <c r="M36" s="466"/>
      <c r="N36" s="466"/>
      <c r="P36" s="24"/>
      <c r="Q36" s="24"/>
      <c r="R36" s="24"/>
    </row>
    <row r="37" spans="1:18" ht="15.75" thickBot="1" x14ac:dyDescent="0.3">
      <c r="A37" s="27" t="s">
        <v>143</v>
      </c>
      <c r="B37" s="147" t="s">
        <v>137</v>
      </c>
      <c r="C37" s="2"/>
      <c r="D37" s="4"/>
      <c r="E37" s="4"/>
      <c r="F37" s="2"/>
      <c r="G37" s="5"/>
      <c r="J37" s="466"/>
      <c r="K37" s="466"/>
      <c r="L37" s="466"/>
      <c r="M37" s="466"/>
      <c r="N37" s="466"/>
      <c r="P37" s="24"/>
      <c r="Q37" s="24"/>
      <c r="R37" s="24"/>
    </row>
    <row r="38" spans="1:18" ht="15.75" thickBot="1" x14ac:dyDescent="0.3">
      <c r="A38" s="136">
        <f>B34/13.7</f>
        <v>0.46970802919708038</v>
      </c>
      <c r="B38" s="42">
        <f>A38*B34</f>
        <v>3.0225711678832123</v>
      </c>
      <c r="C38" s="7"/>
      <c r="D38" s="30"/>
      <c r="E38" s="1">
        <v>201.5</v>
      </c>
      <c r="F38" s="18" t="s">
        <v>30</v>
      </c>
      <c r="G38" s="6"/>
      <c r="P38" s="24"/>
      <c r="Q38" s="24"/>
      <c r="R38" s="24"/>
    </row>
    <row r="39" spans="1:18" x14ac:dyDescent="0.25">
      <c r="P39" s="24"/>
      <c r="Q39" s="24"/>
      <c r="R39" s="24"/>
    </row>
    <row r="40" spans="1:18" x14ac:dyDescent="0.25">
      <c r="P40" s="24"/>
      <c r="Q40" s="24"/>
      <c r="R40" s="24"/>
    </row>
    <row r="41" spans="1:18" x14ac:dyDescent="0.25">
      <c r="P41" s="24"/>
      <c r="Q41" s="24"/>
      <c r="R41" s="24"/>
    </row>
    <row r="42" spans="1:18" x14ac:dyDescent="0.25">
      <c r="P42" s="24"/>
      <c r="Q42" s="24"/>
      <c r="R42" s="24"/>
    </row>
    <row r="43" spans="1:18" x14ac:dyDescent="0.25">
      <c r="P43" s="24"/>
      <c r="Q43" s="24"/>
      <c r="R43" s="24"/>
    </row>
    <row r="57" ht="27" customHeight="1" x14ac:dyDescent="0.25"/>
  </sheetData>
  <mergeCells count="35">
    <mergeCell ref="J36:N36"/>
    <mergeCell ref="J37:N37"/>
    <mergeCell ref="H29:I29"/>
    <mergeCell ref="H32:H33"/>
    <mergeCell ref="I32:I33"/>
    <mergeCell ref="J29:N29"/>
    <mergeCell ref="J30:N30"/>
    <mergeCell ref="J31:N31"/>
    <mergeCell ref="J32:N32"/>
    <mergeCell ref="J33:N35"/>
    <mergeCell ref="P10:Q10"/>
    <mergeCell ref="Q12:Q13"/>
    <mergeCell ref="A1:N1"/>
    <mergeCell ref="A21:G21"/>
    <mergeCell ref="D22:E22"/>
    <mergeCell ref="K21:M21"/>
    <mergeCell ref="B7:G7"/>
    <mergeCell ref="D13:E13"/>
    <mergeCell ref="D4:E4"/>
    <mergeCell ref="H3:I3"/>
    <mergeCell ref="D31:E31"/>
    <mergeCell ref="A34:A35"/>
    <mergeCell ref="I7:N7"/>
    <mergeCell ref="B34:B35"/>
    <mergeCell ref="A2:G2"/>
    <mergeCell ref="I16:I17"/>
    <mergeCell ref="H2:N2"/>
    <mergeCell ref="K4:L4"/>
    <mergeCell ref="H16:H17"/>
    <mergeCell ref="A16:A17"/>
    <mergeCell ref="B16:B17"/>
    <mergeCell ref="K13:L13"/>
    <mergeCell ref="K25:M25"/>
    <mergeCell ref="B25:G25"/>
    <mergeCell ref="A3:B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AO81"/>
  <sheetViews>
    <sheetView zoomScaleNormal="100" workbookViewId="0">
      <selection activeCell="Y25" sqref="Y25"/>
    </sheetView>
  </sheetViews>
  <sheetFormatPr defaultColWidth="9.140625" defaultRowHeight="15" x14ac:dyDescent="0.25"/>
  <cols>
    <col min="1" max="5" width="12.5703125" style="24" bestFit="1" customWidth="1"/>
    <col min="6" max="6" width="12.42578125" style="24" bestFit="1" customWidth="1"/>
    <col min="7" max="9" width="12.5703125" style="24" bestFit="1" customWidth="1"/>
    <col min="10" max="10" width="13.7109375" style="32" bestFit="1" customWidth="1"/>
    <col min="11" max="11" width="12.5703125" style="32" bestFit="1" customWidth="1"/>
    <col min="12" max="12" width="12.85546875" style="32" bestFit="1" customWidth="1"/>
    <col min="13" max="13" width="14.85546875" style="32" bestFit="1" customWidth="1"/>
    <col min="14" max="14" width="12.28515625" style="32" customWidth="1"/>
    <col min="15" max="15" width="15.7109375" style="24" bestFit="1" customWidth="1"/>
    <col min="16" max="16" width="14" style="24" customWidth="1"/>
    <col min="17" max="17" width="15.7109375" style="24" bestFit="1" customWidth="1"/>
    <col min="18" max="18" width="14.7109375" style="24" bestFit="1" customWidth="1"/>
    <col min="19" max="19" width="7.28515625" style="24" bestFit="1" customWidth="1"/>
    <col min="20" max="20" width="17.7109375" style="24" customWidth="1"/>
    <col min="21" max="21" width="21.7109375" style="24" bestFit="1" customWidth="1"/>
    <col min="22" max="22" width="17.7109375" style="24" bestFit="1" customWidth="1"/>
    <col min="23" max="23" width="17.28515625" style="24" bestFit="1" customWidth="1"/>
    <col min="24" max="24" width="10.42578125" style="24" bestFit="1" customWidth="1"/>
    <col min="25" max="25" width="13.5703125" style="24" customWidth="1"/>
    <col min="26" max="26" width="13.7109375" style="24" bestFit="1" customWidth="1"/>
    <col min="27" max="27" width="12.85546875" style="24" bestFit="1" customWidth="1"/>
    <col min="28" max="28" width="21.7109375" style="24" bestFit="1" customWidth="1"/>
    <col min="29" max="29" width="16.7109375" style="24" bestFit="1" customWidth="1"/>
    <col min="30" max="30" width="18.7109375" style="24" customWidth="1"/>
    <col min="31" max="31" width="10.42578125" style="24" bestFit="1" customWidth="1"/>
    <col min="32" max="33" width="13.7109375" style="24" bestFit="1" customWidth="1"/>
    <col min="34" max="34" width="12.85546875" style="24" bestFit="1" customWidth="1"/>
    <col min="35" max="36" width="9.140625" style="24"/>
    <col min="37" max="37" width="10.42578125" style="24" bestFit="1" customWidth="1"/>
    <col min="38" max="39" width="9.140625" style="24"/>
    <col min="40" max="40" width="18.85546875" style="24" bestFit="1" customWidth="1"/>
    <col min="41" max="16384" width="9.140625" style="24"/>
  </cols>
  <sheetData>
    <row r="1" spans="1:41" ht="24" thickBot="1" x14ac:dyDescent="0.4">
      <c r="A1" s="502" t="s">
        <v>139</v>
      </c>
      <c r="B1" s="503"/>
      <c r="C1" s="503"/>
      <c r="D1" s="503"/>
      <c r="E1" s="503"/>
      <c r="F1" s="503"/>
      <c r="G1" s="503"/>
      <c r="H1" s="503"/>
      <c r="I1" s="503"/>
      <c r="J1" s="503"/>
      <c r="K1" s="503"/>
      <c r="L1" s="503"/>
      <c r="M1" s="503"/>
      <c r="N1" s="503"/>
      <c r="O1" s="503"/>
      <c r="P1" s="503"/>
      <c r="Q1" s="503"/>
      <c r="R1" s="503"/>
      <c r="S1" s="503"/>
      <c r="T1" s="503"/>
      <c r="U1" s="503"/>
      <c r="V1" s="503"/>
      <c r="W1" s="503"/>
      <c r="X1" s="503"/>
      <c r="Y1" s="503"/>
      <c r="Z1" s="503"/>
      <c r="AA1" s="503"/>
      <c r="AB1" s="503"/>
      <c r="AC1" s="503"/>
      <c r="AD1" s="503"/>
      <c r="AE1" s="503"/>
      <c r="AF1" s="503"/>
      <c r="AG1" s="503"/>
      <c r="AH1" s="504"/>
    </row>
    <row r="2" spans="1:41" ht="24" thickBot="1" x14ac:dyDescent="0.3">
      <c r="A2" s="498" t="s">
        <v>140</v>
      </c>
      <c r="B2" s="499"/>
      <c r="C2" s="302" t="s">
        <v>4</v>
      </c>
      <c r="D2" s="295" t="s">
        <v>5</v>
      </c>
      <c r="E2" s="296" t="s">
        <v>26</v>
      </c>
      <c r="F2" s="226" t="s">
        <v>144</v>
      </c>
      <c r="G2" s="226" t="s">
        <v>146</v>
      </c>
      <c r="H2" s="266" t="s">
        <v>13</v>
      </c>
      <c r="I2" s="227" t="s">
        <v>145</v>
      </c>
      <c r="J2" s="294" t="s">
        <v>153</v>
      </c>
      <c r="K2" s="297"/>
      <c r="L2" s="298" t="s">
        <v>154</v>
      </c>
      <c r="M2" s="299" t="s">
        <v>164</v>
      </c>
      <c r="O2" s="493" t="str">
        <f>'NOx Model (2)'!B3</f>
        <v>Iso-Octane</v>
      </c>
      <c r="P2" s="494"/>
      <c r="Q2" s="494"/>
      <c r="R2" s="494"/>
      <c r="S2" s="494"/>
      <c r="T2" s="494"/>
      <c r="U2" s="494"/>
      <c r="V2" s="494"/>
      <c r="W2" s="494"/>
      <c r="X2" s="494"/>
      <c r="Y2" s="494"/>
      <c r="Z2" s="494"/>
      <c r="AA2" s="495"/>
    </row>
    <row r="3" spans="1:41" ht="45.75" thickBot="1" x14ac:dyDescent="0.3">
      <c r="A3" s="300" t="str">
        <f>'Air &amp; Fuel Properties'!C19</f>
        <v>Iso-Octane</v>
      </c>
      <c r="B3" s="301" t="str">
        <f>'Air &amp; Fuel Properties'!B19</f>
        <v>C8H18</v>
      </c>
      <c r="C3" s="303">
        <v>8</v>
      </c>
      <c r="D3" s="144">
        <v>18</v>
      </c>
      <c r="E3" s="144">
        <v>0</v>
      </c>
      <c r="F3" s="144">
        <f t="shared" ref="F3:F8" si="0">C3</f>
        <v>8</v>
      </c>
      <c r="G3" s="144">
        <f>D3/2</f>
        <v>9</v>
      </c>
      <c r="H3" s="144">
        <f t="shared" ref="H3:H8" si="1">((2*F3+G3)-E3)/2</f>
        <v>12.5</v>
      </c>
      <c r="I3" s="144">
        <f t="shared" ref="I3:I8" si="2">((2*F3+G3)/2)*3.76</f>
        <v>47</v>
      </c>
      <c r="J3" s="144">
        <f>(F3*$T$19)+(G3*$T$20)</f>
        <v>5324.2000000000007</v>
      </c>
      <c r="K3" s="144">
        <f>'Air &amp; Fuel Properties'!M19</f>
        <v>259.2</v>
      </c>
      <c r="L3" s="144">
        <f t="shared" ref="L3:L8" si="3">J3-K3</f>
        <v>5065.0000000000009</v>
      </c>
      <c r="M3" s="301">
        <f>(($Q$23*10^5)*(($Q$24*10^-6)*(0.4))/($Q$25*$Q$26))</f>
        <v>6.5681391066181384E-6</v>
      </c>
      <c r="O3" s="209" t="s">
        <v>141</v>
      </c>
      <c r="P3" s="210" t="s">
        <v>142</v>
      </c>
      <c r="Q3" s="211" t="s">
        <v>144</v>
      </c>
      <c r="R3" s="211" t="s">
        <v>156</v>
      </c>
      <c r="S3" s="211" t="s">
        <v>170</v>
      </c>
      <c r="T3" s="211" t="s">
        <v>158</v>
      </c>
      <c r="U3" s="211" t="s">
        <v>163</v>
      </c>
      <c r="V3" s="211" t="s">
        <v>162</v>
      </c>
      <c r="W3" s="211" t="s">
        <v>159</v>
      </c>
      <c r="X3" s="214" t="s">
        <v>169</v>
      </c>
      <c r="Y3" s="217" t="s">
        <v>171</v>
      </c>
      <c r="Z3" s="218" t="s">
        <v>172</v>
      </c>
      <c r="AA3" s="233" t="s">
        <v>174</v>
      </c>
    </row>
    <row r="4" spans="1:41" x14ac:dyDescent="0.25">
      <c r="A4" s="134" t="str">
        <f>'Air &amp; Fuel Properties'!C24</f>
        <v>Methanol</v>
      </c>
      <c r="B4" s="131" t="str">
        <f>'Air &amp; Fuel Properties'!B24</f>
        <v>CH4O</v>
      </c>
      <c r="C4" s="132">
        <v>1</v>
      </c>
      <c r="D4" s="129">
        <v>4</v>
      </c>
      <c r="E4" s="129">
        <v>1</v>
      </c>
      <c r="F4" s="129">
        <f t="shared" si="0"/>
        <v>1</v>
      </c>
      <c r="G4" s="129">
        <f t="shared" ref="G4:G8" si="4">D4/2</f>
        <v>2</v>
      </c>
      <c r="H4" s="129">
        <f t="shared" si="1"/>
        <v>1.5</v>
      </c>
      <c r="I4" s="129">
        <f t="shared" si="2"/>
        <v>7.52</v>
      </c>
      <c r="J4" s="129">
        <f t="shared" ref="J4:J8" si="5">(F4*$T$19)+(G4*$T$20)</f>
        <v>877.1</v>
      </c>
      <c r="K4" s="129">
        <f>'Air &amp; Fuel Properties'!M24</f>
        <v>201.5</v>
      </c>
      <c r="L4" s="129">
        <f t="shared" si="3"/>
        <v>675.6</v>
      </c>
      <c r="M4" s="131">
        <f t="shared" ref="M4:M8" si="6">(($Q$23*10^5)*(($Q$24*10^-6)*(0.4))/($Q$25*$Q$26))</f>
        <v>6.5681391066181384E-6</v>
      </c>
      <c r="O4" s="186">
        <v>1</v>
      </c>
      <c r="P4" s="202">
        <f t="shared" ref="P4:P16" si="7">1/O4</f>
        <v>1</v>
      </c>
      <c r="Q4" s="149">
        <f>'NOx Model (2)'!$E$3*O4</f>
        <v>8</v>
      </c>
      <c r="R4" s="149">
        <f>'NOx Model (2)'!$G$3*O4</f>
        <v>9</v>
      </c>
      <c r="S4" s="149">
        <f>'NOx Model (2)'!$D$3*($O$4-O4)</f>
        <v>0</v>
      </c>
      <c r="T4" s="149">
        <f>'NOx Model (2)'!$J$3</f>
        <v>47</v>
      </c>
      <c r="U4" s="149">
        <f>'NOx Model (2)'!$K$3*O4</f>
        <v>5324.2000000000007</v>
      </c>
      <c r="V4" s="149">
        <f>'NOx Model (2)'!$M$3*O4</f>
        <v>259.2</v>
      </c>
      <c r="W4" s="149">
        <f>O4*'NOx Model (2)'!$O$3</f>
        <v>5065.0000000000009</v>
      </c>
      <c r="X4" s="208">
        <f>('NOx Model (1)'!$M$3)/(O4+('NOx Model (2)'!$D$3*(1+3.76)))</f>
        <v>1.0856428275401881E-7</v>
      </c>
      <c r="Y4" s="216">
        <f>(S4*X4)/('NOx Model (1)'!$M$24*10^-6)</f>
        <v>0</v>
      </c>
      <c r="Z4" s="219">
        <f>(T4*X4)/('NOx Model (1)'!$M$24*10^-6)</f>
        <v>0.12756303223597212</v>
      </c>
      <c r="AA4" s="234">
        <f t="shared" ref="AA4:AA16" si="8">X4*(Q4+R4+S4+T4)</f>
        <v>6.948114096257204E-6</v>
      </c>
    </row>
    <row r="5" spans="1:41" x14ac:dyDescent="0.25">
      <c r="A5" s="134" t="str">
        <f>'Air &amp; Fuel Properties'!C25</f>
        <v>Ethanol</v>
      </c>
      <c r="B5" s="131" t="str">
        <f>'Air &amp; Fuel Properties'!B25</f>
        <v>C2H6O</v>
      </c>
      <c r="C5" s="132">
        <v>2</v>
      </c>
      <c r="D5" s="129">
        <v>6</v>
      </c>
      <c r="E5" s="129">
        <v>1</v>
      </c>
      <c r="F5" s="129">
        <f t="shared" si="0"/>
        <v>2</v>
      </c>
      <c r="G5" s="129">
        <f t="shared" si="4"/>
        <v>3</v>
      </c>
      <c r="H5" s="129">
        <f t="shared" si="1"/>
        <v>3</v>
      </c>
      <c r="I5" s="129">
        <f t="shared" si="2"/>
        <v>13.16</v>
      </c>
      <c r="J5" s="129">
        <f t="shared" si="5"/>
        <v>1512.4</v>
      </c>
      <c r="K5" s="129">
        <f>'Air &amp; Fuel Properties'!M25</f>
        <v>235.1</v>
      </c>
      <c r="L5" s="129">
        <f t="shared" si="3"/>
        <v>1277.3000000000002</v>
      </c>
      <c r="M5" s="131">
        <f t="shared" si="6"/>
        <v>6.5681391066181384E-6</v>
      </c>
      <c r="O5" s="184">
        <v>0.99</v>
      </c>
      <c r="P5" s="128">
        <f t="shared" si="7"/>
        <v>1.0101010101010102</v>
      </c>
      <c r="Q5" s="129">
        <f>'NOx Model (2)'!$E$3*O5</f>
        <v>7.92</v>
      </c>
      <c r="R5" s="129">
        <f>'NOx Model (2)'!$G$3*O5</f>
        <v>8.91</v>
      </c>
      <c r="S5" s="129">
        <f>'NOx Model (2)'!$D$3*($O$4-O5)</f>
        <v>0.12500000000000011</v>
      </c>
      <c r="T5" s="129">
        <f>'NOx Model (2)'!$J$3</f>
        <v>47</v>
      </c>
      <c r="U5" s="129">
        <f>'NOx Model (2)'!$K$3*O5</f>
        <v>5270.9580000000005</v>
      </c>
      <c r="V5" s="149">
        <f>'NOx Model (2)'!$M$3*O5</f>
        <v>256.608</v>
      </c>
      <c r="W5" s="129">
        <f>O5*'NOx Model (2)'!$O$3</f>
        <v>5014.3500000000013</v>
      </c>
      <c r="X5" s="212">
        <f>('NOx Model (1)'!$M$3)/(O5+('NOx Model (2)'!$D$3*(1+3.76)))</f>
        <v>1.0858223023008991E-7</v>
      </c>
      <c r="Y5" s="216">
        <f>(S5*X5)/('NOx Model (1)'!$M$24*10^-6)</f>
        <v>3.3931946946903129E-4</v>
      </c>
      <c r="Z5" s="220">
        <f>(T5*X5)/('NOx Model (1)'!$M$24*10^-6)</f>
        <v>0.12758412052035564</v>
      </c>
      <c r="AA5" s="234">
        <f t="shared" si="8"/>
        <v>6.9443765343653996E-6</v>
      </c>
    </row>
    <row r="6" spans="1:41" x14ac:dyDescent="0.25">
      <c r="A6" s="134" t="str">
        <f>'Air &amp; Fuel Properties'!C10</f>
        <v>Propane</v>
      </c>
      <c r="B6" s="131" t="str">
        <f>'Air &amp; Fuel Properties'!B10</f>
        <v>C3H8</v>
      </c>
      <c r="C6" s="132">
        <v>3</v>
      </c>
      <c r="D6" s="129">
        <v>8</v>
      </c>
      <c r="E6" s="129">
        <v>0</v>
      </c>
      <c r="F6" s="129">
        <f t="shared" si="0"/>
        <v>3</v>
      </c>
      <c r="G6" s="129">
        <f t="shared" si="4"/>
        <v>4</v>
      </c>
      <c r="H6" s="129">
        <f t="shared" si="1"/>
        <v>5</v>
      </c>
      <c r="I6" s="129">
        <f t="shared" si="2"/>
        <v>18.799999999999997</v>
      </c>
      <c r="J6" s="129">
        <f t="shared" si="5"/>
        <v>2147.6999999999998</v>
      </c>
      <c r="K6" s="129">
        <f>'Air &amp; Fuel Properties'!M10</f>
        <v>104.7</v>
      </c>
      <c r="L6" s="129">
        <f t="shared" si="3"/>
        <v>2042.9999999999998</v>
      </c>
      <c r="M6" s="131">
        <f t="shared" si="6"/>
        <v>6.5681391066181384E-6</v>
      </c>
      <c r="O6" s="184">
        <v>0.98</v>
      </c>
      <c r="P6" s="128">
        <f t="shared" si="7"/>
        <v>1.0204081632653061</v>
      </c>
      <c r="Q6" s="129">
        <f>'NOx Model (2)'!$E$3*O6</f>
        <v>7.84</v>
      </c>
      <c r="R6" s="129">
        <f>'NOx Model (2)'!$G$3*O6</f>
        <v>8.82</v>
      </c>
      <c r="S6" s="129">
        <f>'NOx Model (2)'!$D$3*($O$4-O6)</f>
        <v>0.25000000000000022</v>
      </c>
      <c r="T6" s="129">
        <f>'NOx Model (2)'!$J$3</f>
        <v>47</v>
      </c>
      <c r="U6" s="129">
        <f>'NOx Model (2)'!$K$3*O6</f>
        <v>5217.7160000000003</v>
      </c>
      <c r="V6" s="149">
        <f>'NOx Model (2)'!$M$3*O6</f>
        <v>254.01599999999999</v>
      </c>
      <c r="W6" s="129">
        <f>O6*'NOx Model (2)'!$O$3</f>
        <v>4963.7000000000007</v>
      </c>
      <c r="X6" s="212">
        <f>('NOx Model (1)'!$M$3)/(O6+('NOx Model (2)'!$D$3*(1+3.76)))</f>
        <v>1.0860018364117293E-7</v>
      </c>
      <c r="Y6" s="216">
        <f>(S6*X6)/('NOx Model (1)'!$M$24*10^-6)</f>
        <v>6.7875114775733144E-4</v>
      </c>
      <c r="Z6" s="220">
        <f>(T6*X6)/('NOx Model (1)'!$M$24*10^-6)</f>
        <v>0.12760521577837822</v>
      </c>
      <c r="AA6" s="234">
        <f t="shared" si="8"/>
        <v>6.9406377365073615E-6</v>
      </c>
    </row>
    <row r="7" spans="1:41" x14ac:dyDescent="0.25">
      <c r="A7" s="134" t="str">
        <f>'Air &amp; Fuel Properties'!C9</f>
        <v>Ethane</v>
      </c>
      <c r="B7" s="131" t="str">
        <f>'Air &amp; Fuel Properties'!B9</f>
        <v>C2H6</v>
      </c>
      <c r="C7" s="132">
        <v>2</v>
      </c>
      <c r="D7" s="129">
        <v>6</v>
      </c>
      <c r="E7" s="129">
        <v>0</v>
      </c>
      <c r="F7" s="129">
        <f t="shared" si="0"/>
        <v>2</v>
      </c>
      <c r="G7" s="129">
        <f t="shared" si="4"/>
        <v>3</v>
      </c>
      <c r="H7" s="129">
        <f t="shared" si="1"/>
        <v>3.5</v>
      </c>
      <c r="I7" s="129">
        <f t="shared" si="2"/>
        <v>13.16</v>
      </c>
      <c r="J7" s="129">
        <f t="shared" si="5"/>
        <v>1512.4</v>
      </c>
      <c r="K7" s="129">
        <f>'Air &amp; Fuel Properties'!M9</f>
        <v>83.8</v>
      </c>
      <c r="L7" s="129">
        <f t="shared" si="3"/>
        <v>1428.6000000000001</v>
      </c>
      <c r="M7" s="131">
        <f t="shared" si="6"/>
        <v>6.5681391066181384E-6</v>
      </c>
      <c r="O7" s="184">
        <v>0.97</v>
      </c>
      <c r="P7" s="128">
        <f t="shared" si="7"/>
        <v>1.0309278350515465</v>
      </c>
      <c r="Q7" s="129">
        <f>'NOx Model (2)'!$E$3*O7</f>
        <v>7.76</v>
      </c>
      <c r="R7" s="129">
        <f>'NOx Model (2)'!$G$3*O7</f>
        <v>8.73</v>
      </c>
      <c r="S7" s="129">
        <f>'NOx Model (2)'!$D$3*($O$4-O7)</f>
        <v>0.37500000000000033</v>
      </c>
      <c r="T7" s="129">
        <f>'NOx Model (2)'!$J$3</f>
        <v>47</v>
      </c>
      <c r="U7" s="129">
        <f>'NOx Model (2)'!$K$3*O7</f>
        <v>5164.4740000000002</v>
      </c>
      <c r="V7" s="149">
        <f>'NOx Model (2)'!$M$3*O7</f>
        <v>251.42399999999998</v>
      </c>
      <c r="W7" s="129">
        <f>O7*'NOx Model (2)'!$O$3</f>
        <v>4913.0500000000011</v>
      </c>
      <c r="X7" s="212">
        <f>('NOx Model (1)'!$M$3)/(O7+('NOx Model (2)'!$D$3*(1+3.76)))</f>
        <v>1.0861814299021231E-7</v>
      </c>
      <c r="Y7" s="216">
        <f>(S7*X7)/('NOx Model (1)'!$M$24*10^-6)</f>
        <v>1.0182950905332415E-3</v>
      </c>
      <c r="Z7" s="220">
        <f>(T7*X7)/('NOx Model (1)'!$M$24*10^-6)</f>
        <v>0.12762631801349947</v>
      </c>
      <c r="AA7" s="234">
        <f t="shared" si="8"/>
        <v>6.9368977020699098E-6</v>
      </c>
    </row>
    <row r="8" spans="1:41" ht="15.75" thickBot="1" x14ac:dyDescent="0.3">
      <c r="A8" s="135" t="str">
        <f>'Air &amp; Fuel Properties'!C26</f>
        <v>Hydrogen</v>
      </c>
      <c r="B8" s="238" t="str">
        <f>'Air &amp; Fuel Properties'!B26</f>
        <v>H2</v>
      </c>
      <c r="C8" s="133">
        <v>0</v>
      </c>
      <c r="D8" s="46">
        <v>2</v>
      </c>
      <c r="E8" s="46">
        <v>0</v>
      </c>
      <c r="F8" s="46">
        <f t="shared" si="0"/>
        <v>0</v>
      </c>
      <c r="G8" s="46">
        <f t="shared" si="4"/>
        <v>1</v>
      </c>
      <c r="H8" s="46">
        <f t="shared" si="1"/>
        <v>0.5</v>
      </c>
      <c r="I8" s="46">
        <f t="shared" si="2"/>
        <v>1.88</v>
      </c>
      <c r="J8" s="46">
        <f t="shared" si="5"/>
        <v>241.8</v>
      </c>
      <c r="K8" s="46">
        <f>'Air &amp; Fuel Properties'!M26</f>
        <v>0</v>
      </c>
      <c r="L8" s="46">
        <f t="shared" si="3"/>
        <v>241.8</v>
      </c>
      <c r="M8" s="238">
        <f t="shared" si="6"/>
        <v>6.5681391066181384E-6</v>
      </c>
      <c r="O8" s="184">
        <v>0.96</v>
      </c>
      <c r="P8" s="128">
        <f t="shared" si="7"/>
        <v>1.0416666666666667</v>
      </c>
      <c r="Q8" s="129">
        <f>'NOx Model (2)'!$E$3*O8</f>
        <v>7.68</v>
      </c>
      <c r="R8" s="129">
        <f>'NOx Model (2)'!$G$3*O8</f>
        <v>8.64</v>
      </c>
      <c r="S8" s="129">
        <f>'NOx Model (2)'!$D$3*($O$4-O8)</f>
        <v>0.50000000000000044</v>
      </c>
      <c r="T8" s="129">
        <f>'NOx Model (2)'!$J$3</f>
        <v>47</v>
      </c>
      <c r="U8" s="129">
        <f>'NOx Model (2)'!$K$3*O8</f>
        <v>5111.2320000000009</v>
      </c>
      <c r="V8" s="149">
        <f>'NOx Model (2)'!$M$3*O8</f>
        <v>248.83199999999999</v>
      </c>
      <c r="W8" s="129">
        <f>O8*'NOx Model (2)'!$O$3</f>
        <v>4862.4000000000005</v>
      </c>
      <c r="X8" s="212">
        <f>('NOx Model (1)'!$M$3)/(O8+('NOx Model (2)'!$D$3*(1+3.76)))</f>
        <v>1.0863610828015446E-7</v>
      </c>
      <c r="Y8" s="216">
        <f>(S8*X8)/('NOx Model (1)'!$M$24*10^-6)</f>
        <v>1.357951353501932E-3</v>
      </c>
      <c r="Z8" s="220">
        <f>(T8*X8)/('NOx Model (1)'!$M$24*10^-6)</f>
        <v>0.12764742722918151</v>
      </c>
      <c r="AA8" s="234">
        <f t="shared" si="8"/>
        <v>6.9331564304394573E-6</v>
      </c>
    </row>
    <row r="9" spans="1:41" x14ac:dyDescent="0.25">
      <c r="A9" s="293"/>
      <c r="B9" s="275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75"/>
      <c r="O9" s="184">
        <v>0.95</v>
      </c>
      <c r="P9" s="128">
        <f t="shared" si="7"/>
        <v>1.0526315789473684</v>
      </c>
      <c r="Q9" s="129">
        <f>'NOx Model (2)'!$E$3*O9</f>
        <v>7.6</v>
      </c>
      <c r="R9" s="129">
        <f>'NOx Model (2)'!$G$3*O9</f>
        <v>8.5499999999999989</v>
      </c>
      <c r="S9" s="129">
        <f>'NOx Model (2)'!$D$3*($O$4-O9)</f>
        <v>0.62500000000000056</v>
      </c>
      <c r="T9" s="129">
        <f>'NOx Model (2)'!$J$3</f>
        <v>47</v>
      </c>
      <c r="U9" s="129">
        <f>'NOx Model (2)'!$K$3*O9</f>
        <v>5057.9900000000007</v>
      </c>
      <c r="V9" s="149">
        <f>'NOx Model (2)'!$M$3*O9</f>
        <v>246.23999999999998</v>
      </c>
      <c r="W9" s="129">
        <f>O9*'NOx Model (2)'!$O$3</f>
        <v>4811.7500000000009</v>
      </c>
      <c r="X9" s="212">
        <f>('NOx Model (1)'!$M$3)/(O9+('NOx Model (2)'!$D$3*(1+3.76)))</f>
        <v>1.0865407951394769E-7</v>
      </c>
      <c r="Y9" s="216">
        <f>(S9*X9)/('NOx Model (1)'!$M$24*10^-6)</f>
        <v>1.6977199924054344E-3</v>
      </c>
      <c r="Z9" s="220">
        <f>(T9*X9)/('NOx Model (1)'!$M$24*10^-6)</f>
        <v>0.12766854342888853</v>
      </c>
      <c r="AA9" s="234">
        <f t="shared" si="8"/>
        <v>6.9294139210020143E-6</v>
      </c>
    </row>
    <row r="10" spans="1:41" ht="16.5" customHeight="1" thickBot="1" x14ac:dyDescent="0.3">
      <c r="O10" s="184">
        <v>0.9</v>
      </c>
      <c r="P10" s="128">
        <f t="shared" si="7"/>
        <v>1.1111111111111112</v>
      </c>
      <c r="Q10" s="129">
        <f>'NOx Model (2)'!$E$3*O10</f>
        <v>7.2</v>
      </c>
      <c r="R10" s="129">
        <f>'NOx Model (2)'!$G$3*O10</f>
        <v>8.1</v>
      </c>
      <c r="S10" s="129">
        <f>'NOx Model (2)'!$D$3*($O$4-O10)</f>
        <v>1.2499999999999998</v>
      </c>
      <c r="T10" s="129">
        <f>'NOx Model (2)'!$J$3</f>
        <v>47</v>
      </c>
      <c r="U10" s="129">
        <f>'NOx Model (2)'!$K$3*O10</f>
        <v>4791.7800000000007</v>
      </c>
      <c r="V10" s="149">
        <f>'NOx Model (2)'!$M$3*O10</f>
        <v>233.28</v>
      </c>
      <c r="W10" s="129">
        <f>O10*'NOx Model (2)'!$O$3</f>
        <v>4558.5000000000009</v>
      </c>
      <c r="X10" s="212">
        <f>('NOx Model (1)'!$M$3)/(O10+('NOx Model (2)'!$D$3*(1+3.76)))</f>
        <v>1.0874402494400892E-7</v>
      </c>
      <c r="Y10" s="216">
        <f>(S10*X10)/('NOx Model (1)'!$M$24*10^-6)</f>
        <v>3.3982507795002788E-3</v>
      </c>
      <c r="Z10" s="220">
        <f>(T10*X10)/('NOx Model (1)'!$M$24*10^-6)</f>
        <v>0.12777422930921048</v>
      </c>
      <c r="AA10" s="234">
        <f t="shared" si="8"/>
        <v>6.9106827851917669E-6</v>
      </c>
    </row>
    <row r="11" spans="1:41" ht="15.75" customHeight="1" thickBot="1" x14ac:dyDescent="0.3">
      <c r="A11" s="507" t="s">
        <v>192</v>
      </c>
      <c r="B11" s="508"/>
      <c r="C11" s="508"/>
      <c r="D11" s="508"/>
      <c r="E11" s="508"/>
      <c r="F11" s="508"/>
      <c r="G11" s="508"/>
      <c r="H11" s="508"/>
      <c r="I11" s="508"/>
      <c r="J11" s="508"/>
      <c r="K11" s="509"/>
      <c r="M11" s="26"/>
      <c r="N11" s="26"/>
      <c r="O11" s="184">
        <v>0.85</v>
      </c>
      <c r="P11" s="128">
        <f t="shared" si="7"/>
        <v>1.1764705882352942</v>
      </c>
      <c r="Q11" s="129">
        <f>'NOx Model (2)'!$E$3*O11</f>
        <v>6.8</v>
      </c>
      <c r="R11" s="129">
        <f>'NOx Model (2)'!$G$3*O11</f>
        <v>7.6499999999999995</v>
      </c>
      <c r="S11" s="129">
        <f>'NOx Model (2)'!$D$3*($O$4-O11)</f>
        <v>1.8750000000000002</v>
      </c>
      <c r="T11" s="129">
        <f>'NOx Model (2)'!$J$3</f>
        <v>47</v>
      </c>
      <c r="U11" s="129">
        <f>'NOx Model (2)'!$K$3*O11</f>
        <v>4525.5700000000006</v>
      </c>
      <c r="V11" s="149">
        <f>'NOx Model (2)'!$M$3*O11</f>
        <v>220.32</v>
      </c>
      <c r="W11" s="129">
        <f>O11*'NOx Model (2)'!$O$3</f>
        <v>4305.2500000000009</v>
      </c>
      <c r="X11" s="212">
        <f>('NOx Model (1)'!$M$3)/(O11+('NOx Model (2)'!$D$3*(1+3.76)))</f>
        <v>1.0883411941372226E-7</v>
      </c>
      <c r="Y11" s="216">
        <f>(S11*X11)/('NOx Model (1)'!$M$24*10^-6)</f>
        <v>5.1015993475182321E-3</v>
      </c>
      <c r="Z11" s="220">
        <f>(T11*X11)/('NOx Model (1)'!$M$24*10^-6)</f>
        <v>0.12788009031112366</v>
      </c>
      <c r="AA11" s="234">
        <f t="shared" si="8"/>
        <v>6.8919206118739622E-6</v>
      </c>
    </row>
    <row r="12" spans="1:41" ht="15.75" customHeight="1" thickBot="1" x14ac:dyDescent="0.3">
      <c r="A12" s="505" t="s">
        <v>127</v>
      </c>
      <c r="B12" s="506"/>
      <c r="C12" s="505" t="s">
        <v>133</v>
      </c>
      <c r="D12" s="506"/>
      <c r="E12" s="505" t="s">
        <v>10</v>
      </c>
      <c r="F12" s="506"/>
      <c r="G12" s="505" t="s">
        <v>11</v>
      </c>
      <c r="H12" s="506"/>
      <c r="I12" s="505" t="s">
        <v>180</v>
      </c>
      <c r="J12" s="506"/>
      <c r="K12" s="236" t="s">
        <v>179</v>
      </c>
      <c r="O12" s="184">
        <v>0.8</v>
      </c>
      <c r="P12" s="128">
        <f t="shared" si="7"/>
        <v>1.25</v>
      </c>
      <c r="Q12" s="129">
        <f>'NOx Model (2)'!$E$3*O12</f>
        <v>6.4</v>
      </c>
      <c r="R12" s="129">
        <f>'NOx Model (2)'!$G$3*O12</f>
        <v>7.2</v>
      </c>
      <c r="S12" s="129">
        <f>'NOx Model (2)'!$D$3*($O$4-O12)</f>
        <v>2.4999999999999996</v>
      </c>
      <c r="T12" s="129">
        <f>'NOx Model (2)'!$J$3</f>
        <v>47</v>
      </c>
      <c r="U12" s="129">
        <f>'NOx Model (2)'!$K$3*O12</f>
        <v>4259.3600000000006</v>
      </c>
      <c r="V12" s="149">
        <f>'NOx Model (2)'!$M$3*O12</f>
        <v>207.36</v>
      </c>
      <c r="W12" s="129">
        <f>O12*'NOx Model (2)'!$O$3</f>
        <v>4052.0000000000009</v>
      </c>
      <c r="X12" s="212">
        <f>('NOx Model (1)'!$M$3)/(O12+('NOx Model (2)'!$D$3*(1+3.76)))</f>
        <v>1.0892436329383315E-7</v>
      </c>
      <c r="Y12" s="216">
        <f>(S12*X12)/('NOx Model (1)'!$M$24*10^-6)</f>
        <v>6.8077727058645709E-3</v>
      </c>
      <c r="Z12" s="220">
        <f>(T12*X12)/('NOx Model (1)'!$M$24*10^-6)</f>
        <v>0.12798612687025396</v>
      </c>
      <c r="AA12" s="234">
        <f t="shared" si="8"/>
        <v>6.8731273238408712E-6</v>
      </c>
    </row>
    <row r="13" spans="1:41" ht="15.75" thickBot="1" x14ac:dyDescent="0.3">
      <c r="A13" s="231" t="s">
        <v>191</v>
      </c>
      <c r="B13" s="232" t="s">
        <v>154</v>
      </c>
      <c r="C13" s="231" t="s">
        <v>191</v>
      </c>
      <c r="D13" s="232" t="s">
        <v>154</v>
      </c>
      <c r="E13" s="231" t="s">
        <v>191</v>
      </c>
      <c r="F13" s="232" t="s">
        <v>154</v>
      </c>
      <c r="G13" s="231" t="s">
        <v>191</v>
      </c>
      <c r="H13" s="232" t="s">
        <v>154</v>
      </c>
      <c r="I13" s="231" t="s">
        <v>191</v>
      </c>
      <c r="J13" s="232" t="s">
        <v>154</v>
      </c>
      <c r="K13" s="240" t="s">
        <v>193</v>
      </c>
      <c r="O13" s="184">
        <v>0.75</v>
      </c>
      <c r="P13" s="128">
        <f t="shared" si="7"/>
        <v>1.3333333333333333</v>
      </c>
      <c r="Q13" s="129">
        <f>'NOx Model (2)'!$E$3*O13</f>
        <v>6</v>
      </c>
      <c r="R13" s="129">
        <f>'NOx Model (2)'!$G$3*O13</f>
        <v>6.75</v>
      </c>
      <c r="S13" s="129">
        <f>'NOx Model (2)'!$D$3*($O$4-O13)</f>
        <v>3.125</v>
      </c>
      <c r="T13" s="129">
        <f>'NOx Model (2)'!$J$3</f>
        <v>47</v>
      </c>
      <c r="U13" s="129">
        <f>'NOx Model (2)'!$K$3*O13</f>
        <v>3993.1500000000005</v>
      </c>
      <c r="V13" s="149">
        <f>'NOx Model (2)'!$M$3*O13</f>
        <v>194.39999999999998</v>
      </c>
      <c r="W13" s="129">
        <f>O13*'NOx Model (2)'!$O$3</f>
        <v>3798.7500000000009</v>
      </c>
      <c r="X13" s="212">
        <f>('NOx Model (1)'!$M$3)/(O13+('NOx Model (2)'!$D$3*(1+3.76)))</f>
        <v>1.0901475695631766E-7</v>
      </c>
      <c r="Y13" s="216">
        <f>(S13*X13)/('NOx Model (1)'!$M$24*10^-6)</f>
        <v>8.5167778872123189E-3</v>
      </c>
      <c r="Z13" s="220">
        <f>(T13*X13)/('NOx Model (1)'!$M$24*10^-6)</f>
        <v>0.12809233942367326</v>
      </c>
      <c r="AA13" s="234">
        <f t="shared" si="8"/>
        <v>6.854302843628473E-6</v>
      </c>
      <c r="AO13" s="25"/>
    </row>
    <row r="14" spans="1:41" ht="15" customHeight="1" x14ac:dyDescent="0.25">
      <c r="A14" s="183">
        <f>(8.5770134353*(10^-19)*(K14^6))-(1.0374875556*(10^-14)*(K14^5))+(4.9689475953*(10^-11)*(K14^4))-(1.2019118054*(10^-7)*(K14^3))+(1.5650954893*(10^-4)*(K14^2))-(4.8239362033*(10^-2)*(K14))+(5.2084519626)</f>
        <v>0.93567016311286633</v>
      </c>
      <c r="B14" s="45">
        <f>Properties!D7*'NOx Model (2)'!$F$3</f>
        <v>27.086399999999998</v>
      </c>
      <c r="C14" s="183">
        <f>((6.6506859177*(10^-19)*(K14^6)) -(7.8984343104*(10^-15)*(K14^5))+(3.6879849877*(10^-11)*(K14^4))-(8.6386228559*(10^-8)*(K14^3))+(1.1074017861*(10^-4)*(K14^2))-(3.1241611608*(10^-2)*(K14))+(3.3006694533))</f>
        <v>0.84738727284174553</v>
      </c>
      <c r="D14" s="45">
        <f>Properties!J7*'NOx Model (2)'!$H$3</f>
        <v>28.779299999999999</v>
      </c>
      <c r="E14" s="183">
        <f>(6.4958291549*(10^-19)*('NOx Model (1)'!K14^6))-(7.8224528491*(10^-15)*('NOx Model (1)'!K14^5))+(3.7120417697*(10^-11)*('NOx Model (1)'!K14^4))-(8.798317617*(10^-8)*('NOx Model (1)'!K14^3))+(1.0982327235*(10^-4)*('NOx Model (1)'!K14^2))-(3.2606444641*(10^-2)*('NOx Model (1)'!K14))+(3.5786489003)</f>
        <v>0.80335651345007886</v>
      </c>
      <c r="F14" s="45">
        <f>Properties!P7*'NOx Model (2)'!$I$3</f>
        <v>0.35500000000000032</v>
      </c>
      <c r="G14" s="183">
        <f>(5.9376621671*(10^-19)*('NOx Model (1)'!K14^6))-(7.1020711589*(10^-15)*('NOx Model (1)'!K14^5))+(3.3460896805*(10^-11)*(K14^4))-(7.8909601634*(10^-8)*(K14^3))+(9.8599769212*(10^-5)*(K14^2))-(2.8172899156*(10^-2)*(K14))+(3.05378908)</f>
        <v>0.78322597736302146</v>
      </c>
      <c r="H14" s="45">
        <f>Properties!V7*'NOx Model (2)'!$J$3</f>
        <v>133.47999999999999</v>
      </c>
      <c r="I14" s="183">
        <f>A14+C14+E14+G14</f>
        <v>3.3696399267677122</v>
      </c>
      <c r="J14" s="45">
        <f>B14+D14+F14+H14</f>
        <v>189.70069999999998</v>
      </c>
      <c r="K14" s="241">
        <v>200</v>
      </c>
      <c r="O14" s="184">
        <v>0.7</v>
      </c>
      <c r="P14" s="128">
        <f t="shared" si="7"/>
        <v>1.4285714285714286</v>
      </c>
      <c r="Q14" s="129">
        <f>'NOx Model (2)'!$E$3*O14</f>
        <v>5.6</v>
      </c>
      <c r="R14" s="129">
        <f>'NOx Model (2)'!$G$3*O14</f>
        <v>6.3</v>
      </c>
      <c r="S14" s="129">
        <f>'NOx Model (2)'!$D$3*($O$4-O14)</f>
        <v>3.7500000000000004</v>
      </c>
      <c r="T14" s="129">
        <f>'NOx Model (2)'!$J$3</f>
        <v>47</v>
      </c>
      <c r="U14" s="129">
        <f>'NOx Model (2)'!$K$3*O14</f>
        <v>3726.94</v>
      </c>
      <c r="V14" s="149">
        <f>'NOx Model (2)'!$M$3*O14</f>
        <v>181.43999999999997</v>
      </c>
      <c r="W14" s="129">
        <f>O14*'NOx Model (2)'!$O$3</f>
        <v>3545.5000000000005</v>
      </c>
      <c r="X14" s="212">
        <f>('NOx Model (1)'!$M$3)/(O14+('NOx Model (2)'!$D$3*(1+3.76)))</f>
        <v>1.0910530077438768E-7</v>
      </c>
      <c r="Y14" s="216">
        <f>(S14*X14)/('NOx Model (1)'!$M$24*10^-6)</f>
        <v>1.0228621947598847E-2</v>
      </c>
      <c r="Z14" s="220">
        <f>(T14*X14)/('NOx Model (1)'!$M$24*10^-6)</f>
        <v>0.12819872840990554</v>
      </c>
      <c r="AA14" s="234">
        <f t="shared" si="8"/>
        <v>6.8354470935153885E-6</v>
      </c>
      <c r="AO14" s="25"/>
    </row>
    <row r="15" spans="1:41" ht="15" customHeight="1" x14ac:dyDescent="0.25">
      <c r="A15" s="128">
        <f>'NOx Model (2)'!$F$3*(8.5770134353*(10^-19)*(K15^6))-(1.0374875556*(10^-14)*(K15^5))+(4.9689475953*(10^-11)*(K15^4))-(1.2019118054*(10^-7)*(K15^3))+(1.5650954893*(10^-4)*(K15^2))-(4.8239362033*(10^-2)*(K15))+(5.2084519626)</f>
        <v>1.2380973135259659</v>
      </c>
      <c r="B15" s="130">
        <f>Properties!D8*'NOx Model (2)'!$F$3</f>
        <v>13.780799999999999</v>
      </c>
      <c r="C15" s="128">
        <f>'NOx Model (2)'!$H$3* ((6.6506859177*(10^-19)*(K15^6)) -(7.8984343104*(10^-15)*(K15^5))+(3.6879849877*(10^-11)*(K15^4))-(8.6386228559*(10^-8)*(K15^3))+(1.1074017861*(10^-4)*(K15^2))-(3.1241611608*(10^-2)*(K15))+(3.3006694533))</f>
        <v>10.676441912897596</v>
      </c>
      <c r="D15" s="130">
        <f>Properties!J8*'NOx Model (2)'!$H$3</f>
        <v>14.256</v>
      </c>
      <c r="E15" s="128">
        <f>'NOx Model (2)'!$I$3*(6.4958291549*(10^-19)*('NOx Model (1)'!K15^6))-(7.8224528491*(10^-15)*('NOx Model (1)'!K15^5))+(3.7120417697*(10^-11)*('NOx Model (1)'!K15^4))-(8.798317617*(10^-8)*('NOx Model (1)'!K15^3))+(1.0982327235*(10^-4)*('NOx Model (1)'!K15^2))-(3.2606444641*(10^-2)*('NOx Model (1)'!K15))+(3.5786489003)</f>
        <v>1.053637475484579</v>
      </c>
      <c r="F15" s="130">
        <f>Properties!P8*'NOx Model (2)'!$I$3</f>
        <v>0.17500000000000016</v>
      </c>
      <c r="G15" s="128">
        <f>'NOx Model (2)'!$J$3*(5.9376621671*(10^-19)*('NOx Model (1)'!K15^6))-(7.1020711589*(10^-15)*('NOx Model (1)'!K15^5))+(3.3460896805*(10^-11)*(K15^4))-(7.8909601634*(10^-8)*(K15^3))+(9.8599769212*(10^-5)*(K15^2))-(2.8172899156*(10^-2)*(K15))+(3.05378908)</f>
        <v>1.0706715883939872</v>
      </c>
      <c r="H15" s="130">
        <f>Properties!V8*'NOx Model (2)'!$J$3</f>
        <v>65.8</v>
      </c>
      <c r="I15" s="128">
        <f t="shared" ref="I15:I78" si="9">A15+C15+E15+G15</f>
        <v>14.038848290302129</v>
      </c>
      <c r="J15" s="130">
        <f t="shared" ref="J15:J78" si="10">B15+D15+F15+H15</f>
        <v>94.011799999999994</v>
      </c>
      <c r="K15" s="242">
        <v>250</v>
      </c>
      <c r="O15" s="184">
        <v>0.65</v>
      </c>
      <c r="P15" s="128">
        <f t="shared" si="7"/>
        <v>1.5384615384615383</v>
      </c>
      <c r="Q15" s="129">
        <f>'NOx Model (2)'!$E$3*O15</f>
        <v>5.2</v>
      </c>
      <c r="R15" s="129">
        <f>'NOx Model (2)'!$G$3*O15</f>
        <v>5.8500000000000005</v>
      </c>
      <c r="S15" s="129">
        <f>'NOx Model (2)'!$D$3*($O$4-O15)</f>
        <v>4.375</v>
      </c>
      <c r="T15" s="129">
        <f>'NOx Model (2)'!$J$3</f>
        <v>47</v>
      </c>
      <c r="U15" s="129">
        <f>'NOx Model (2)'!$K$3*O15</f>
        <v>3460.7300000000005</v>
      </c>
      <c r="V15" s="149">
        <f>'NOx Model (2)'!$M$3*O15</f>
        <v>168.48</v>
      </c>
      <c r="W15" s="129">
        <f>O15*'NOx Model (2)'!$O$3</f>
        <v>3292.2500000000009</v>
      </c>
      <c r="X15" s="212">
        <f>('NOx Model (1)'!$M$3)/(O15+('NOx Model (2)'!$D$3*(1+3.76)))</f>
        <v>1.0919599512249607E-7</v>
      </c>
      <c r="Y15" s="216">
        <f>(S15*X15)/('NOx Model (1)'!$M$24*10^-6)</f>
        <v>1.1943311966523009E-2</v>
      </c>
      <c r="Z15" s="220">
        <f>(T15*X15)/('NOx Model (1)'!$M$24*10^-6)</f>
        <v>0.12830529426893289</v>
      </c>
      <c r="AA15" s="234">
        <f t="shared" si="8"/>
        <v>6.8165599955218171E-6</v>
      </c>
      <c r="AO15" s="25"/>
    </row>
    <row r="16" spans="1:41" ht="15" customHeight="1" thickBot="1" x14ac:dyDescent="0.3">
      <c r="A16" s="128">
        <f>'NOx Model (2)'!$F$3*(8.5770134353*(10^-19)*(K16^6))-(1.0374875556*(10^-14)*(K16^5))+(4.9689475953*(10^-11)*(K16^4))-(1.2019118054*(10^-7)*(K16^3))+(1.5650954893*(10^-4)*(K16^2))-(4.8239362033*(10^-2)*(K16))+(5.2084519626)</f>
        <v>1.9233399460635709</v>
      </c>
      <c r="B16" s="130">
        <f>Properties!D9*'NOx Model (2)'!$F$3</f>
        <v>0</v>
      </c>
      <c r="C16" s="128">
        <f>'NOx Model (2)'!$H$3* ((6.6506859177*(10^-19)*(K16^6)) -(7.8984343104*(10^-15)*(K16^5))+(3.6879849877*(10^-11)*(K16^4))-(8.6386228559*(10^-8)*(K16^3))+(1.1074017861*(10^-4)*(K16^2))-(3.1241611608*(10^-2)*(K16))+(3.3006694533))</f>
        <v>16.140411700263304</v>
      </c>
      <c r="D16" s="130">
        <f>Properties!J9*'NOx Model (2)'!$H$3</f>
        <v>0</v>
      </c>
      <c r="E16" s="128">
        <f>'NOx Model (2)'!$I$3*(6.4958291549*(10^-19)*('NOx Model (1)'!K16^6))-(7.8224528491*(10^-15)*('NOx Model (1)'!K16^5))+(3.7120417697*(10^-11)*('NOx Model (1)'!K16^4))-(8.798317617*(10^-8)*('NOx Model (1)'!K16^3))+(1.0982327235*(10^-4)*('NOx Model (1)'!K16^2))-(3.2606444641*(10^-2)*('NOx Model (1)'!K16))+(3.5786489003)</f>
        <v>1.5607341262568299</v>
      </c>
      <c r="F16" s="130">
        <f>Properties!P9*'NOx Model (2)'!$I$3</f>
        <v>0</v>
      </c>
      <c r="G16" s="128">
        <f>'NOx Model (2)'!$J$3*(5.9376621671*(10^-19)*('NOx Model (1)'!K16^6))-(7.1020711589*(10^-15)*('NOx Model (1)'!K16^5))+(3.3460896805*(10^-11)*(K16^4))-(7.8909601634*(10^-8)*(K16^3))+(9.8599769212*(10^-5)*(K16^2))-(2.8172899156*(10^-2)*(K16))+(3.05378908)</f>
        <v>1.5928187011824293</v>
      </c>
      <c r="H16" s="130">
        <f>Properties!V9*'NOx Model (2)'!$J$3</f>
        <v>0</v>
      </c>
      <c r="I16" s="128">
        <f t="shared" si="9"/>
        <v>21.217304473766134</v>
      </c>
      <c r="J16" s="130">
        <f t="shared" si="10"/>
        <v>0</v>
      </c>
      <c r="K16" s="242">
        <v>298</v>
      </c>
      <c r="O16" s="185">
        <v>0.6</v>
      </c>
      <c r="P16" s="136">
        <f t="shared" si="7"/>
        <v>1.6666666666666667</v>
      </c>
      <c r="Q16" s="46">
        <f>'NOx Model (2)'!$E$3*O16</f>
        <v>4.8</v>
      </c>
      <c r="R16" s="46">
        <f>'NOx Model (2)'!$G$3*O16</f>
        <v>5.3999999999999995</v>
      </c>
      <c r="S16" s="46">
        <f>'NOx Model (2)'!$D$3*($O$4-O16)</f>
        <v>5</v>
      </c>
      <c r="T16" s="46">
        <f>'NOx Model (2)'!$J$3</f>
        <v>47</v>
      </c>
      <c r="U16" s="46">
        <f>'NOx Model (2)'!$K$3*O16</f>
        <v>3194.5200000000004</v>
      </c>
      <c r="V16" s="187">
        <f>'NOx Model (2)'!$M$3*O16</f>
        <v>155.51999999999998</v>
      </c>
      <c r="W16" s="46">
        <f>O16*'NOx Model (2)'!$O$3</f>
        <v>3039.0000000000005</v>
      </c>
      <c r="X16" s="213">
        <f>('NOx Model (1)'!$M$3)/(O16+('NOx Model (2)'!$D$3*(1+3.76)))</f>
        <v>1.0928684037634173E-7</v>
      </c>
      <c r="Y16" s="223">
        <f>(S16*X16)/('NOx Model (1)'!$M$24*10^-6)</f>
        <v>1.3660855047042716E-2</v>
      </c>
      <c r="Z16" s="221">
        <f>(T16*X16)/('NOx Model (1)'!$M$24*10^-6)</f>
        <v>0.12841203744220156</v>
      </c>
      <c r="AA16" s="235">
        <f t="shared" si="8"/>
        <v>6.7976414714084564E-6</v>
      </c>
      <c r="AO16" s="25"/>
    </row>
    <row r="17" spans="1:41" ht="15" customHeight="1" thickBot="1" x14ac:dyDescent="0.3">
      <c r="A17" s="128">
        <f>'NOx Model (2)'!$F$3*(8.5770134353*(10^-19)*(K17^6))-(1.0374875556*(10^-14)*(K17^5))+(4.9689475953*(10^-11)*(K17^4))-(1.2019118054*(10^-7)*(K17^3))+(1.5650954893*(10^-4)*(K17^2))-(4.8239362033*(10^-2)*(K17))+(5.2084519626)</f>
        <v>1.959566782531331</v>
      </c>
      <c r="B17" s="130">
        <f>Properties!D10*'NOx Model (2)'!$F$3</f>
        <v>0.5544</v>
      </c>
      <c r="C17" s="128">
        <f>'NOx Model (2)'!$H$3* ((6.6506859177*(10^-19)*(K17^6)) -(7.8984343104*(10^-15)*(K17^5))+(3.6879849877*(10^-11)*(K17^4))-(8.6386228559*(10^-8)*(K17^3))+(1.1074017861*(10^-4)*(K17^2))-(3.1241611608*(10^-2)*(K17))+(3.3006694533))</f>
        <v>16.415715378207885</v>
      </c>
      <c r="D17" s="130">
        <f>Properties!J10*'NOx Model (2)'!$H$3</f>
        <v>0.53459999999999996</v>
      </c>
      <c r="E17" s="128">
        <f>'NOx Model (2)'!$I$3*(6.4958291549*(10^-19)*('NOx Model (1)'!K17^6))-(7.8224528491*(10^-15)*('NOx Model (1)'!K17^5))+(3.7120417697*(10^-11)*('NOx Model (1)'!K17^4))-(8.798317617*(10^-8)*('NOx Model (1)'!K17^3))+(1.0982327235*(10^-4)*('NOx Model (1)'!K17^2))-(3.2606444641*(10^-2)*('NOx Model (1)'!K17))+(3.5786489003)</f>
        <v>1.586990279075561</v>
      </c>
      <c r="F17" s="130">
        <f>Properties!P10*'NOx Model (2)'!$I$3</f>
        <v>6.2500000000000056E-3</v>
      </c>
      <c r="G17" s="128">
        <f>'NOx Model (2)'!$J$3*(5.9376621671*(10^-19)*('NOx Model (1)'!K17^6))-(7.1020711589*(10^-15)*('NOx Model (1)'!K17^5))+(3.3460896805*(10^-11)*(K17^4))-(7.8909601634*(10^-8)*(K17^3))+(9.8599769212*(10^-5)*(K17^2))-(2.8172899156*(10^-2)*(K17))+(3.05378908)</f>
        <v>1.6194587612495082</v>
      </c>
      <c r="H17" s="130">
        <f>Properties!V10*'NOx Model (2)'!$J$3</f>
        <v>2.35</v>
      </c>
      <c r="I17" s="128">
        <f t="shared" si="9"/>
        <v>21.581731201064287</v>
      </c>
      <c r="J17" s="130">
        <f t="shared" si="10"/>
        <v>3.4452500000000001</v>
      </c>
      <c r="K17" s="242">
        <v>300</v>
      </c>
      <c r="L17" s="32" t="s">
        <v>235</v>
      </c>
      <c r="AO17" s="224"/>
    </row>
    <row r="18" spans="1:41" ht="15" customHeight="1" thickBot="1" x14ac:dyDescent="0.3">
      <c r="A18" s="128">
        <f>'NOx Model (2)'!$F$3*(8.5770134353*(10^-19)*(K18^6))-(1.0374875556*(10^-14)*(K18^5))+(4.9689475953*(10^-11)*(K18^4))-(1.2019118054*(10^-7)*(K18^3))+(1.5650954893*(10^-4)*(K18^2))-(4.8239362033*(10^-2)*(K18))+(5.2084519626)</f>
        <v>3.047547364671841</v>
      </c>
      <c r="B18" s="130">
        <f>Properties!D11*'NOx Model (2)'!$F$3</f>
        <v>15.7608</v>
      </c>
      <c r="C18" s="128">
        <f>'NOx Model (2)'!$H$3* ((6.6506859177*(10^-19)*(K18^6)) -(7.8984343104*(10^-15)*(K18^5))+(3.6879849877*(10^-11)*(K18^4))-(8.6386228559*(10^-8)*(K18^3))+(1.1074017861*(10^-4)*(K18^2))-(3.1241611608*(10^-2)*(K18))+(3.3006694533))</f>
        <v>24.423508241306703</v>
      </c>
      <c r="D18" s="130">
        <f>Properties!J11*'NOx Model (2)'!$H$3</f>
        <v>15.592500000000001</v>
      </c>
      <c r="E18" s="128">
        <f>'NOx Model (2)'!$I$3*(6.4958291549*(10^-19)*('NOx Model (1)'!K18^6))-(7.8224528491*(10^-15)*('NOx Model (1)'!K18^5))+(3.7120417697*(10^-11)*('NOx Model (1)'!K18^4))-(8.798317617*(10^-8)*('NOx Model (1)'!K18^3))+(1.0982327235*(10^-4)*('NOx Model (1)'!K18^2))-(3.2606444641*(10^-2)*('NOx Model (1)'!K18))+(3.5786489003)</f>
        <v>2.3635680027714914</v>
      </c>
      <c r="F18" s="130">
        <f>Properties!P11*'NOx Model (2)'!$I$3</f>
        <v>0.19125000000000017</v>
      </c>
      <c r="G18" s="128">
        <f>'NOx Model (2)'!$J$3*(5.9376621671*(10^-19)*('NOx Model (1)'!K18^6))-(7.1020711589*(10^-15)*('NOx Model (1)'!K18^5))+(3.3460896805*(10^-11)*(K18^4))-(7.8909601634*(10^-8)*(K18^3))+(9.8599769212*(10^-5)*(K18^2))-(2.8172899156*(10^-2)*(K18))+(3.05378908)</f>
        <v>2.4046186083242174</v>
      </c>
      <c r="H18" s="130">
        <f>Properties!V11*'NOx Model (2)'!$J$3</f>
        <v>70.97</v>
      </c>
      <c r="I18" s="128">
        <f t="shared" si="9"/>
        <v>32.239242217074249</v>
      </c>
      <c r="J18" s="130">
        <f t="shared" si="10"/>
        <v>102.51455</v>
      </c>
      <c r="K18" s="242">
        <v>350</v>
      </c>
      <c r="M18" s="24"/>
      <c r="N18" s="25"/>
      <c r="O18" s="25"/>
      <c r="S18" s="190"/>
      <c r="T18" s="181" t="s">
        <v>151</v>
      </c>
      <c r="AO18" s="225"/>
    </row>
    <row r="19" spans="1:41" x14ac:dyDescent="0.25">
      <c r="A19" s="128">
        <f>'NOx Model (2)'!$F$3*(8.5770134353*(10^-19)*(K19^6))-(1.0374875556*(10^-14)*(K19^5))+(4.9689475953*(10^-11)*(K19^4))-(1.2019118054*(10^-7)*(K19^3))+(1.5650954893*(10^-4)*(K19^2))-(4.8239362033*(10^-2)*(K19))+(5.2084519626)</f>
        <v>4.4556353883919062</v>
      </c>
      <c r="B19" s="130">
        <f>Properties!D12*'NOx Model (2)'!$F$3</f>
        <v>31.68</v>
      </c>
      <c r="C19" s="128">
        <f>'NOx Model (2)'!$H$3* ((6.6506859177*(10^-19)*(K19^6)) -(7.8984343104*(10^-15)*(K19^5))+(3.6879849877*(10^-11)*(K19^4))-(8.6386228559*(10^-8)*(K19^3))+(1.1074017861*(10^-4)*(K19^2))-(3.1241611608*(10^-2)*(K19))+(3.3006694533))</f>
        <v>34.389954357162381</v>
      </c>
      <c r="D19" s="130">
        <f>Properties!J12*'NOx Model (2)'!$H$3</f>
        <v>30.828600000000002</v>
      </c>
      <c r="E19" s="128">
        <f>'NOx Model (2)'!$I$3*(6.4958291549*(10^-19)*('NOx Model (1)'!K19^6))-(7.8224528491*(10^-15)*('NOx Model (1)'!K19^5))+(3.7120417697*(10^-11)*('NOx Model (1)'!K19^4))-(8.798317617*(10^-8)*('NOx Model (1)'!K19^3))+(1.0982327235*(10^-4)*('NOx Model (1)'!K19^2))-(3.2606444641*(10^-2)*('NOx Model (1)'!K19))+(3.5786489003)</f>
        <v>3.3473847073411465</v>
      </c>
      <c r="F19" s="130">
        <f>Properties!P12*'NOx Model (2)'!$I$3</f>
        <v>0.37875000000000031</v>
      </c>
      <c r="G19" s="128">
        <f>'NOx Model (2)'!$J$3*(5.9376621671*(10^-19)*('NOx Model (1)'!K19^6))-(7.1020711589*(10^-15)*('NOx Model (1)'!K19^5))+(3.3460896805*(10^-11)*(K19^4))-(7.8909601634*(10^-8)*(K19^3))+(9.8599769212*(10^-5)*(K19^2))-(2.8172899156*(10^-2)*(K19))+(3.05378908)</f>
        <v>3.4085588583961397</v>
      </c>
      <c r="H19" s="130">
        <f>Properties!V12*'NOx Model (2)'!$J$3</f>
        <v>139.59</v>
      </c>
      <c r="I19" s="128">
        <f t="shared" si="9"/>
        <v>45.601533311291576</v>
      </c>
      <c r="J19" s="130">
        <f t="shared" si="10"/>
        <v>202.47735</v>
      </c>
      <c r="K19" s="242">
        <v>400</v>
      </c>
      <c r="M19" s="481" t="s">
        <v>160</v>
      </c>
      <c r="N19" s="482"/>
      <c r="O19" s="25"/>
      <c r="P19" s="199" t="s">
        <v>161</v>
      </c>
      <c r="S19" s="191" t="s">
        <v>147</v>
      </c>
      <c r="T19" s="45">
        <f>-(-393.5)</f>
        <v>393.5</v>
      </c>
      <c r="AO19" s="225"/>
    </row>
    <row r="20" spans="1:41" ht="15.75" thickBot="1" x14ac:dyDescent="0.3">
      <c r="A20" s="128">
        <f>'NOx Model (2)'!$F$3*(8.5770134353*(10^-19)*(K20^6))-(1.0374875556*(10^-14)*(K20^5))+(4.9689475953*(10^-11)*(K20^4))-(1.2019118054*(10^-7)*(K20^3))+(1.5650954893*(10^-4)*(K20^2))-(4.8239362033*(10^-2)*(K20))+(5.2084519626)</f>
        <v>6.1440422547082374</v>
      </c>
      <c r="B20" s="130">
        <f>Properties!D13*'NOx Model (2)'!$F$3</f>
        <v>48.391200000000005</v>
      </c>
      <c r="C20" s="128">
        <f>'NOx Model (2)'!$H$3* ((6.6506859177*(10^-19)*(K20^6)) -(7.8984343104*(10^-15)*(K20^5))+(3.6879849877*(10^-11)*(K20^4))-(8.6386228559*(10^-8)*(K20^3))+(1.1074017861*(10^-4)*(K20^2))-(3.1241611608*(10^-2)*(K20))+(3.3006694533))</f>
        <v>46.037648448275995</v>
      </c>
      <c r="D20" s="130">
        <f>Properties!J13*'NOx Model (2)'!$H$3</f>
        <v>46.242900000000006</v>
      </c>
      <c r="E20" s="128">
        <f>'NOx Model (2)'!$I$3*(6.4958291549*(10^-19)*('NOx Model (1)'!K20^6))-(7.8224528491*(10^-15)*('NOx Model (1)'!K20^5))+(3.7120417697*(10^-11)*('NOx Model (1)'!K20^4))-(8.798317617*(10^-8)*('NOx Model (1)'!K20^3))+(1.0982327235*(10^-4)*('NOx Model (1)'!K20^2))-(3.2606444641*(10^-2)*('NOx Model (1)'!K20))+(3.5786489003)</f>
        <v>4.5059916547423517</v>
      </c>
      <c r="F20" s="130">
        <f>Properties!P13*'NOx Model (2)'!$I$3</f>
        <v>0.56875000000000053</v>
      </c>
      <c r="G20" s="128">
        <f>'NOx Model (2)'!$J$3*(5.9376621671*(10^-19)*('NOx Model (1)'!K20^6))-(7.1020711589*(10^-15)*('NOx Model (1)'!K20^5))+(3.3460896805*(10^-11)*(K20^4))-(7.8909601634*(10^-8)*(K20^3))+(9.8599769212*(10^-5)*(K20^2))-(2.8172899156*(10^-2)*(K20))+(3.05378908)</f>
        <v>4.6245862769662747</v>
      </c>
      <c r="H20" s="130">
        <f>Properties!V13*'NOx Model (2)'!$J$3</f>
        <v>208.68</v>
      </c>
      <c r="I20" s="128">
        <f t="shared" si="9"/>
        <v>61.312268634692863</v>
      </c>
      <c r="J20" s="130">
        <f t="shared" si="10"/>
        <v>303.88285000000002</v>
      </c>
      <c r="K20" s="242">
        <v>450</v>
      </c>
      <c r="M20" s="253" t="s">
        <v>0</v>
      </c>
      <c r="N20" s="130">
        <v>0.21</v>
      </c>
      <c r="P20" s="200">
        <v>1800</v>
      </c>
      <c r="S20" s="188" t="s">
        <v>148</v>
      </c>
      <c r="T20" s="130">
        <f>-(-241.8)</f>
        <v>241.8</v>
      </c>
      <c r="AO20" s="225"/>
    </row>
    <row r="21" spans="1:41" ht="15.75" thickBot="1" x14ac:dyDescent="0.3">
      <c r="A21" s="128">
        <f>'NOx Model (2)'!$F$3*(8.5770134353*(10^-19)*(K21^6))-(1.0374875556*(10^-14)*(K21^5))+(4.9689475953*(10^-11)*(K21^4))-(1.2019118054*(10^-7)*(K21^3))+(1.5650954893*(10^-4)*(K21^2))-(4.8239362033*(10^-2)*(K21))+(5.2084519626)</f>
        <v>8.0797785382993386</v>
      </c>
      <c r="B21" s="130">
        <f>Properties!D14*'NOx Model (2)'!$F$3</f>
        <v>65.736000000000004</v>
      </c>
      <c r="C21" s="128">
        <f>'NOx Model (2)'!$H$3* ((6.6506859177*(10^-19)*(K21^6)) -(7.8984343104*(10^-15)*(K21^5))+(3.6879849877*(10^-11)*(K21^4))-(8.6386228559*(10^-8)*(K21^3))+(1.1074017861*(10^-4)*(K21^2))-(3.1241611608*(10^-2)*(K21))+(3.3006694533))</f>
        <v>59.119507026414624</v>
      </c>
      <c r="D21" s="130">
        <f>Properties!J14*'NOx Model (2)'!$H$3</f>
        <v>61.924500000000002</v>
      </c>
      <c r="E21" s="128">
        <f>'NOx Model (2)'!$I$3*(6.4958291549*(10^-19)*('NOx Model (1)'!K21^6))-(7.8224528491*(10^-15)*('NOx Model (1)'!K21^5))+(3.7120417697*(10^-11)*('NOx Model (1)'!K21^4))-(8.798317617*(10^-8)*('NOx Model (1)'!K21^3))+(1.0982327235*(10^-4)*('NOx Model (1)'!K21^2))-(3.2606444641*(10^-2)*('NOx Model (1)'!K21))+(3.5786489003)</f>
        <v>5.8101908172099437</v>
      </c>
      <c r="F21" s="130">
        <f>Properties!P14*'NOx Model (2)'!$I$3</f>
        <v>0.76250000000000062</v>
      </c>
      <c r="G21" s="128">
        <f>'NOx Model (2)'!$J$3*(5.9376621671*(10^-19)*('NOx Model (1)'!K21^6))-(7.1020711589*(10^-15)*('NOx Model (1)'!K21^5))+(3.3460896805*(10^-11)*(K21^4))-(7.8909601634*(10^-8)*(K21^3))+(9.8599769212*(10^-5)*(K21^2))-(2.8172899156*(10^-2)*(K21))+(3.05378908)</f>
        <v>6.0589949927432816</v>
      </c>
      <c r="H21" s="130">
        <f>Properties!V14*'NOx Model (2)'!$J$3</f>
        <v>278.24</v>
      </c>
      <c r="I21" s="128">
        <f t="shared" si="9"/>
        <v>79.068471374667183</v>
      </c>
      <c r="J21" s="130">
        <f t="shared" si="10"/>
        <v>406.66300000000001</v>
      </c>
      <c r="K21" s="242">
        <v>500</v>
      </c>
      <c r="M21" s="11" t="s">
        <v>1</v>
      </c>
      <c r="N21" s="42">
        <v>0.79</v>
      </c>
      <c r="S21" s="188" t="s">
        <v>155</v>
      </c>
      <c r="T21" s="130">
        <f>-(-283)</f>
        <v>283</v>
      </c>
      <c r="AO21" s="225"/>
    </row>
    <row r="22" spans="1:41" ht="15.75" thickBot="1" x14ac:dyDescent="0.3">
      <c r="A22" s="128">
        <f>'NOx Model (2)'!$F$3*(8.5770134353*(10^-19)*(K22^6))-(1.0374875556*(10^-14)*(K22^5))+(4.9689475953*(10^-11)*(K22^4))-(1.2019118054*(10^-7)*(K22^3))+(1.5650954893*(10^-4)*(K22^2))-(4.8239362033*(10^-2)*(K22))+(5.2084519626)</f>
        <v>10.236914509784642</v>
      </c>
      <c r="B22" s="130">
        <f>Properties!D15*'NOx Model (2)'!$F$3</f>
        <v>83.635199999999998</v>
      </c>
      <c r="C22" s="128">
        <f>'NOx Model (2)'!$H$3* ((6.6506859177*(10^-19)*(K22^6)) -(7.8984343104*(10^-15)*(K22^5))+(3.6879849877*(10^-11)*(K22^4))-(8.6386228559*(10^-8)*(K22^3))+(1.1074017861*(10^-4)*(K22^2))-(3.1241611608*(10^-2)*(K22))+(3.3006694533))</f>
        <v>73.416695979157623</v>
      </c>
      <c r="D22" s="130">
        <f>Properties!J15*'NOx Model (2)'!$H$3</f>
        <v>77.784300000000002</v>
      </c>
      <c r="E22" s="128">
        <f>'NOx Model (2)'!$I$3*(6.4958291549*(10^-19)*('NOx Model (1)'!K22^6))-(7.8224528491*(10^-15)*('NOx Model (1)'!K22^5))+(3.7120417697*(10^-11)*('NOx Model (1)'!K22^4))-(8.798317617*(10^-8)*('NOx Model (1)'!K22^3))+(1.0982327235*(10^-4)*('NOx Model (1)'!K22^2))-(3.2606444641*(10^-2)*('NOx Model (1)'!K22))+(3.5786489003)</f>
        <v>7.2337492998197108</v>
      </c>
      <c r="F22" s="130">
        <f>Properties!P15*'NOx Model (2)'!$I$3</f>
        <v>0.95750000000000091</v>
      </c>
      <c r="G22" s="128">
        <f>'NOx Model (2)'!$J$3*(5.9376621671*(10^-19)*('NOx Model (1)'!K22^6))-(7.1020711589*(10^-15)*('NOx Model (1)'!K22^5))+(3.3460896805*(10^-11)*(K22^4))-(7.8909601634*(10^-8)*(K22^3))+(9.8599769212*(10^-5)*(K22^2))-(2.8172899156*(10^-2)*(K22))+(3.05378908)</f>
        <v>7.7334687780152525</v>
      </c>
      <c r="H22" s="130">
        <f>Properties!V15*'NOx Model (2)'!$J$3</f>
        <v>348.27</v>
      </c>
      <c r="I22" s="128">
        <f t="shared" si="9"/>
        <v>98.62082856677722</v>
      </c>
      <c r="J22" s="130">
        <f t="shared" si="10"/>
        <v>510.64699999999999</v>
      </c>
      <c r="K22" s="242">
        <v>550</v>
      </c>
      <c r="M22" s="24"/>
      <c r="N22" s="24"/>
      <c r="P22" s="491" t="s">
        <v>186</v>
      </c>
      <c r="Q22" s="492"/>
      <c r="S22" s="188" t="s">
        <v>149</v>
      </c>
      <c r="T22" s="130">
        <v>0</v>
      </c>
      <c r="AO22" s="225"/>
    </row>
    <row r="23" spans="1:41" ht="15.75" customHeight="1" thickBot="1" x14ac:dyDescent="0.3">
      <c r="A23" s="128">
        <f>'NOx Model (2)'!$F$3*(8.5770134353*(10^-19)*(K23^6))-(1.0374875556*(10^-14)*(K23^5))+(4.9689475953*(10^-11)*(K23^4))-(1.2019118054*(10^-7)*(K23^3))+(1.5650954893*(10^-4)*(K23^2))-(4.8239362033*(10^-2)*(K23))+(5.2084519626)</f>
        <v>12.596917079193426</v>
      </c>
      <c r="B23" s="130">
        <f>Properties!D16*'NOx Model (2)'!$F$3</f>
        <v>102.16800000000001</v>
      </c>
      <c r="C23" s="128">
        <f>'NOx Model (2)'!$H$3* ((6.6506859177*(10^-19)*(K23^6)) -(7.8984343104*(10^-15)*(K23^5))+(3.6879849877*(10^-11)*(K23^4))-(8.6386228559*(10^-8)*(K23^3))+(1.1074017861*(10^-4)*(K23^2))-(3.1241611608*(10^-2)*(K23))+(3.3006694533))</f>
        <v>88.736624821256058</v>
      </c>
      <c r="D23" s="130">
        <f>Properties!J16*'NOx Model (2)'!$H$3</f>
        <v>93.822299999999998</v>
      </c>
      <c r="E23" s="128">
        <f>'NOx Model (2)'!$I$3*(6.4958291549*(10^-19)*('NOx Model (1)'!K23^6))-(7.8224528491*(10^-15)*('NOx Model (1)'!K23^5))+(3.7120417697*(10^-11)*('NOx Model (1)'!K23^4))-(8.798317617*(10^-8)*('NOx Model (1)'!K23^3))+(1.0982327235*(10^-4)*('NOx Model (1)'!K23^2))-(3.2606444641*(10^-2)*('NOx Model (1)'!K23))+(3.5786489003)</f>
        <v>8.7531146765283196</v>
      </c>
      <c r="F23" s="130">
        <f>Properties!P16*'NOx Model (2)'!$I$3</f>
        <v>1.1562500000000011</v>
      </c>
      <c r="G23" s="128">
        <f>'NOx Model (2)'!$J$3*(5.9376621671*(10^-19)*('NOx Model (1)'!K23^6))-(7.1020711589*(10^-15)*('NOx Model (1)'!K23^5))+(3.3460896805*(10^-11)*(K23^4))-(7.8909601634*(10^-8)*(K23^3))+(9.8599769212*(10^-5)*(K23^2))-(2.8172899156*(10^-2)*(K23))+(3.05378908)</f>
        <v>9.6877972829085568</v>
      </c>
      <c r="H23" s="130">
        <f>Properties!V16*'NOx Model (2)'!$J$3</f>
        <v>418.3</v>
      </c>
      <c r="I23" s="128">
        <f t="shared" si="9"/>
        <v>119.77445385988638</v>
      </c>
      <c r="J23" s="130">
        <f t="shared" si="10"/>
        <v>615.44655</v>
      </c>
      <c r="K23" s="242">
        <v>600</v>
      </c>
      <c r="M23" s="481" t="s">
        <v>173</v>
      </c>
      <c r="N23" s="482"/>
      <c r="P23" s="203" t="s">
        <v>165</v>
      </c>
      <c r="Q23" s="45">
        <v>1</v>
      </c>
      <c r="S23" s="189" t="s">
        <v>150</v>
      </c>
      <c r="T23" s="42">
        <v>0</v>
      </c>
      <c r="AO23" s="225"/>
    </row>
    <row r="24" spans="1:41" ht="16.5" customHeight="1" thickBot="1" x14ac:dyDescent="0.3">
      <c r="A24" s="128">
        <f>'NOx Model (2)'!$F$3*(8.5770134353*(10^-19)*(K24^6))-(1.0374875556*(10^-14)*(K24^5))+(4.9689475953*(10^-11)*(K24^4))-(1.2019118054*(10^-7)*(K24^3))+(1.5650954893*(10^-4)*(K24^2))-(4.8239362033*(10^-2)*(K24))+(5.2084519626)</f>
        <v>15.149063160623369</v>
      </c>
      <c r="B24" s="130">
        <f>Properties!D17*'NOx Model (2)'!$F$3</f>
        <v>121.09679999999999</v>
      </c>
      <c r="C24" s="128">
        <f>'NOx Model (2)'!$H$3* ((6.6506859177*(10^-19)*(K24^6)) -(7.8984343104*(10^-15)*(K24^5))+(3.6879849877*(10^-11)*(K24^4))-(8.6386228559*(10^-8)*(K24^3))+(1.1074017861*(10^-4)*(K24^2))-(3.1241611608*(10^-2)*(K24))+(3.3006694533))</f>
        <v>104.91100761080438</v>
      </c>
      <c r="D24" s="130">
        <f>Properties!J17*'NOx Model (2)'!$H$3</f>
        <v>110.0385</v>
      </c>
      <c r="E24" s="128">
        <f>'NOx Model (2)'!$I$3*(6.4958291549*(10^-19)*('NOx Model (1)'!K24^6))-(7.8224528491*(10^-15)*('NOx Model (1)'!K24^5))+(3.7120417697*(10^-11)*('NOx Model (1)'!K24^4))-(8.798317617*(10^-8)*('NOx Model (1)'!K24^3))+(1.0982327235*(10^-4)*('NOx Model (1)'!K24^2))-(3.2606444641*(10^-2)*('NOx Model (1)'!K24))+(3.5786489003)</f>
        <v>10.347131239689229</v>
      </c>
      <c r="F24" s="130">
        <f>Properties!P17*'NOx Model (2)'!$I$3</f>
        <v>1.358750000000001</v>
      </c>
      <c r="G24" s="128">
        <f>'NOx Model (2)'!$J$3*(5.9376621671*(10^-19)*('NOx Model (1)'!K24^6))-(7.1020711589*(10^-15)*('NOx Model (1)'!K24^5))+(3.3460896805*(10^-11)*(K24^4))-(7.8909601634*(10^-8)*(K24^3))+(9.8599769212*(10^-5)*(K24^2))-(2.8172899156*(10^-2)*(K24))+(3.05378908)</f>
        <v>11.98290622353379</v>
      </c>
      <c r="H24" s="130">
        <f>Properties!V17*'NOx Model (2)'!$J$3</f>
        <v>489.74</v>
      </c>
      <c r="I24" s="128">
        <f t="shared" si="9"/>
        <v>142.39010823465077</v>
      </c>
      <c r="J24" s="130">
        <f t="shared" si="10"/>
        <v>722.23405000000002</v>
      </c>
      <c r="K24" s="242">
        <v>650</v>
      </c>
      <c r="M24" s="496">
        <v>40</v>
      </c>
      <c r="N24" s="497"/>
      <c r="P24" s="204" t="s">
        <v>166</v>
      </c>
      <c r="Q24" s="130">
        <f>1600/4</f>
        <v>400</v>
      </c>
      <c r="S24" s="485" t="s">
        <v>152</v>
      </c>
      <c r="T24" s="486"/>
      <c r="AO24" s="225"/>
    </row>
    <row r="25" spans="1:41" ht="15" customHeight="1" thickBot="1" x14ac:dyDescent="0.3">
      <c r="A25" s="128">
        <f>'NOx Model (2)'!$F$3*(8.5770134353*(10^-19)*(K25^6))-(1.0374875556*(10^-14)*(K25^5))+(4.9689475953*(10^-11)*(K25^4))-(1.2019118054*(10^-7)*(K25^3))+(1.5650954893*(10^-4)*(K25^2))-(4.8239362033*(10^-2)*(K25))+(5.2084519626)</f>
        <v>17.89092945808887</v>
      </c>
      <c r="B25" s="130">
        <f>Properties!D18*'NOx Model (2)'!$F$3</f>
        <v>140.58000000000001</v>
      </c>
      <c r="C25" s="128">
        <f>'NOx Model (2)'!$H$3* ((6.6506859177*(10^-19)*(K25^6)) -(7.8984343104*(10^-15)*(K25^5))+(3.6879849877*(10^-11)*(K25^4))-(8.6386228559*(10^-8)*(K25^3))+(1.1074017861*(10^-4)*(K25^2))-(3.1241611608*(10^-2)*(K25))+(3.3006694533))</f>
        <v>121.79399053022624</v>
      </c>
      <c r="D25" s="130">
        <f>Properties!J18*'NOx Model (2)'!$H$3</f>
        <v>126.61110000000001</v>
      </c>
      <c r="E25" s="128">
        <f>'NOx Model (2)'!$I$3*(6.4958291549*(10^-19)*('NOx Model (1)'!K25^6))-(7.8224528491*(10^-15)*('NOx Model (1)'!K25^5))+(3.7120417697*(10^-11)*('NOx Model (1)'!K25^4))-(8.798317617*(10^-8)*('NOx Model (1)'!K25^3))+(1.0982327235*(10^-4)*('NOx Model (1)'!K25^2))-(3.2606444641*(10^-2)*('NOx Model (1)'!K25))+(3.5786489003)</f>
        <v>11.996757163044528</v>
      </c>
      <c r="F25" s="130">
        <f>Properties!P18*'NOx Model (2)'!$I$3</f>
        <v>1.5625000000000013</v>
      </c>
      <c r="G25" s="128">
        <f>'NOx Model (2)'!$J$3*(5.9376621671*(10^-19)*('NOx Model (1)'!K25^6))-(7.1020711589*(10^-15)*('NOx Model (1)'!K25^5))+(3.3460896805*(10^-11)*(K25^4))-(7.8909601634*(10^-8)*(K25^3))+(9.8599769212*(10^-5)*(K25^2))-(2.8172899156*(10^-2)*(K25))+(3.05378908)</f>
        <v>14.704201524018769</v>
      </c>
      <c r="H25" s="130">
        <f>Properties!V18*'NOx Model (2)'!$J$3</f>
        <v>561.17999999999995</v>
      </c>
      <c r="I25" s="128">
        <f t="shared" si="9"/>
        <v>166.38587867537839</v>
      </c>
      <c r="J25" s="130">
        <f t="shared" si="10"/>
        <v>829.93359999999996</v>
      </c>
      <c r="K25" s="242">
        <v>700</v>
      </c>
      <c r="M25" s="24"/>
      <c r="N25" s="24"/>
      <c r="P25" s="204" t="s">
        <v>167</v>
      </c>
      <c r="Q25" s="130">
        <v>8314</v>
      </c>
      <c r="S25" s="487"/>
      <c r="T25" s="488"/>
      <c r="AO25" s="225"/>
    </row>
    <row r="26" spans="1:41" ht="18" customHeight="1" thickBot="1" x14ac:dyDescent="0.3">
      <c r="A26" s="128">
        <f>'NOx Model (2)'!$F$3*(8.5770134353*(10^-19)*(K26^6))-(1.0374875556*(10^-14)*(K26^5))+(4.9689475953*(10^-11)*(K26^4))-(1.2019118054*(10^-7)*(K26^3))+(1.5650954893*(10^-4)*(K26^2))-(4.8239362033*(10^-2)*(K26))+(5.2084519626)</f>
        <v>20.828958672559054</v>
      </c>
      <c r="B26" s="130">
        <f>Properties!D19*'NOx Model (2)'!$F$3</f>
        <v>160.38</v>
      </c>
      <c r="C26" s="128">
        <f>'NOx Model (2)'!$H$3* ((6.6506859177*(10^-19)*(K26^6)) -(7.8984343104*(10^-15)*(K26^5))+(3.6879849877*(10^-11)*(K26^4))-(8.6386228559*(10^-8)*(K26^3))+(1.1074017861*(10^-4)*(K26^2))-(3.1241611608*(10^-2)*(K26))+(3.3006694533))</f>
        <v>139.2603461320721</v>
      </c>
      <c r="D26" s="130">
        <f>Properties!J19*'NOx Model (2)'!$H$3</f>
        <v>143.36189999999999</v>
      </c>
      <c r="E26" s="128">
        <f>'NOx Model (2)'!$I$3*(6.4958291549*(10^-19)*('NOx Model (1)'!K26^6))-(7.8224528491*(10^-15)*('NOx Model (1)'!K26^5))+(3.7120417697*(10^-11)*('NOx Model (1)'!K26^4))-(8.798317617*(10^-8)*('NOx Model (1)'!K26^3))+(1.0982327235*(10^-4)*('NOx Model (1)'!K26^2))-(3.2606444641*(10^-2)*('NOx Model (1)'!K26))+(3.5786489003)</f>
        <v>13.684782578192781</v>
      </c>
      <c r="F26" s="130">
        <f>Properties!P19*'NOx Model (2)'!$I$3</f>
        <v>1.7700000000000016</v>
      </c>
      <c r="G26" s="128">
        <f>'NOx Model (2)'!$J$3*(5.9376621671*(10^-19)*('NOx Model (1)'!K26^6))-(7.1020711589*(10^-15)*('NOx Model (1)'!K26^5))+(3.3460896805*(10^-11)*(K26^4))-(7.8909601634*(10^-8)*(K26^3))+(9.8599769212*(10^-5)*(K26^2))-(2.8172899156*(10^-2)*(K26))+(3.05378908)</f>
        <v>17.965227412428696</v>
      </c>
      <c r="H26" s="130">
        <f>Properties!V19*'NOx Model (2)'!$J$3</f>
        <v>633.56000000000006</v>
      </c>
      <c r="I26" s="128">
        <f t="shared" si="9"/>
        <v>191.73931479525265</v>
      </c>
      <c r="J26" s="130">
        <f t="shared" si="10"/>
        <v>939.07190000000003</v>
      </c>
      <c r="K26" s="242">
        <v>750</v>
      </c>
      <c r="M26" s="498" t="s">
        <v>190</v>
      </c>
      <c r="N26" s="499"/>
      <c r="P26" s="205" t="s">
        <v>168</v>
      </c>
      <c r="Q26" s="42">
        <f>20+273</f>
        <v>293</v>
      </c>
      <c r="S26" s="489"/>
      <c r="T26" s="490"/>
      <c r="AO26" s="225"/>
    </row>
    <row r="27" spans="1:41" x14ac:dyDescent="0.25">
      <c r="A27" s="128">
        <f>'NOx Model (2)'!$F$3*(8.5770134353*(10^-19)*(K27^6))-(1.0374875556*(10^-14)*(K27^5))+(4.9689475953*(10^-11)*(K27^4))-(1.2019118054*(10^-7)*(K27^3))+(1.5650954893*(10^-4)*(K27^2))-(4.8239362033*(10^-2)*(K27))+(5.2084519626)</f>
        <v>23.979102130185488</v>
      </c>
      <c r="B27" s="130">
        <f>Properties!D20*'NOx Model (2)'!$F$3</f>
        <v>180.65519999999998</v>
      </c>
      <c r="C27" s="128">
        <f>'NOx Model (2)'!$H$3* ((6.6506859177*(10^-19)*(K27^6)) -(7.8984343104*(10^-15)*(K27^5))+(3.6879849877*(10^-11)*(K27^4))-(8.6386228559*(10^-8)*(K27^3))+(1.1074017861*(10^-4)*(K27^2))-(3.1241611608*(10^-2)*(K27))+(3.3006694533))</f>
        <v>157.2037342496306</v>
      </c>
      <c r="D27" s="130">
        <f>Properties!J20*'NOx Model (2)'!$H$3</f>
        <v>160.38</v>
      </c>
      <c r="E27" s="128">
        <f>'NOx Model (2)'!$I$3*(6.4958291549*(10^-19)*('NOx Model (1)'!K27^6))-(7.8224528491*(10^-15)*('NOx Model (1)'!K27^5))+(3.7120417697*(10^-11)*('NOx Model (1)'!K27^4))-(8.798317617*(10^-8)*('NOx Model (1)'!K27^3))+(1.0982327235*(10^-4)*('NOx Model (1)'!K27^2))-(3.2606444641*(10^-2)*('NOx Model (1)'!K27))+(3.5786489003)</f>
        <v>15.395548564532877</v>
      </c>
      <c r="F27" s="130">
        <f>Properties!P20*'NOx Model (2)'!$I$3</f>
        <v>1.9800000000000018</v>
      </c>
      <c r="G27" s="128">
        <f>'NOx Model (2)'!$J$3*(5.9376621671*(10^-19)*('NOx Model (1)'!K27^6))-(7.1020711589*(10^-15)*('NOx Model (1)'!K27^5))+(3.3460896805*(10^-11)*(K27^4))-(7.8909601634*(10^-8)*(K27^3))+(9.8599769212*(10^-5)*(K27^2))-(2.8172899156*(10^-2)*(K27))+(3.05378908)</f>
        <v>21.91163847057328</v>
      </c>
      <c r="H27" s="130">
        <f>Properties!V20*'NOx Model (2)'!$J$3</f>
        <v>706.88</v>
      </c>
      <c r="I27" s="128">
        <f t="shared" si="9"/>
        <v>218.49002341492223</v>
      </c>
      <c r="J27" s="130">
        <f t="shared" si="10"/>
        <v>1049.8951999999999</v>
      </c>
      <c r="K27" s="242">
        <v>800</v>
      </c>
      <c r="M27" s="500"/>
      <c r="N27" s="501"/>
      <c r="AO27" s="225"/>
    </row>
    <row r="28" spans="1:41" ht="15" customHeight="1" thickBot="1" x14ac:dyDescent="0.3">
      <c r="A28" s="128">
        <f>'NOx Model (2)'!$F$3*(8.5770134353*(10^-19)*(K28^6))-(1.0374875556*(10^-14)*(K28^5))+(4.9689475953*(10^-11)*(K28^4))-(1.2019118054*(10^-7)*(K28^3))+(1.5650954893*(10^-4)*(K28^2))-(4.8239362033*(10^-2)*(K28))+(5.2084519626)</f>
        <v>27.367538831719571</v>
      </c>
      <c r="B28" s="130">
        <f>Properties!D21*'NOx Model (2)'!$F$3</f>
        <v>201.24719999999999</v>
      </c>
      <c r="C28" s="128">
        <f>'NOx Model (2)'!$H$3* ((6.6506859177*(10^-19)*(K28^6)) -(7.8984343104*(10^-15)*(K28^5))+(3.6879849877*(10^-11)*(K28^4))-(8.6386228559*(10^-8)*(K28^3))+(1.1074017861*(10^-4)*(K28^2))-(3.1241611608*(10^-2)*(K28))+(3.3006694533))</f>
        <v>175.53502957235273</v>
      </c>
      <c r="D28" s="130">
        <f>Properties!J21*'NOx Model (2)'!$H$3</f>
        <v>177.75450000000001</v>
      </c>
      <c r="E28" s="128">
        <f>'NOx Model (2)'!$I$3*(6.4958291549*(10^-19)*('NOx Model (1)'!K28^6))-(7.8224528491*(10^-15)*('NOx Model (1)'!K28^5))+(3.7120417697*(10^-11)*('NOx Model (1)'!K28^4))-(8.798317617*(10^-8)*('NOx Model (1)'!K28^3))+(1.0982327235*(10^-4)*('NOx Model (1)'!K28^2))-(3.2606444641*(10^-2)*('NOx Model (1)'!K28))+(3.5786489003)</f>
        <v>17.114667052683846</v>
      </c>
      <c r="F28" s="130">
        <f>Properties!P21*'NOx Model (2)'!$I$3</f>
        <v>2.1912500000000019</v>
      </c>
      <c r="G28" s="128">
        <f>'NOx Model (2)'!$J$3*(5.9376621671*(10^-19)*('NOx Model (1)'!K28^6))-(7.1020711589*(10^-15)*('NOx Model (1)'!K28^5))+(3.3460896805*(10^-11)*(K28^4))-(7.8909601634*(10^-8)*(K28^3))+(9.8599769212*(10^-5)*(K28^2))-(2.8172899156*(10^-2)*(K28))+(3.05378908)</f>
        <v>26.725485637701084</v>
      </c>
      <c r="H28" s="130">
        <f>Properties!V21*'NOx Model (2)'!$J$3</f>
        <v>781.1400000000001</v>
      </c>
      <c r="I28" s="128">
        <f t="shared" si="9"/>
        <v>246.74272109445724</v>
      </c>
      <c r="J28" s="130">
        <f t="shared" si="10"/>
        <v>1162.3329500000002</v>
      </c>
      <c r="K28" s="242">
        <v>850</v>
      </c>
      <c r="M28" s="483">
        <v>3.76</v>
      </c>
      <c r="N28" s="484"/>
      <c r="AO28" s="225"/>
    </row>
    <row r="29" spans="1:41" x14ac:dyDescent="0.25">
      <c r="A29" s="128">
        <f>'NOx Model (2)'!$F$3*(8.5770134353*(10^-19)*(K29^6))-(1.0374875556*(10^-14)*(K29^5))+(4.9689475953*(10^-11)*(K29^4))-(1.2019118054*(10^-7)*(K29^3))+(1.5650954893*(10^-4)*(K29^2))-(4.8239362033*(10^-2)*(K29))+(5.2084519626)</f>
        <v>31.031470923119734</v>
      </c>
      <c r="B29" s="130">
        <f>Properties!D22*'NOx Model (2)'!$F$3</f>
        <v>222.15600000000001</v>
      </c>
      <c r="C29" s="128">
        <f>'NOx Model (2)'!$H$3* ((6.6506859177*(10^-19)*(K29^6)) -(7.8984343104*(10^-15)*(K29^5))+(3.6879849877*(10^-11)*(K29^4))-(8.6386228559*(10^-8)*(K29^3))+(1.1074017861*(10^-4)*(K29^2))-(3.1241611608*(10^-2)*(K29))+(3.3006694533))</f>
        <v>194.18071588608831</v>
      </c>
      <c r="D29" s="130">
        <f>Properties!J22*'NOx Model (2)'!$H$3</f>
        <v>195.3963</v>
      </c>
      <c r="E29" s="128">
        <f>'NOx Model (2)'!$I$3*(6.4958291549*(10^-19)*('NOx Model (1)'!K29^6))-(7.8224528491*(10^-15)*('NOx Model (1)'!K29^5))+(3.7120417697*(10^-11)*('NOx Model (1)'!K29^4))-(8.798317617*(10^-8)*('NOx Model (1)'!K29^3))+(1.0982327235*(10^-4)*('NOx Model (1)'!K29^2))-(3.2606444641*(10^-2)*('NOx Model (1)'!K29))+(3.5786489003)</f>
        <v>18.828741641380496</v>
      </c>
      <c r="F29" s="130">
        <f>Properties!P22*'NOx Model (2)'!$I$3</f>
        <v>2.4062500000000022</v>
      </c>
      <c r="G29" s="128">
        <f>'NOx Model (2)'!$J$3*(5.9376621671*(10^-19)*('NOx Model (1)'!K29^6))-(7.1020711589*(10^-15)*('NOx Model (1)'!K29^5))+(3.3460896805*(10^-11)*(K29^4))-(7.8909601634*(10^-8)*(K29^3))+(9.8599769212*(10^-5)*(K29^2))-(2.8172899156*(10^-2)*(K29))+(3.05378908)</f>
        <v>32.629816168080858</v>
      </c>
      <c r="H29" s="130">
        <f>Properties!V22*'NOx Model (2)'!$J$3</f>
        <v>856.33999999999992</v>
      </c>
      <c r="I29" s="128">
        <f t="shared" si="9"/>
        <v>276.6707446186694</v>
      </c>
      <c r="J29" s="130">
        <f t="shared" si="10"/>
        <v>1276.29855</v>
      </c>
      <c r="K29" s="242">
        <v>900</v>
      </c>
      <c r="AO29" s="225"/>
    </row>
    <row r="30" spans="1:41" x14ac:dyDescent="0.25">
      <c r="A30" s="128">
        <f>'NOx Model (2)'!$F$3*(8.5770134353*(10^-19)*(K30^6))-(1.0374875556*(10^-14)*(K30^5))+(4.9689475953*(10^-11)*(K30^4))-(1.2019118054*(10^-7)*(K30^3))+(1.5650954893*(10^-4)*(K30^2))-(4.8239362033*(10^-2)*(K30))+(5.2084519626)</f>
        <v>35.019995587348198</v>
      </c>
      <c r="B30" s="130">
        <f>Properties!D23*'NOx Model (2)'!$F$3</f>
        <v>243.30239999999998</v>
      </c>
      <c r="C30" s="128">
        <f>'NOx Model (2)'!$H$3* ((6.6506859177*(10^-19)*(K30^6)) -(7.8984343104*(10^-15)*(K30^5))+(3.6879849877*(10^-11)*(K30^4))-(8.6386228559*(10^-8)*(K30^3))+(1.1074017861*(10^-4)*(K30^2))-(3.1241611608*(10^-2)*(K30))+(3.3006694533))</f>
        <v>213.08134697813688</v>
      </c>
      <c r="D30" s="130">
        <f>Properties!J23*'NOx Model (2)'!$H$3</f>
        <v>213.30540000000002</v>
      </c>
      <c r="E30" s="128">
        <f>'NOx Model (2)'!$I$3*(6.4958291549*(10^-19)*('NOx Model (1)'!K30^6))-(7.8224528491*(10^-15)*('NOx Model (1)'!K30^5))+(3.7120417697*(10^-11)*('NOx Model (1)'!K30^4))-(8.798317617*(10^-8)*('NOx Model (1)'!K30^3))+(1.0982327235*(10^-4)*('NOx Model (1)'!K30^2))-(3.2606444641*(10^-2)*('NOx Model (1)'!K30))+(3.5786489003)</f>
        <v>20.525089327845372</v>
      </c>
      <c r="F30" s="130">
        <f>Properties!P23*'NOx Model (2)'!$I$3</f>
        <v>2.6225000000000023</v>
      </c>
      <c r="G30" s="128">
        <f>'NOx Model (2)'!$J$3*(5.9376621671*(10^-19)*('NOx Model (1)'!K30^6))-(7.1020711589*(10^-15)*('NOx Model (1)'!K30^5))+(3.3460896805*(10^-11)*(K30^4))-(7.8909601634*(10^-8)*(K30^3))+(9.8599769212*(10^-5)*(K30^2))-(2.8172899156*(10^-2)*(K30))+(3.05378908)</f>
        <v>39.893587542469966</v>
      </c>
      <c r="H30" s="130">
        <f>Properties!V23*'NOx Model (2)'!$J$3</f>
        <v>932.48</v>
      </c>
      <c r="I30" s="128">
        <f t="shared" si="9"/>
        <v>308.52001943580041</v>
      </c>
      <c r="J30" s="130">
        <f t="shared" si="10"/>
        <v>1391.7103</v>
      </c>
      <c r="K30" s="242">
        <v>950</v>
      </c>
      <c r="AO30" s="225"/>
    </row>
    <row r="31" spans="1:41" x14ac:dyDescent="0.25">
      <c r="A31" s="128">
        <f>'NOx Model (2)'!$F$3*(8.5770134353*(10^-19)*(K31^6))-(1.0374875556*(10^-14)*(K31^5))+(4.9689475953*(10^-11)*(K31^4))-(1.2019118054*(10^-7)*(K31^3))+(1.5650954893*(10^-4)*(K31^2))-(4.8239362033*(10^-2)*(K31))+(5.2084519626)</f>
        <v>39.395053357357611</v>
      </c>
      <c r="B31" s="130">
        <f>Properties!D24*'NOx Model (2)'!$F$3</f>
        <v>264.68639999999999</v>
      </c>
      <c r="C31" s="128">
        <f>'NOx Model (2)'!$H$3* ((6.6506859177*(10^-19)*(K31^6)) -(7.8984343104*(10^-15)*(K31^5))+(3.6879849877*(10^-11)*(K31^4))-(8.6386228559*(10^-8)*(K31^3))+(1.1074017861*(10^-4)*(K31^2))-(3.1241611608*(10^-2)*(K31))+(3.3006694533))</f>
        <v>232.19007420710983</v>
      </c>
      <c r="D31" s="130">
        <f>Properties!J24*'NOx Model (2)'!$H$3</f>
        <v>231.57089999999999</v>
      </c>
      <c r="E31" s="128">
        <f>'NOx Model (2)'!$I$3*(6.4958291549*(10^-19)*('NOx Model (1)'!K31^6))-(7.8224528491*(10^-15)*('NOx Model (1)'!K31^5))+(3.7120417697*(10^-11)*('NOx Model (1)'!K31^4))-(8.798317617*(10^-8)*('NOx Model (1)'!K31^3))+(1.0982327235*(10^-4)*('NOx Model (1)'!K31^2))-(3.2606444641*(10^-2)*('NOx Model (1)'!K31))+(3.5786489003)</f>
        <v>22.191463151636253</v>
      </c>
      <c r="F31" s="130">
        <f>Properties!P24*'NOx Model (2)'!$I$3</f>
        <v>2.8400000000000025</v>
      </c>
      <c r="G31" s="128">
        <f>'NOx Model (2)'!$J$3*(5.9376621671*(10^-19)*('NOx Model (1)'!K31^6))-(7.1020711589*(10^-15)*('NOx Model (1)'!K31^5))+(3.3460896805*(10^-11)*(K31^4))-(7.8909601634*(10^-8)*(K31^3))+(9.8599769212*(10^-5)*(K31^2))-(2.8172899156*(10^-2)*(K31))+(3.05378908)</f>
        <v>48.836895333469997</v>
      </c>
      <c r="H31" s="130">
        <f>Properties!V24*'NOx Model (2)'!$J$3</f>
        <v>1009.0899999999999</v>
      </c>
      <c r="I31" s="128">
        <f t="shared" si="9"/>
        <v>342.61348604957368</v>
      </c>
      <c r="J31" s="130">
        <f t="shared" si="10"/>
        <v>1508.1872999999998</v>
      </c>
      <c r="K31" s="243">
        <v>1000</v>
      </c>
      <c r="AO31" s="25"/>
    </row>
    <row r="32" spans="1:41" x14ac:dyDescent="0.25">
      <c r="A32" s="128">
        <f>'NOx Model (2)'!$F$3*(8.5770134353*(10^-19)*(K32^6))-(1.0374875556*(10^-14)*(K32^5))+(4.9689475953*(10^-11)*(K32^4))-(1.2019118054*(10^-7)*(K32^3))+(1.5650954893*(10^-4)*(K32^2))-(4.8239362033*(10^-2)*(K32))+(5.2084519626)</f>
        <v>44.232452850267236</v>
      </c>
      <c r="B32" s="130">
        <f>Properties!D25*'NOx Model (2)'!$F$3</f>
        <v>286.30799999999999</v>
      </c>
      <c r="C32" s="128">
        <f>'NOx Model (2)'!$H$3* ((6.6506859177*(10^-19)*(K32^6)) -(7.8984343104*(10^-15)*(K32^5))+(3.6879849877*(10^-11)*(K32^4))-(8.6386228559*(10^-8)*(K32^3))+(1.1074017861*(10^-4)*(K32^2))-(3.1241611608*(10^-2)*(K32))+(3.3006694533))</f>
        <v>251.47124073760671</v>
      </c>
      <c r="D32" s="130">
        <f>Properties!J25*'NOx Model (2)'!$H$3</f>
        <v>250.1037</v>
      </c>
      <c r="E32" s="128">
        <f>'NOx Model (2)'!$I$3*(6.4958291549*(10^-19)*('NOx Model (1)'!K32^6))-(7.8224528491*(10^-15)*('NOx Model (1)'!K32^5))+(3.7120417697*(10^-11)*('NOx Model (1)'!K32^4))-(8.798317617*(10^-8)*('NOx Model (1)'!K32^3))+(1.0982327235*(10^-4)*('NOx Model (1)'!K32^2))-(3.2606444641*(10^-2)*('NOx Model (1)'!K32))+(3.5786489003)</f>
        <v>23.815775751970012</v>
      </c>
      <c r="F32" s="130">
        <f>Properties!P25*'NOx Model (2)'!$I$3</f>
        <v>3.0587500000000025</v>
      </c>
      <c r="G32" s="128">
        <f>'NOx Model (2)'!$J$3*(5.9376621671*(10^-19)*('NOx Model (1)'!K32^6))-(7.1020711589*(10^-15)*('NOx Model (1)'!K32^5))+(3.3460896805*(10^-11)*(K32^4))-(7.8909601634*(10^-8)*(K32^3))+(9.8599769212*(10^-5)*(K32^2))-(2.8172899156*(10^-2)*(K32))+(3.05378908)</f>
        <v>59.836515024769291</v>
      </c>
      <c r="H32" s="130">
        <f>Properties!V25*'NOx Model (2)'!$J$3</f>
        <v>1086.17</v>
      </c>
      <c r="I32" s="128">
        <f t="shared" si="9"/>
        <v>379.35598436461328</v>
      </c>
      <c r="J32" s="130">
        <f t="shared" si="10"/>
        <v>1625.6404500000001</v>
      </c>
      <c r="K32" s="243">
        <v>1050</v>
      </c>
    </row>
    <row r="33" spans="1:11" x14ac:dyDescent="0.25">
      <c r="A33" s="128">
        <f>'NOx Model (2)'!$F$3*(8.5770134353*(10^-19)*(K33^6))-(1.0374875556*(10^-14)*(K33^5))+(4.9689475953*(10^-11)*(K33^4))-(1.2019118054*(10^-7)*(K33^3))+(1.5650954893*(10^-4)*(K33^2))-(4.8239362033*(10^-2)*(K33))+(5.2084519626)</f>
        <v>49.622971922728901</v>
      </c>
      <c r="B33" s="130">
        <f>Properties!D26*'NOx Model (2)'!$F$3</f>
        <v>308.16719999999998</v>
      </c>
      <c r="C33" s="128">
        <f>'NOx Model (2)'!$H$3* ((6.6506859177*(10^-19)*(K33^6)) -(7.8984343104*(10^-15)*(K33^5))+(3.6879849877*(10^-11)*(K33^4))-(8.6386228559*(10^-8)*(K33^3))+(1.1074017861*(10^-4)*(K33^2))-(3.1241611608*(10^-2)*(K33))+(3.3006694533))</f>
        <v>270.89904243970398</v>
      </c>
      <c r="D33" s="130">
        <f>Properties!J26*'NOx Model (2)'!$H$3</f>
        <v>268.99290000000002</v>
      </c>
      <c r="E33" s="128">
        <f>'NOx Model (2)'!$I$3*(6.4958291549*(10^-19)*('NOx Model (1)'!K33^6))-(7.8224528491*(10^-15)*('NOx Model (1)'!K33^5))+(3.7120417697*(10^-11)*('NOx Model (1)'!K33^4))-(8.798317617*(10^-8)*('NOx Model (1)'!K33^3))+(1.0982327235*(10^-4)*('NOx Model (1)'!K33^2))-(3.2606444641*(10^-2)*('NOx Model (1)'!K33))+(3.5786489003)</f>
        <v>25.38582383852221</v>
      </c>
      <c r="F33" s="130">
        <f>Properties!P26*'NOx Model (2)'!$I$3</f>
        <v>3.2787500000000032</v>
      </c>
      <c r="G33" s="128">
        <f>'NOx Model (2)'!$J$3*(5.9376621671*(10^-19)*('NOx Model (1)'!K33^6))-(7.1020711589*(10^-15)*('NOx Model (1)'!K33^5))+(3.3460896805*(10^-11)*(K33^4))-(7.8909601634*(10^-8)*(K33^3))+(9.8599769212*(10^-5)*(K33^2))-(2.8172899156*(10^-2)*(K33))+(3.05378908)</f>
        <v>73.33175778427271</v>
      </c>
      <c r="H33" s="130">
        <f>Properties!V26*'NOx Model (2)'!$J$3</f>
        <v>1164.19</v>
      </c>
      <c r="I33" s="128">
        <f t="shared" si="9"/>
        <v>419.23959598522777</v>
      </c>
      <c r="J33" s="130">
        <f t="shared" si="10"/>
        <v>1744.6288500000001</v>
      </c>
      <c r="K33" s="243">
        <v>1100</v>
      </c>
    </row>
    <row r="34" spans="1:11" x14ac:dyDescent="0.25">
      <c r="A34" s="128">
        <f>'NOx Model (2)'!$F$3*(8.5770134353*(10^-19)*(K34^6))-(1.0374875556*(10^-14)*(K34^5))+(4.9689475953*(10^-11)*(K34^4))-(1.2019118054*(10^-7)*(K34^3))+(1.5650954893*(10^-4)*(K34^2))-(4.8239362033*(10^-2)*(K34))+(5.2084519626)</f>
        <v>55.673535247482874</v>
      </c>
      <c r="B34" s="130">
        <f>Properties!D27*'NOx Model (2)'!$F$3</f>
        <v>330.1848</v>
      </c>
      <c r="C34" s="128">
        <f>'NOx Model (2)'!$H$3* ((6.6506859177*(10^-19)*(K34^6)) -(7.8984343104*(10^-15)*(K34^5))+(3.6879849877*(10^-11)*(K34^4))-(8.6386228559*(10^-8)*(K34^3))+(1.1074017861*(10^-4)*(K34^2))-(3.1241611608*(10^-2)*(K34))+(3.3006694533))</f>
        <v>290.45625545325765</v>
      </c>
      <c r="D34" s="130">
        <f>Properties!J27*'NOx Model (2)'!$H$3</f>
        <v>288.14940000000001</v>
      </c>
      <c r="E34" s="128">
        <f>'NOx Model (2)'!$I$3*(6.4958291549*(10^-19)*('NOx Model (1)'!K34^6))-(7.8224528491*(10^-15)*('NOx Model (1)'!K34^5))+(3.7120417697*(10^-11)*('NOx Model (1)'!K34^4))-(8.798317617*(10^-8)*('NOx Model (1)'!K34^3))+(1.0982327235*(10^-4)*('NOx Model (1)'!K34^2))-(3.2606444641*(10^-2)*('NOx Model (1)'!K34))+(3.5786489003)</f>
        <v>26.88901357570278</v>
      </c>
      <c r="F34" s="130">
        <f>Properties!P27*'NOx Model (2)'!$I$3</f>
        <v>3.5000000000000031</v>
      </c>
      <c r="G34" s="128">
        <f>'NOx Model (2)'!$J$3*(5.9376621671*(10^-19)*('NOx Model (1)'!K34^6))-(7.1020711589*(10^-15)*('NOx Model (1)'!K34^5))+(3.3460896805*(10^-11)*(K34^4))-(7.8909601634*(10^-8)*(K34^3))+(9.8599769212*(10^-5)*(K34^2))-(2.8172899156*(10^-2)*(K34))+(3.05378908)</f>
        <v>89.830640191118448</v>
      </c>
      <c r="H34" s="130">
        <f>Properties!V27*'NOx Model (2)'!$J$3</f>
        <v>1242.68</v>
      </c>
      <c r="I34" s="128">
        <f t="shared" si="9"/>
        <v>462.84944446756174</v>
      </c>
      <c r="J34" s="130">
        <f t="shared" si="10"/>
        <v>1864.5142000000001</v>
      </c>
      <c r="K34" s="243">
        <v>1150</v>
      </c>
    </row>
    <row r="35" spans="1:11" ht="16.5" customHeight="1" x14ac:dyDescent="0.25">
      <c r="A35" s="128">
        <f>'NOx Model (2)'!$F$3*(8.5770134353*(10^-19)*(K35^6))-(1.0374875556*(10^-14)*(K35^5))+(4.9689475953*(10^-11)*(K35^4))-(1.2019118054*(10^-7)*(K35^3))+(1.5650954893*(10^-4)*(K35^2))-(4.8239362033*(10^-2)*(K35))+(5.2084519626)</f>
        <v>62.508468311102831</v>
      </c>
      <c r="B35" s="130">
        <f>Properties!D28*'NOx Model (2)'!$F$3</f>
        <v>352.36080000000004</v>
      </c>
      <c r="C35" s="128">
        <f>'NOx Model (2)'!$H$3* ((6.6506859177*(10^-19)*(K35^6)) -(7.8984343104*(10^-15)*(K35^5))+(3.6879849877*(10^-11)*(K35^4))-(8.6386228559*(10^-8)*(K35^3))+(1.1074017861*(10^-4)*(K35^2))-(3.1241611608*(10^-2)*(K35))+(3.3006694533))</f>
        <v>310.13303041701681</v>
      </c>
      <c r="D35" s="130">
        <f>Properties!J28*'NOx Model (2)'!$H$3</f>
        <v>307.57320000000004</v>
      </c>
      <c r="E35" s="128">
        <f>'NOx Model (2)'!$I$3*(6.4958291549*(10^-19)*('NOx Model (1)'!K35^6))-(7.8224528491*(10^-15)*('NOx Model (1)'!K35^5))+(3.7120417697*(10^-11)*('NOx Model (1)'!K35^4))-(8.798317617*(10^-8)*('NOx Model (1)'!K35^3))+(1.0982327235*(10^-4)*('NOx Model (1)'!K35^2))-(3.2606444641*(10^-2)*('NOx Model (1)'!K35))+(3.5786489003)</f>
        <v>28.312086880407481</v>
      </c>
      <c r="F35" s="130">
        <f>Properties!P28*'NOx Model (2)'!$I$3</f>
        <v>3.7212500000000031</v>
      </c>
      <c r="G35" s="128">
        <f>'NOx Model (2)'!$J$3*(5.9376621671*(10^-19)*('NOx Model (1)'!K35^6))-(7.1020711589*(10^-15)*('NOx Model (1)'!K35^5))+(3.3460896805*(10^-11)*(K35^4))-(7.8909601634*(10^-8)*(K35^3))+(9.8599769212*(10^-5)*(K35^2))-(2.8172899156*(10^-2)*(K35))+(3.05378908)</f>
        <v>109.91636791658181</v>
      </c>
      <c r="H35" s="130">
        <f>Properties!V28*'NOx Model (2)'!$J$3</f>
        <v>1321.64</v>
      </c>
      <c r="I35" s="128">
        <f t="shared" si="9"/>
        <v>510.86995352510894</v>
      </c>
      <c r="J35" s="130">
        <f t="shared" si="10"/>
        <v>1985.2952500000001</v>
      </c>
      <c r="K35" s="243">
        <v>1200</v>
      </c>
    </row>
    <row r="36" spans="1:11" x14ac:dyDescent="0.25">
      <c r="A36" s="128">
        <f>'NOx Model (2)'!$F$3*(8.5770134353*(10^-19)*(K36^6))-(1.0374875556*(10^-14)*(K36^5))+(4.9689475953*(10^-11)*(K36^4))-(1.2019118054*(10^-7)*(K36^3))+(1.5650954893*(10^-4)*(K36^2))-(4.8239362033*(10^-2)*(K36))+(5.2084519626)</f>
        <v>70.270827832931431</v>
      </c>
      <c r="B36" s="130">
        <f>Properties!D29*'NOx Model (2)'!$F$3</f>
        <v>374.6952</v>
      </c>
      <c r="C36" s="128">
        <f>'NOx Model (2)'!$H$3* ((6.6506859177*(10^-19)*(K36^6)) -(7.8984343104*(10^-15)*(K36^5))+(3.6879849877*(10^-11)*(K36^4))-(8.6386228559*(10^-8)*(K36^3))+(1.1074017861*(10^-4)*(K36^2))-(3.1241611608*(10^-2)*(K36))+(3.3006694533))</f>
        <v>329.92575336255237</v>
      </c>
      <c r="D36" s="130">
        <f>Properties!J29*'NOx Model (2)'!$H$3</f>
        <v>327.17520000000002</v>
      </c>
      <c r="E36" s="128">
        <f>'NOx Model (2)'!$I$3*(6.4958291549*(10^-19)*('NOx Model (1)'!K36^6))-(7.8224528491*(10^-15)*('NOx Model (1)'!K36^5))+(3.7120417697*(10^-11)*('NOx Model (1)'!K36^4))-(8.798317617*(10^-8)*('NOx Model (1)'!K36^3))+(1.0982327235*(10^-4)*('NOx Model (1)'!K36^2))-(3.2606444641*(10^-2)*('NOx Model (1)'!K36))+(3.5786489003)</f>
        <v>29.640848633245891</v>
      </c>
      <c r="F36" s="130">
        <f>Properties!P29*'NOx Model (2)'!$I$3</f>
        <v>3.9450000000000034</v>
      </c>
      <c r="G36" s="128">
        <f>'NOx Model (2)'!$J$3*(5.9376621671*(10^-19)*('NOx Model (1)'!K36^6))-(7.1020711589*(10^-15)*('NOx Model (1)'!K36^5))+(3.3460896805*(10^-11)*(K36^4))-(7.8909601634*(10^-8)*(K36^3))+(9.8599769212*(10^-5)*(K36^2))-(2.8172899156*(10^-2)*(K36))+(3.05378908)</f>
        <v>134.25413335886628</v>
      </c>
      <c r="H36" s="130">
        <f>Properties!V29*'NOx Model (2)'!$J$3</f>
        <v>1401.07</v>
      </c>
      <c r="I36" s="128">
        <f t="shared" si="9"/>
        <v>564.09156318759597</v>
      </c>
      <c r="J36" s="130">
        <f t="shared" si="10"/>
        <v>2106.8854000000001</v>
      </c>
      <c r="K36" s="243">
        <v>1250</v>
      </c>
    </row>
    <row r="37" spans="1:11" ht="12.75" customHeight="1" x14ac:dyDescent="0.25">
      <c r="A37" s="128">
        <f>'NOx Model (2)'!$F$3*(8.5770134353*(10^-19)*(K37^6))-(1.0374875556*(10^-14)*(K37^5))+(4.9689475953*(10^-11)*(K37^4))-(1.2019118054*(10^-7)*(K37^3))+(1.5650954893*(10^-4)*(K37^2))-(4.8239362033*(10^-2)*(K37))+(5.2084519626)</f>
        <v>79.123808605204772</v>
      </c>
      <c r="B37" s="130">
        <f>Properties!D30*'NOx Model (2)'!$F$3</f>
        <v>397.18799999999999</v>
      </c>
      <c r="C37" s="128">
        <f>'NOx Model (2)'!$H$3* ((6.6506859177*(10^-19)*(K37^6)) -(7.8984343104*(10^-15)*(K37^5))+(3.6879849877*(10^-11)*(K37^4))-(8.6386228559*(10^-8)*(K37^3))+(1.1074017861*(10^-4)*(K37^2))-(3.1241611608*(10^-2)*(K37))+(3.3006694533))</f>
        <v>349.83597327299685</v>
      </c>
      <c r="D37" s="130">
        <f>Properties!J30*'NOx Model (2)'!$H$3</f>
        <v>347.1336</v>
      </c>
      <c r="E37" s="128">
        <f>'NOx Model (2)'!$I$3*(6.4958291549*(10^-19)*('NOx Model (1)'!K37^6))-(7.8224528491*(10^-15)*('NOx Model (1)'!K37^5))+(3.7120417697*(10^-11)*('NOx Model (1)'!K37^4))-(8.798317617*(10^-8)*('NOx Model (1)'!K37^3))+(1.0982327235*(10^-4)*('NOx Model (1)'!K37^2))-(3.2606444641*(10^-2)*('NOx Model (1)'!K37))+(3.5786489003)</f>
        <v>30.859894803244504</v>
      </c>
      <c r="F37" s="130">
        <f>Properties!P30*'NOx Model (2)'!$I$3</f>
        <v>4.1687500000000037</v>
      </c>
      <c r="G37" s="128">
        <f>'NOx Model (2)'!$J$3*(5.9376621671*(10^-19)*('NOx Model (1)'!K37^6))-(7.1020711589*(10^-15)*('NOx Model (1)'!K37^5))+(3.3460896805*(10^-11)*(K37^4))-(7.8909601634*(10^-8)*(K37^3))+(9.8599769212*(10^-5)*(K37^2))-(2.8172899156*(10^-2)*(K37))+(3.05378908)</f>
        <v>163.59822723178149</v>
      </c>
      <c r="H37" s="130">
        <f>Properties!V30*'NOx Model (2)'!$J$3</f>
        <v>1480.97</v>
      </c>
      <c r="I37" s="128">
        <f t="shared" si="9"/>
        <v>623.41790391322763</v>
      </c>
      <c r="J37" s="130">
        <f t="shared" si="10"/>
        <v>2229.4603500000003</v>
      </c>
      <c r="K37" s="243">
        <v>1300</v>
      </c>
    </row>
    <row r="38" spans="1:11" x14ac:dyDescent="0.25">
      <c r="A38" s="128">
        <f>'NOx Model (2)'!$F$3*(8.5770134353*(10^-19)*(K38^6))-(1.0374875556*(10^-14)*(K38^5))+(4.9689475953*(10^-11)*(K38^4))-(1.2019118054*(10^-7)*(K38^3))+(1.5650954893*(10^-4)*(K38^2))-(4.8239362033*(10^-2)*(K38))+(5.2084519626)</f>
        <v>89.252226754367072</v>
      </c>
      <c r="B38" s="130">
        <f>Properties!D31*'NOx Model (2)'!$F$3</f>
        <v>419.76</v>
      </c>
      <c r="C38" s="128">
        <f>'NOx Model (2)'!$H$3* ((6.6506859177*(10^-19)*(K38^6)) -(7.8984343104*(10^-15)*(K38^5))+(3.6879849877*(10^-11)*(K38^4))-(8.6386228559*(10^-8)*(K38^3))+(1.1074017861*(10^-4)*(K38^2))-(3.1241611608*(10^-2)*(K38))+(3.3006694533))</f>
        <v>369.86939630660021</v>
      </c>
      <c r="D38" s="130">
        <f>Properties!J31*'NOx Model (2)'!$H$3</f>
        <v>367.35929999999996</v>
      </c>
      <c r="E38" s="128">
        <f>'NOx Model (2)'!$I$3*(6.4958291549*(10^-19)*('NOx Model (1)'!K38^6))-(7.8224528491*(10^-15)*('NOx Model (1)'!K38^5))+(3.7120417697*(10^-11)*('NOx Model (1)'!K38^4))-(8.798317617*(10^-8)*('NOx Model (1)'!K38^3))+(1.0982327235*(10^-4)*('NOx Model (1)'!K38^2))-(3.2606444641*(10^-2)*('NOx Model (1)'!K38))+(3.5786489003)</f>
        <v>31.952341486026551</v>
      </c>
      <c r="F38" s="130">
        <f>Properties!P31*'NOx Model (2)'!$I$3</f>
        <v>4.3937500000000034</v>
      </c>
      <c r="G38" s="128">
        <f>'NOx Model (2)'!$J$3*(5.9376621671*(10^-19)*('NOx Model (1)'!K38^6))-(7.1020711589*(10^-15)*('NOx Model (1)'!K38^5))+(3.3460896805*(10^-11)*(K38^4))-(7.8909601634*(10^-8)*(K38^3))+(9.8599769212*(10^-5)*(K38^2))-(2.8172899156*(10^-2)*(K38))+(3.05378908)</f>
        <v>198.79946410730852</v>
      </c>
      <c r="H38" s="130">
        <f>Properties!V31*'NOx Model (2)'!$J$3</f>
        <v>1561.34</v>
      </c>
      <c r="I38" s="128">
        <f t="shared" si="9"/>
        <v>689.87342865430242</v>
      </c>
      <c r="J38" s="130">
        <f t="shared" si="10"/>
        <v>2352.8530499999997</v>
      </c>
      <c r="K38" s="243">
        <v>1350</v>
      </c>
    </row>
    <row r="39" spans="1:11" x14ac:dyDescent="0.25">
      <c r="A39" s="128">
        <f>'NOx Model (2)'!$F$3*(8.5770134353*(10^-19)*(K39^6))-(1.0374875556*(10^-14)*(K39^5))+(4.9689475953*(10^-11)*(K39^4))-(1.2019118054*(10^-7)*(K39^3))+(1.5650954893*(10^-4)*(K39^2))-(4.8239362033*(10^-2)*(K39))+(5.2084519626)</f>
        <v>100.86407942357475</v>
      </c>
      <c r="B39" s="130">
        <f>Properties!D32*'NOx Model (2)'!$F$3</f>
        <v>442.56960000000004</v>
      </c>
      <c r="C39" s="128">
        <f>'NOx Model (2)'!$H$3* ((6.6506859177*(10^-19)*(K39^6)) -(7.8984343104*(10^-15)*(K39^5))+(3.6879849877*(10^-11)*(K39^4))-(8.6386228559*(10^-8)*(K39^3))+(1.1074017861*(10^-4)*(K39^2))-(3.1241611608*(10^-2)*(K39))+(3.3006694533))</f>
        <v>390.03494668509444</v>
      </c>
      <c r="D39" s="130">
        <f>Properties!J32*'NOx Model (2)'!$H$3</f>
        <v>387.76320000000004</v>
      </c>
      <c r="E39" s="128">
        <f>'NOx Model (2)'!$I$3*(6.4958291549*(10^-19)*('NOx Model (1)'!K39^6))-(7.8224528491*(10^-15)*('NOx Model (1)'!K39^5))+(3.7120417697*(10^-11)*('NOx Model (1)'!K39^4))-(8.798317617*(10^-8)*('NOx Model (1)'!K39^3))+(1.0982327235*(10^-4)*('NOx Model (1)'!K39^2))-(3.2606444641*(10^-2)*('NOx Model (1)'!K39))+(3.5786489003)</f>
        <v>32.8995548554675</v>
      </c>
      <c r="F39" s="130">
        <f>Properties!P32*'NOx Model (2)'!$I$3</f>
        <v>4.6187500000000048</v>
      </c>
      <c r="G39" s="128">
        <f>'NOx Model (2)'!$J$3*(5.9376621671*(10^-19)*('NOx Model (1)'!K39^6))-(7.1020711589*(10^-15)*('NOx Model (1)'!K39^5))+(3.3460896805*(10^-11)*(K39^4))-(7.8909601634*(10^-8)*(K39^3))+(9.8599769212*(10^-5)*(K39^2))-(2.8172899156*(10^-2)*(K39))+(3.05378908)</f>
        <v>240.81292191205173</v>
      </c>
      <c r="H39" s="130">
        <f>Properties!V32*'NOx Model (2)'!$J$3</f>
        <v>1642.1799999999998</v>
      </c>
      <c r="I39" s="128">
        <f t="shared" si="9"/>
        <v>764.61150287618841</v>
      </c>
      <c r="J39" s="130">
        <f t="shared" si="10"/>
        <v>2477.1315500000001</v>
      </c>
      <c r="K39" s="243">
        <v>1400</v>
      </c>
    </row>
    <row r="40" spans="1:11" x14ac:dyDescent="0.25">
      <c r="A40" s="128">
        <f>'NOx Model (2)'!$F$3*(8.5770134353*(10^-19)*(K40^6))-(1.0374875556*(10^-14)*(K40^5))+(4.9689475953*(10^-11)*(K40^4))-(1.2019118054*(10^-7)*(K40^3))+(1.5650954893*(10^-4)*(K40^2))-(4.8239362033*(10^-2)*(K40))+(5.2084519626)</f>
        <v>114.19218087639064</v>
      </c>
      <c r="B40" s="130">
        <f>Properties!D33*'NOx Model (2)'!$F$3</f>
        <v>465.45840000000004</v>
      </c>
      <c r="C40" s="128">
        <f>'NOx Model (2)'!$H$3* ((6.6506859177*(10^-19)*(K40^6)) -(7.8984343104*(10^-15)*(K40^5))+(3.6879849877*(10^-11)*(K40^4))-(8.6386228559*(10^-8)*(K40^3))+(1.1074017861*(10^-4)*(K40^2))-(3.1241611608*(10^-2)*(K40))+(3.3006694533))</f>
        <v>410.34389424687362</v>
      </c>
      <c r="D40" s="130">
        <f>Properties!J33*'NOx Model (2)'!$H$3</f>
        <v>408.43440000000004</v>
      </c>
      <c r="E40" s="128">
        <f>'NOx Model (2)'!$I$3*(6.4958291549*(10^-19)*('NOx Model (1)'!K40^6))-(7.8224528491*(10^-15)*('NOx Model (1)'!K40^5))+(3.7120417697*(10^-11)*('NOx Model (1)'!K40^4))-(8.798317617*(10^-8)*('NOx Model (1)'!K40^3))+(1.0982327235*(10^-4)*('NOx Model (1)'!K40^2))-(3.2606444641*(10^-2)*('NOx Model (1)'!K40))+(3.5786489003)</f>
        <v>33.680882028826368</v>
      </c>
      <c r="F40" s="130">
        <f>Properties!P33*'NOx Model (2)'!$I$3</f>
        <v>4.8462500000000048</v>
      </c>
      <c r="G40" s="128">
        <f>'NOx Model (2)'!$J$3*(5.9376621671*(10^-19)*('NOx Model (1)'!K40^6))-(7.1020711589*(10^-15)*('NOx Model (1)'!K40^5))+(3.3460896805*(10^-11)*(K40^4))-(7.8909601634*(10^-8)*(K40^3))+(9.8599769212*(10^-5)*(K40^2))-(2.8172899156*(10^-2)*(K40))+(3.05378908)</f>
        <v>290.70599537757857</v>
      </c>
      <c r="H40" s="130">
        <f>Properties!V33*'NOx Model (2)'!$J$3</f>
        <v>1723.49</v>
      </c>
      <c r="I40" s="128">
        <f t="shared" si="9"/>
        <v>848.92295252966915</v>
      </c>
      <c r="J40" s="130">
        <f t="shared" si="10"/>
        <v>2602.2290499999999</v>
      </c>
      <c r="K40" s="243">
        <v>1450</v>
      </c>
    </row>
    <row r="41" spans="1:11" x14ac:dyDescent="0.25">
      <c r="A41" s="128">
        <f>'NOx Model (2)'!$F$3*(8.5770134353*(10^-19)*(K41^6))-(1.0374875556*(10^-14)*(K41^5))+(4.9689475953*(10^-11)*(K41^4))-(1.2019118054*(10^-7)*(K41^3))+(1.5650954893*(10^-4)*(K41^2))-(4.8239362033*(10^-2)*(K41))+(5.2084519626)</f>
        <v>129.49587502166705</v>
      </c>
      <c r="B41" s="130">
        <f>Properties!D34*'NOx Model (2)'!$F$3</f>
        <v>488.50560000000002</v>
      </c>
      <c r="C41" s="128">
        <f>'NOx Model (2)'!$H$3* ((6.6506859177*(10^-19)*(K41^6)) -(7.8984343104*(10^-15)*(K41^5))+(3.6879849877*(10^-11)*(K41^4))-(8.6386228559*(10^-8)*(K41^3))+(1.1074017861*(10^-4)*(K41^2))-(3.1241611608*(10^-2)*(K41))+(3.3006694533))</f>
        <v>430.80904866498764</v>
      </c>
      <c r="D41" s="130">
        <f>Properties!J34*'NOx Model (2)'!$H$3</f>
        <v>429.28379999999999</v>
      </c>
      <c r="E41" s="128">
        <f>'NOx Model (2)'!$I$3*(6.4958291549*(10^-19)*('NOx Model (1)'!K41^6))-(7.8224528491*(10^-15)*('NOx Model (1)'!K41^5))+(3.7120417697*(10^-11)*('NOx Model (1)'!K41^4))-(8.798317617*(10^-8)*('NOx Model (1)'!K41^3))+(1.0982327235*(10^-4)*('NOx Model (1)'!K41^2))-(3.2606444641*(10^-2)*('NOx Model (1)'!K41))+(3.5786489003)</f>
        <v>34.273382845353538</v>
      </c>
      <c r="F41" s="130">
        <f>Properties!P34*'NOx Model (2)'!$I$3</f>
        <v>5.0737500000000049</v>
      </c>
      <c r="G41" s="128">
        <f>'NOx Model (2)'!$J$3*(5.9376621671*(10^-19)*('NOx Model (1)'!K41^6))-(7.1020711589*(10^-15)*('NOx Model (1)'!K41^5))+(3.3460896805*(10^-11)*(K41^4))-(7.8909601634*(10^-8)*(K41^3))+(9.8599769212*(10^-5)*(K41^2))-(2.8172899156*(10^-2)*(K41))+(3.05378908)</f>
        <v>349.66676344464577</v>
      </c>
      <c r="H41" s="130">
        <f>Properties!V34*'NOx Model (2)'!$J$3</f>
        <v>1804.8</v>
      </c>
      <c r="I41" s="128">
        <f t="shared" si="9"/>
        <v>944.24506997665401</v>
      </c>
      <c r="J41" s="130">
        <f t="shared" si="10"/>
        <v>2727.6631499999999</v>
      </c>
      <c r="K41" s="243">
        <v>1500</v>
      </c>
    </row>
    <row r="42" spans="1:11" x14ac:dyDescent="0.25">
      <c r="A42" s="128">
        <f>'NOx Model (2)'!$F$3*(8.5770134353*(10^-19)*(K42^6))-(1.0374875556*(10^-14)*(K42^5))+(4.9689475953*(10^-11)*(K42^4))-(1.2019118054*(10^-7)*(K42^3))+(1.5650954893*(10^-4)*(K42^2))-(4.8239362033*(10^-2)*(K42))+(5.2084519626)</f>
        <v>147.06282435961992</v>
      </c>
      <c r="B42" s="130">
        <f>Properties!D35*'NOx Model (2)'!$F$3</f>
        <v>511.63199999999995</v>
      </c>
      <c r="C42" s="128">
        <f>'NOx Model (2)'!$H$3* ((6.6506859177*(10^-19)*(K42^6)) -(7.8984343104*(10^-15)*(K42^5))+(3.6879849877*(10^-11)*(K42^4))-(8.6386228559*(10^-8)*(K42^3))+(1.1074017861*(10^-4)*(K42^2))-(3.1241611608*(10^-2)*(K42))+(3.3006694533))</f>
        <v>451.4440203299464</v>
      </c>
      <c r="D42" s="130">
        <f>Properties!J35*'NOx Model (2)'!$H$3</f>
        <v>450.40049999999997</v>
      </c>
      <c r="E42" s="128">
        <f>'NOx Model (2)'!$I$3*(6.4958291549*(10^-19)*('NOx Model (1)'!K42^6))-(7.8224528491*(10^-15)*('NOx Model (1)'!K42^5))+(3.7120417697*(10^-11)*('NOx Model (1)'!K42^4))-(8.798317617*(10^-8)*('NOx Model (1)'!K42^3))+(1.0982327235*(10^-4)*('NOx Model (1)'!K42^2))-(3.2606444641*(10^-2)*('NOx Model (1)'!K42))+(3.5786489003)</f>
        <v>34.651562558373776</v>
      </c>
      <c r="F42" s="130">
        <f>Properties!P35*'NOx Model (2)'!$I$3</f>
        <v>5.3025000000000047</v>
      </c>
      <c r="G42" s="128">
        <f>'NOx Model (2)'!$J$3*(5.9376621671*(10^-19)*('NOx Model (1)'!K42^6))-(7.1020711589*(10^-15)*('NOx Model (1)'!K42^5))+(3.3460896805*(10^-11)*(K42^4))-(7.8909601634*(10^-8)*(K42^3))+(9.8599769212*(10^-5)*(K42^2))-(2.8172899156*(10^-2)*(K42))+(3.05378908)</f>
        <v>419.01267062131251</v>
      </c>
      <c r="H42" s="130">
        <f>Properties!V35*'NOx Model (2)'!$J$3</f>
        <v>1887.05</v>
      </c>
      <c r="I42" s="128">
        <f t="shared" si="9"/>
        <v>1052.1710778692527</v>
      </c>
      <c r="J42" s="130">
        <f t="shared" si="10"/>
        <v>2854.3849999999998</v>
      </c>
      <c r="K42" s="243">
        <v>1550</v>
      </c>
    </row>
    <row r="43" spans="1:11" x14ac:dyDescent="0.25">
      <c r="A43" s="128">
        <f>'NOx Model (2)'!$F$3*(8.5770134353*(10^-19)*(K43^6))-(1.0374875556*(10^-14)*(K43^5))+(4.9689475953*(10^-11)*(K43^4))-(1.2019118054*(10^-7)*(K43^3))+(1.5650954893*(10^-4)*(K43^2))-(4.8239362033*(10^-2)*(K43))+(5.2084519626)</f>
        <v>167.21087534909094</v>
      </c>
      <c r="B43" s="130">
        <f>Properties!D36*'NOx Model (2)'!$F$3</f>
        <v>534.91680000000008</v>
      </c>
      <c r="C43" s="128">
        <f>'NOx Model (2)'!$H$3* ((6.6506859177*(10^-19)*(K43^6)) -(7.8984343104*(10^-15)*(K43^5))+(3.6879849877*(10^-11)*(K43^4))-(8.6386228559*(10^-8)*(K43^3))+(1.1074017861*(10^-4)*(K43^2))-(3.1241611608*(10^-2)*(K43))+(3.3006694533))</f>
        <v>472.26254789734037</v>
      </c>
      <c r="D43" s="130">
        <f>Properties!J36*'NOx Model (2)'!$H$3</f>
        <v>471.69540000000001</v>
      </c>
      <c r="E43" s="128">
        <f>'NOx Model (2)'!$I$3*(6.4958291549*(10^-19)*('NOx Model (1)'!K43^6))-(7.8224528491*(10^-15)*('NOx Model (1)'!K43^5))+(3.7120417697*(10^-11)*('NOx Model (1)'!K43^4))-(8.798317617*(10^-8)*('NOx Model (1)'!K43^3))+(1.0982327235*(10^-4)*('NOx Model (1)'!K43^2))-(3.2606444641*(10^-2)*('NOx Model (1)'!K43))+(3.5786489003)</f>
        <v>34.787105440846027</v>
      </c>
      <c r="F43" s="130">
        <f>Properties!P36*'NOx Model (2)'!$I$3</f>
        <v>5.5312500000000053</v>
      </c>
      <c r="G43" s="128">
        <f>'NOx Model (2)'!$J$3*(5.9376621671*(10^-19)*('NOx Model (1)'!K43^6))-(7.1020711589*(10^-15)*('NOx Model (1)'!K43^5))+(3.3460896805*(10^-11)*(K43^4))-(7.8909601634*(10^-8)*(K43^3))+(9.8599769212*(10^-5)*(K43^2))-(2.8172899156*(10^-2)*(K43))+(3.05378908)</f>
        <v>500.19952229494118</v>
      </c>
      <c r="H43" s="130">
        <f>Properties!V36*'NOx Model (2)'!$J$3</f>
        <v>1969.3</v>
      </c>
      <c r="I43" s="128">
        <f t="shared" si="9"/>
        <v>1174.4600509822185</v>
      </c>
      <c r="J43" s="130">
        <f t="shared" si="10"/>
        <v>2981.4434499999998</v>
      </c>
      <c r="K43" s="243">
        <v>1600</v>
      </c>
    </row>
    <row r="44" spans="1:11" x14ac:dyDescent="0.25">
      <c r="A44" s="128">
        <f>'NOx Model (2)'!$F$3*(8.5770134353*(10^-19)*(K44^6))-(1.0374875556*(10^-14)*(K44^5))+(4.9689475953*(10^-11)*(K44^4))-(1.2019118054*(10^-7)*(K44^3))+(1.5650954893*(10^-4)*(K44^2))-(4.8239362033*(10^-2)*(K44))+(5.2084519626)</f>
        <v>190.29000019600133</v>
      </c>
      <c r="B44" s="130">
        <f>Properties!D37*'NOx Model (2)'!$F$3</f>
        <v>558.20159999999998</v>
      </c>
      <c r="C44" s="128">
        <f>'NOx Model (2)'!$H$3* ((6.6506859177*(10^-19)*(K44^6)) -(7.8984343104*(10^-15)*(K44^5))+(3.6879849877*(10^-11)*(K44^4))-(8.6386228559*(10^-8)*(K44^3))+(1.1074017861*(10^-4)*(K44^2))-(3.1241611608*(10^-2)*(K44))+(3.3006694533))</f>
        <v>493.27789250026859</v>
      </c>
      <c r="D44" s="130">
        <f>Properties!J37*'NOx Model (2)'!$H$3</f>
        <v>493.16849999999999</v>
      </c>
      <c r="E44" s="128">
        <f>'NOx Model (2)'!$I$3*(6.4958291549*(10^-19)*('NOx Model (1)'!K44^6))-(7.8224528491*(10^-15)*('NOx Model (1)'!K44^5))+(3.7120417697*(10^-11)*('NOx Model (1)'!K44^4))-(8.798317617*(10^-8)*('NOx Model (1)'!K44^3))+(1.0982327235*(10^-4)*('NOx Model (1)'!K44^2))-(3.2606444641*(10^-2)*('NOx Model (1)'!K44))+(3.5786489003)</f>
        <v>34.64860930439859</v>
      </c>
      <c r="F44" s="130">
        <f>Properties!P37*'NOx Model (2)'!$I$3</f>
        <v>5.7612500000000058</v>
      </c>
      <c r="G44" s="128">
        <f>'NOx Model (2)'!$J$3*(5.9376621671*(10^-19)*('NOx Model (1)'!K44^6))-(7.1020711589*(10^-15)*('NOx Model (1)'!K44^5))+(3.3460896805*(10^-11)*(K44^4))-(7.8909601634*(10^-8)*(K44^3))+(9.8599769212*(10^-5)*(K44^2))-(2.8172899156*(10^-2)*(K44))+(3.05378908)</f>
        <v>594.8307939980856</v>
      </c>
      <c r="H44" s="130">
        <f>Properties!V37*'NOx Model (2)'!$J$3</f>
        <v>2052.02</v>
      </c>
      <c r="I44" s="128">
        <f t="shared" si="9"/>
        <v>1313.0472959987542</v>
      </c>
      <c r="J44" s="130">
        <f t="shared" si="10"/>
        <v>3109.1513500000001</v>
      </c>
      <c r="K44" s="243">
        <v>1650</v>
      </c>
    </row>
    <row r="45" spans="1:11" x14ac:dyDescent="0.25">
      <c r="A45" s="128">
        <f>'NOx Model (2)'!$F$3*(8.5770134353*(10^-19)*(K45^6))-(1.0374875556*(10^-14)*(K45^5))+(4.9689475953*(10^-11)*(K45^4))-(1.2019118054*(10^-7)*(K45^3))+(1.5650954893*(10^-4)*(K45^2))-(4.8239362033*(10^-2)*(K45))+(5.2084519626)</f>
        <v>216.68431506299328</v>
      </c>
      <c r="B45" s="130">
        <f>Properties!D38*'NOx Model (2)'!$F$3</f>
        <v>581.64480000000003</v>
      </c>
      <c r="C45" s="128">
        <f>'NOx Model (2)'!$H$3* ((6.6506859177*(10^-19)*(K45^6)) -(7.8984343104*(10^-15)*(K45^5))+(3.6879849877*(10^-11)*(K45^4))-(8.6386228559*(10^-8)*(K45^3))+(1.1074017861*(10^-4)*(K45^2))-(3.1241611608*(10^-2)*(K45))+(3.3006694533))</f>
        <v>514.50229862658807</v>
      </c>
      <c r="D45" s="130">
        <f>Properties!J38*'NOx Model (2)'!$H$3</f>
        <v>514.81979999999999</v>
      </c>
      <c r="E45" s="128">
        <f>'NOx Model (2)'!$I$3*(6.4958291549*(10^-19)*('NOx Model (1)'!K45^6))-(7.8224528491*(10^-15)*('NOx Model (1)'!K45^5))+(3.7120417697*(10^-11)*('NOx Model (1)'!K45^4))-(8.798317617*(10^-8)*('NOx Model (1)'!K45^3))+(1.0982327235*(10^-4)*('NOx Model (1)'!K45^2))-(3.2606444641*(10^-2)*('NOx Model (1)'!K45))+(3.5786489003)</f>
        <v>34.201320931840549</v>
      </c>
      <c r="F45" s="130">
        <f>Properties!P38*'NOx Model (2)'!$I$3</f>
        <v>5.992500000000005</v>
      </c>
      <c r="G45" s="128">
        <f>'NOx Model (2)'!$J$3*(5.9376621671*(10^-19)*('NOx Model (1)'!K45^6))-(7.1020711589*(10^-15)*('NOx Model (1)'!K45^5))+(3.3460896805*(10^-11)*(K45^4))-(7.8909601634*(10^-8)*(K45^3))+(9.8599769212*(10^-5)*(K45^2))-(2.8172899156*(10^-2)*(K45))+(3.05378908)</f>
        <v>704.66725462826491</v>
      </c>
      <c r="H45" s="130">
        <f>Properties!V38*'NOx Model (2)'!$J$3</f>
        <v>2134.7400000000002</v>
      </c>
      <c r="I45" s="128">
        <f t="shared" si="9"/>
        <v>1470.0551892496869</v>
      </c>
      <c r="J45" s="130">
        <f t="shared" si="10"/>
        <v>3237.1971000000003</v>
      </c>
      <c r="K45" s="243">
        <v>1700</v>
      </c>
    </row>
    <row r="46" spans="1:11" x14ac:dyDescent="0.25">
      <c r="A46" s="128">
        <f>'NOx Model (2)'!$F$3*(8.5770134353*(10^-19)*(K46^6))-(1.0374875556*(10^-14)*(K46^5))+(4.9689475953*(10^-11)*(K46^4))-(1.2019118054*(10^-7)*(K46^3))+(1.5650954893*(10^-4)*(K46^2))-(4.8239362033*(10^-2)*(K46))+(5.2084519626)</f>
        <v>246.81417470026281</v>
      </c>
      <c r="B46" s="130">
        <f>Properties!D39*'NOx Model (2)'!$F$3</f>
        <v>605.16719999999998</v>
      </c>
      <c r="C46" s="128">
        <f>'NOx Model (2)'!$H$3* ((6.6506859177*(10^-19)*(K46^6)) -(7.8984343104*(10^-15)*(K46^5))+(3.6879849877*(10^-11)*(K46^4))-(8.6386228559*(10^-8)*(K46^3))+(1.1074017861*(10^-4)*(K46^2))-(3.1241611608*(10^-2)*(K46))+(3.3006694533))</f>
        <v>535.94652166096728</v>
      </c>
      <c r="D46" s="130">
        <f>Properties!J39*'NOx Model (2)'!$H$3</f>
        <v>536.73840000000007</v>
      </c>
      <c r="E46" s="128">
        <f>'NOx Model (2)'!$I$3*(6.4958291549*(10^-19)*('NOx Model (1)'!K46^6))-(7.8224528491*(10^-15)*('NOx Model (1)'!K46^5))+(3.7120417697*(10^-11)*('NOx Model (1)'!K46^4))-(8.798317617*(10^-8)*('NOx Model (1)'!K46^3))+(1.0982327235*(10^-4)*('NOx Model (1)'!K46^2))-(3.2606444641*(10^-2)*('NOx Model (1)'!K46))+(3.5786489003)</f>
        <v>33.406872423149053</v>
      </c>
      <c r="F46" s="130">
        <f>Properties!P39*'NOx Model (2)'!$I$3</f>
        <v>6.225000000000005</v>
      </c>
      <c r="G46" s="128">
        <f>'NOx Model (2)'!$J$3*(5.9376621671*(10^-19)*('NOx Model (1)'!K46^6))-(7.1020711589*(10^-15)*('NOx Model (1)'!K46^5))+(3.3460896805*(10^-11)*(K46^4))-(7.8909601634*(10^-8)*(K46^3))+(9.8599769212*(10^-5)*(K46^2))-(2.8172899156*(10^-2)*(K46))+(3.05378908)</f>
        <v>831.63690362162549</v>
      </c>
      <c r="H46" s="130">
        <f>Properties!V39*'NOx Model (2)'!$J$3</f>
        <v>2217.9299999999998</v>
      </c>
      <c r="I46" s="128">
        <f t="shared" si="9"/>
        <v>1647.8044724060046</v>
      </c>
      <c r="J46" s="130">
        <f t="shared" si="10"/>
        <v>3366.0605999999998</v>
      </c>
      <c r="K46" s="243">
        <v>1750</v>
      </c>
    </row>
    <row r="47" spans="1:11" x14ac:dyDescent="0.25">
      <c r="A47" s="128">
        <f>'NOx Model (2)'!$F$3*(8.5770134353*(10^-19)*(K47^6))-(1.0374875556*(10^-14)*(K47^5))+(4.9689475953*(10^-11)*(K47^4))-(1.2019118054*(10^-7)*(K47^3))+(1.5650954893*(10^-4)*(K47^2))-(4.8239362033*(10^-2)*(K47))+(5.2084519626)</f>
        <v>281.13834349758184</v>
      </c>
      <c r="B47" s="130">
        <f>Properties!D40*'NOx Model (2)'!$F$3</f>
        <v>628.84800000000007</v>
      </c>
      <c r="C47" s="128">
        <f>'NOx Model (2)'!$H$3* ((6.6506859177*(10^-19)*(K47^6)) -(7.8984343104*(10^-15)*(K47^5))+(3.6879849877*(10^-11)*(K47^4))-(8.6386228559*(10^-8)*(K47^3))+(1.1074017861*(10^-4)*(K47^2))-(3.1241611608*(10^-2)*(K47))+(3.3006694533))</f>
        <v>557.61942209175709</v>
      </c>
      <c r="D47" s="130">
        <f>Properties!J40*'NOx Model (2)'!$H$3</f>
        <v>558.74610000000007</v>
      </c>
      <c r="E47" s="128">
        <f>'NOx Model (2)'!$I$3*(6.4958291549*(10^-19)*('NOx Model (1)'!K47^6))-(7.8224528491*(10^-15)*('NOx Model (1)'!K47^5))+(3.7120417697*(10^-11)*('NOx Model (1)'!K47^4))-(8.798317617*(10^-8)*('NOx Model (1)'!K47^3))+(1.0982327235*(10^-4)*('NOx Model (1)'!K47^2))-(3.2606444641*(10^-2)*('NOx Model (1)'!K47))+(3.5786489003)</f>
        <v>32.223018454932557</v>
      </c>
      <c r="F47" s="130">
        <f>Properties!P40*'NOx Model (2)'!$I$3</f>
        <v>6.4575000000000049</v>
      </c>
      <c r="G47" s="128">
        <f>'NOx Model (2)'!$J$3*(5.9376621671*(10^-19)*('NOx Model (1)'!K47^6))-(7.1020711589*(10^-15)*('NOx Model (1)'!K47^5))+(3.3460896805*(10^-11)*(K47^4))-(7.8909601634*(10^-8)*(K47^3))+(9.8599769212*(10^-5)*(K47^2))-(2.8172899156*(10^-2)*(K47))+(3.05378908)</f>
        <v>977.84522208049032</v>
      </c>
      <c r="H47" s="130">
        <f>Properties!V40*'NOx Model (2)'!$J$3</f>
        <v>2301.59</v>
      </c>
      <c r="I47" s="128">
        <f t="shared" si="9"/>
        <v>1848.826006124762</v>
      </c>
      <c r="J47" s="130">
        <f t="shared" si="10"/>
        <v>3495.6416000000004</v>
      </c>
      <c r="K47" s="243">
        <v>1800</v>
      </c>
    </row>
    <row r="48" spans="1:11" x14ac:dyDescent="0.25">
      <c r="A48" s="128">
        <f>'NOx Model (2)'!$F$3*(8.5770134353*(10^-19)*(K48^6))-(1.0374875556*(10^-14)*(K48^5))+(4.9689475953*(10^-11)*(K48^4))-(1.2019118054*(10^-7)*(K48^3))+(1.5650954893*(10^-4)*(K48^2))-(4.8239362033*(10^-2)*(K48))+(5.2084519626)</f>
        <v>320.1562429575086</v>
      </c>
      <c r="B48" s="130">
        <f>Properties!D41*'NOx Model (2)'!$F$3</f>
        <v>652.52880000000005</v>
      </c>
      <c r="C48" s="128">
        <f>'NOx Model (2)'!$H$3* ((6.6506859177*(10^-19)*(K48^6)) -(7.8984343104*(10^-15)*(K48^5))+(3.6879849877*(10^-11)*(K48^4))-(8.6386228559*(10^-8)*(K48^3))+(1.1074017861*(10^-4)*(K48^2))-(3.1241611608*(10^-2)*(K48))+(3.3006694533))</f>
        <v>579.52762638267666</v>
      </c>
      <c r="D48" s="130">
        <f>Properties!J41*'NOx Model (2)'!$H$3</f>
        <v>581.02109999999993</v>
      </c>
      <c r="E48" s="128">
        <f>'NOx Model (2)'!$I$3*(6.4958291549*(10^-19)*('NOx Model (1)'!K48^6))-(7.8224528491*(10^-15)*('NOx Model (1)'!K48^5))+(3.7120417697*(10^-11)*('NOx Model (1)'!K48^4))-(8.798317617*(10^-8)*('NOx Model (1)'!K48^3))+(1.0982327235*(10^-4)*('NOx Model (1)'!K48^2))-(3.2606444641*(10^-2)*('NOx Model (1)'!K48))+(3.5786489003)</f>
        <v>30.603374453370893</v>
      </c>
      <c r="F48" s="130">
        <f>Properties!P41*'NOx Model (2)'!$I$3</f>
        <v>6.6912500000000064</v>
      </c>
      <c r="G48" s="128">
        <f>'NOx Model (2)'!$J$3*(5.9376621671*(10^-19)*('NOx Model (1)'!K48^6))-(7.1020711589*(10^-15)*('NOx Model (1)'!K48^5))+(3.3460896805*(10^-11)*(K48^4))-(7.8909601634*(10^-8)*(K48^3))+(9.8599769212*(10^-5)*(K48^2))-(2.8172899156*(10^-2)*(K48))+(3.05378908)</f>
        <v>1145.5857378547946</v>
      </c>
      <c r="H48" s="130">
        <f>Properties!V41*'NOx Model (2)'!$J$3</f>
        <v>2385.25</v>
      </c>
      <c r="I48" s="128">
        <f t="shared" si="9"/>
        <v>2075.872981648351</v>
      </c>
      <c r="J48" s="130">
        <f t="shared" si="10"/>
        <v>3625.4911499999998</v>
      </c>
      <c r="K48" s="243">
        <v>1850</v>
      </c>
    </row>
    <row r="49" spans="1:11" x14ac:dyDescent="0.25">
      <c r="A49" s="128">
        <f>'NOx Model (2)'!$F$3*(8.5770134353*(10^-19)*(K49^6))-(1.0374875556*(10^-14)*(K49^5))+(4.9689475953*(10^-11)*(K49^4))-(1.2019118054*(10^-7)*(K49^3))+(1.5650954893*(10^-4)*(K49^2))-(4.8239362033*(10^-2)*(K49))+(5.2084519626)</f>
        <v>364.41027558979061</v>
      </c>
      <c r="B49" s="130">
        <f>Properties!D42*'NOx Model (2)'!$F$3</f>
        <v>676.28880000000004</v>
      </c>
      <c r="C49" s="128">
        <f>'NOx Model (2)'!$H$3* ((6.6506859177*(10^-19)*(K49^6)) -(7.8984343104*(10^-15)*(K49^5))+(3.6879849877*(10^-11)*(K49^4))-(8.6386228559*(10^-8)*(K49^3))+(1.1074017861*(10^-4)*(K49^2))-(3.1241611608*(10^-2)*(K49))+(3.3006694533))</f>
        <v>601.6752545093093</v>
      </c>
      <c r="D49" s="130">
        <f>Properties!J42*'NOx Model (2)'!$H$3</f>
        <v>603.38520000000005</v>
      </c>
      <c r="E49" s="128">
        <f>'NOx Model (2)'!$I$3*(6.4958291549*(10^-19)*('NOx Model (1)'!K49^6))-(7.8224528491*(10^-15)*('NOx Model (1)'!K49^5))+(3.7120417697*(10^-11)*('NOx Model (1)'!K49^4))-(8.798317617*(10^-8)*('NOx Model (1)'!K49^3))+(1.0982327235*(10^-4)*('NOx Model (1)'!K49^2))-(3.2606444641*(10^-2)*('NOx Model (1)'!K49))+(3.5786489003)</f>
        <v>28.497155680629046</v>
      </c>
      <c r="F49" s="130">
        <f>Properties!P42*'NOx Model (2)'!$I$3</f>
        <v>6.925000000000006</v>
      </c>
      <c r="G49" s="128">
        <f>'NOx Model (2)'!$J$3*(5.9376621671*(10^-19)*('NOx Model (1)'!K49^6))-(7.1020711589*(10^-15)*('NOx Model (1)'!K49^5))+(3.3460896805*(10^-11)*(K49^4))-(7.8909601634*(10^-8)*(K49^3))+(9.8599769212*(10^-5)*(K49^2))-(2.8172899156*(10^-2)*(K49))+(3.05378908)</f>
        <v>1337.3509045774099</v>
      </c>
      <c r="H49" s="130">
        <f>Properties!V42*'NOx Model (2)'!$J$3</f>
        <v>2469.38</v>
      </c>
      <c r="I49" s="128">
        <f t="shared" si="9"/>
        <v>2331.9335903571391</v>
      </c>
      <c r="J49" s="130">
        <f t="shared" si="10"/>
        <v>3755.9790000000003</v>
      </c>
      <c r="K49" s="243">
        <v>1900</v>
      </c>
    </row>
    <row r="50" spans="1:11" x14ac:dyDescent="0.25">
      <c r="A50" s="128">
        <f>'NOx Model (2)'!$F$3*(8.5770134353*(10^-19)*(K50^6))-(1.0374875556*(10^-14)*(K50^5))+(4.9689475953*(10^-11)*(K50^4))-(1.2019118054*(10^-7)*(K50^3))+(1.5650954893*(10^-4)*(K50^2))-(4.8239362033*(10^-2)*(K50))+(5.2084519626)</f>
        <v>414.48822522695428</v>
      </c>
      <c r="B50" s="130">
        <f>Properties!D43*'NOx Model (2)'!$F$3</f>
        <v>700.12800000000004</v>
      </c>
      <c r="C50" s="128">
        <f>'NOx Model (2)'!$H$3* ((6.6506859177*(10^-19)*(K50^6)) -(7.8984343104*(10^-15)*(K50^5))+(3.6879849877*(10^-11)*(K50^4))-(8.6386228559*(10^-8)*(K50^3))+(1.1074017861*(10^-4)*(K50^2))-(3.1241611608*(10^-2)*(K50))+(3.3006694533))</f>
        <v>624.06371416040793</v>
      </c>
      <c r="D50" s="130">
        <f>Properties!J43*'NOx Model (2)'!$H$3</f>
        <v>625.92750000000001</v>
      </c>
      <c r="E50" s="128">
        <f>'NOx Model (2)'!$I$3*(6.4958291549*(10^-19)*('NOx Model (1)'!K50^6))-(7.8224528491*(10^-15)*('NOx Model (1)'!K50^5))+(3.7120417697*(10^-11)*('NOx Model (1)'!K50^4))-(8.798317617*(10^-8)*('NOx Model (1)'!K50^3))+(1.0982327235*(10^-4)*('NOx Model (1)'!K50^2))-(3.2606444641*(10^-2)*('NOx Model (1)'!K50))+(3.5786489003)</f>
        <v>25.848917234749724</v>
      </c>
      <c r="F50" s="130">
        <f>Properties!P43*'NOx Model (2)'!$I$3</f>
        <v>7.1600000000000064</v>
      </c>
      <c r="G50" s="128">
        <f>'NOx Model (2)'!$J$3*(5.9376621671*(10^-19)*('NOx Model (1)'!K50^6))-(7.1020711589*(10^-15)*('NOx Model (1)'!K50^5))+(3.3460896805*(10^-11)*(K50^4))-(7.8909601634*(10^-8)*(K50^3))+(9.8599769212*(10^-5)*(K50^2))-(2.8172899156*(10^-2)*(K50))+(3.05378908)</f>
        <v>1555.8432946533519</v>
      </c>
      <c r="H50" s="130">
        <f>Properties!V43*'NOx Model (2)'!$J$3</f>
        <v>2553.5099999999998</v>
      </c>
      <c r="I50" s="128">
        <f t="shared" si="9"/>
        <v>2620.244151275464</v>
      </c>
      <c r="J50" s="130">
        <f t="shared" si="10"/>
        <v>3886.7254999999996</v>
      </c>
      <c r="K50" s="243">
        <v>1950</v>
      </c>
    </row>
    <row r="51" spans="1:11" x14ac:dyDescent="0.25">
      <c r="A51" s="128">
        <f>'NOx Model (2)'!$F$3*(8.5770134353*(10^-19)*(K51^6))-(1.0374875556*(10^-14)*(K51^5))+(4.9689475953*(10^-11)*(K51^4))-(1.2019118054*(10^-7)*(K51^3))+(1.5650954893*(10^-4)*(K51^2))-(4.8239362033*(10^-2)*(K51))+(5.2084519626)</f>
        <v>471.02573376108649</v>
      </c>
      <c r="B51" s="130">
        <f>Properties!D44*'NOx Model (2)'!$F$3</f>
        <v>724.04640000000006</v>
      </c>
      <c r="C51" s="128">
        <f>'NOx Model (2)'!$H$3* ((6.6506859177*(10^-19)*(K51^6)) -(7.8984343104*(10^-15)*(K51^5))+(3.6879849877*(10^-11)*(K51^4))-(8.6386228559*(10^-8)*(K51^3))+(1.1074017861*(10^-4)*(K51^2))-(3.1241611608*(10^-2)*(K51))+(3.3006694533))</f>
        <v>646.69156160401963</v>
      </c>
      <c r="D51" s="130">
        <f>Properties!J44*'NOx Model (2)'!$H$3</f>
        <v>648.64800000000002</v>
      </c>
      <c r="E51" s="128">
        <f>'NOx Model (2)'!$I$3*(6.4958291549*(10^-19)*('NOx Model (1)'!K51^6))-(7.8224528491*(10^-15)*('NOx Model (1)'!K51^5))+(3.7120417697*(10^-11)*('NOx Model (1)'!K51^4))-(8.798317617*(10^-8)*('NOx Model (1)'!K51^3))+(1.0982327235*(10^-4)*('NOx Model (1)'!K51^2))-(3.2606444641*(10^-2)*('NOx Model (1)'!K51))+(3.5786489003)</f>
        <v>22.598294963019956</v>
      </c>
      <c r="F51" s="130">
        <f>Properties!P44*'NOx Model (2)'!$I$3</f>
        <v>7.3962500000000064</v>
      </c>
      <c r="G51" s="128">
        <f>'NOx Model (2)'!$J$3*(5.9376621671*(10^-19)*('NOx Model (1)'!K51^6))-(7.1020711589*(10^-15)*('NOx Model (1)'!K51^5))+(3.3460896805*(10^-11)*(K51^4))-(7.8909601634*(10^-8)*(K51^3))+(9.8599769212*(10^-5)*(K51^2))-(2.8172899156*(10^-2)*(K51))+(3.05378908)</f>
        <v>1803.9871062028794</v>
      </c>
      <c r="H51" s="130">
        <f>Properties!V44*'NOx Model (2)'!$J$3</f>
        <v>2638.11</v>
      </c>
      <c r="I51" s="128">
        <f t="shared" si="9"/>
        <v>2944.3026965310055</v>
      </c>
      <c r="J51" s="130">
        <f t="shared" si="10"/>
        <v>4018.2006500000002</v>
      </c>
      <c r="K51" s="243">
        <v>2000</v>
      </c>
    </row>
    <row r="52" spans="1:11" x14ac:dyDescent="0.25">
      <c r="A52" s="128">
        <f>'NOx Model (2)'!$F$3*(8.5770134353*(10^-19)*(K52^6))-(1.0374875556*(10^-14)*(K52^5))+(4.9689475953*(10^-11)*(K52^4))-(1.2019118054*(10^-7)*(K52^3))+(1.5650954893*(10^-4)*(K52^2))-(4.8239362033*(10^-2)*(K52))+(5.2084519626)</f>
        <v>534.70885430180408</v>
      </c>
      <c r="B52" s="130">
        <f>Properties!D45*'NOx Model (2)'!$F$3</f>
        <v>747.96479999999997</v>
      </c>
      <c r="C52" s="128">
        <f>'NOx Model (2)'!$H$3* ((6.6506859177*(10^-19)*(K52^6)) -(7.8984343104*(10^-15)*(K52^5))+(3.6879849877*(10^-11)*(K52^4))-(8.6386228559*(10^-8)*(K52^3))+(1.1074017861*(10^-4)*(K52^2))-(3.1241611608*(10^-2)*(K52))+(3.3006694533))</f>
        <v>669.55442921842518</v>
      </c>
      <c r="D52" s="130">
        <f>Properties!J45*'NOx Model (2)'!$H$3</f>
        <v>671.5467000000001</v>
      </c>
      <c r="E52" s="128">
        <f>'NOx Model (2)'!$I$3*(6.4958291549*(10^-19)*('NOx Model (1)'!K52^6))-(7.8224528491*(10^-15)*('NOx Model (1)'!K52^5))+(3.7120417697*(10^-11)*('NOx Model (1)'!K52^4))-(8.798317617*(10^-8)*('NOx Model (1)'!K52^3))+(1.0982327235*(10^-4)*('NOx Model (1)'!K52^2))-(3.2606444641*(10^-2)*('NOx Model (1)'!K52))+(3.5786489003)</f>
        <v>18.6797472888145</v>
      </c>
      <c r="F52" s="130">
        <f>Properties!P45*'NOx Model (2)'!$I$3</f>
        <v>7.6325000000000074</v>
      </c>
      <c r="G52" s="128">
        <f>'NOx Model (2)'!$J$3*(5.9376621671*(10^-19)*('NOx Model (1)'!K52^6))-(7.1020711589*(10^-15)*('NOx Model (1)'!K52^5))+(3.3460896805*(10^-11)*(K52^4))-(7.8909601634*(10^-8)*(K52^3))+(9.8599769212*(10^-5)*(K52^2))-(2.8172899156*(10^-2)*(K52))+(3.05378908)</f>
        <v>2084.9399839584803</v>
      </c>
      <c r="H52" s="130">
        <f>Properties!V45*'NOx Model (2)'!$J$3</f>
        <v>2722.71</v>
      </c>
      <c r="I52" s="128">
        <f t="shared" si="9"/>
        <v>3307.8830147675244</v>
      </c>
      <c r="J52" s="130">
        <f t="shared" si="10"/>
        <v>4149.8540000000003</v>
      </c>
      <c r="K52" s="243">
        <v>2050</v>
      </c>
    </row>
    <row r="53" spans="1:11" x14ac:dyDescent="0.25">
      <c r="A53" s="128">
        <f>'NOx Model (2)'!$F$3*(8.5770134353*(10^-19)*(K53^6))-(1.0374875556*(10^-14)*(K53^5))+(4.9689475953*(10^-11)*(K53^4))-(1.2019118054*(10^-7)*(K53^3))+(1.5650954893*(10^-4)*(K53^2))-(4.8239362033*(10^-2)*(K53))+(5.2084519626)</f>
        <v>606.27668075541544</v>
      </c>
      <c r="B53" s="130">
        <f>Properties!D46*'NOx Model (2)'!$F$3</f>
        <v>771.9624</v>
      </c>
      <c r="C53" s="128">
        <f>'NOx Model (2)'!$H$3* ((6.6506859177*(10^-19)*(K53^6)) -(7.8984343104*(10^-15)*(K53^5))+(3.6879849877*(10^-11)*(K53^4))-(8.6386228559*(10^-8)*(K53^3))+(1.1074017861*(10^-4)*(K53^2))-(3.1241611608*(10^-2)*(K53))+(3.3006694533))</f>
        <v>692.64501968788431</v>
      </c>
      <c r="D53" s="130">
        <f>Properties!J46*'NOx Model (2)'!$H$3</f>
        <v>694.53449999999998</v>
      </c>
      <c r="E53" s="128">
        <f>'NOx Model (2)'!$I$3*(6.4958291549*(10^-19)*('NOx Model (1)'!K53^6))-(7.8224528491*(10^-15)*('NOx Model (1)'!K53^5))+(3.7120417697*(10^-11)*('NOx Model (1)'!K53^4))-(8.798317617*(10^-8)*('NOx Model (1)'!K53^3))+(1.0982327235*(10^-4)*('NOx Model (1)'!K53^2))-(3.2606444641*(10^-2)*('NOx Model (1)'!K53))+(3.5786489003)</f>
        <v>14.022297951915039</v>
      </c>
      <c r="F53" s="130">
        <f>Properties!P46*'NOx Model (2)'!$I$3</f>
        <v>7.8700000000000072</v>
      </c>
      <c r="G53" s="128">
        <f>'NOx Model (2)'!$J$3*(5.9376621671*(10^-19)*('NOx Model (1)'!K53^6))-(7.1020711589*(10^-15)*('NOx Model (1)'!K53^5))+(3.3460896805*(10^-11)*(K53^4))-(7.8909601634*(10^-8)*(K53^3))+(9.8599769212*(10^-5)*(K53^2))-(2.8172899156*(10^-2)*(K53))+(3.05378908)</f>
        <v>2402.1051541157381</v>
      </c>
      <c r="H53" s="130">
        <f>Properties!V46*'NOx Model (2)'!$J$3</f>
        <v>2807.31</v>
      </c>
      <c r="I53" s="128">
        <f t="shared" si="9"/>
        <v>3715.0491525109528</v>
      </c>
      <c r="J53" s="130">
        <f t="shared" si="10"/>
        <v>4281.6769000000004</v>
      </c>
      <c r="K53" s="243">
        <v>2100</v>
      </c>
    </row>
    <row r="54" spans="1:11" x14ac:dyDescent="0.25">
      <c r="A54" s="128">
        <f>'NOx Model (2)'!$F$3*(8.5770134353*(10^-19)*(K54^6))-(1.0374875556*(10^-14)*(K54^5))+(4.9689475953*(10^-11)*(K54^4))-(1.2019118054*(10^-7)*(K54^3))+(1.5650954893*(10^-4)*(K54^2))-(4.8239362033*(10^-2)*(K54))+(5.2084519626)</f>
        <v>686.52405382526911</v>
      </c>
      <c r="B54" s="130">
        <f>Properties!D47*'NOx Model (2)'!$F$3</f>
        <v>796.03920000000005</v>
      </c>
      <c r="C54" s="128">
        <f>'NOx Model (2)'!$H$3* ((6.6506859177*(10^-19)*(K54^6)) -(7.8984343104*(10^-15)*(K54^5))+(3.6879849877*(10^-11)*(K54^4))-(8.6386228559*(10^-8)*(K54^3))+(1.1074017861*(10^-4)*(K54^2))-(3.1241611608*(10^-2)*(K54))+(3.3006694533))</f>
        <v>715.95316686318847</v>
      </c>
      <c r="D54" s="130">
        <f>Properties!J47*'NOx Model (2)'!$H$3</f>
        <v>717.61140000000012</v>
      </c>
      <c r="E54" s="128">
        <f>'NOx Model (2)'!$I$3*(6.4958291549*(10^-19)*('NOx Model (1)'!K54^6))-(7.8224528491*(10^-15)*('NOx Model (1)'!K54^5))+(3.7120417697*(10^-11)*('NOx Model (1)'!K54^4))-(8.798317617*(10^-8)*('NOx Model (1)'!K54^3))+(1.0982327235*(10^-4)*('NOx Model (1)'!K54^2))-(3.2606444641*(10^-2)*('NOx Model (1)'!K54))+(3.5786489003)</f>
        <v>8.5492796623048868</v>
      </c>
      <c r="F54" s="130">
        <f>Properties!P47*'NOx Model (2)'!$I$3</f>
        <v>8.107500000000007</v>
      </c>
      <c r="G54" s="128">
        <f>'NOx Model (2)'!$J$3*(5.9376621671*(10^-19)*('NOx Model (1)'!K54^6))-(7.1020711589*(10^-15)*('NOx Model (1)'!K54^5))+(3.3460896805*(10^-11)*(K54^4))-(7.8909601634*(10^-8)*(K54^3))+(9.8599769212*(10^-5)*(K54^2))-(2.8172899156*(10^-2)*(K54))+(3.05378908)</f>
        <v>2759.1438731380945</v>
      </c>
      <c r="H54" s="130">
        <f>Properties!V47*'NOx Model (2)'!$J$3</f>
        <v>2892.38</v>
      </c>
      <c r="I54" s="128">
        <f t="shared" si="9"/>
        <v>4170.170373488857</v>
      </c>
      <c r="J54" s="130">
        <f t="shared" si="10"/>
        <v>4414.1381000000001</v>
      </c>
      <c r="K54" s="243">
        <v>2150</v>
      </c>
    </row>
    <row r="55" spans="1:11" x14ac:dyDescent="0.25">
      <c r="A55" s="128">
        <f>'NOx Model (2)'!$F$3*(8.5770134353*(10^-19)*(K55^6))-(1.0374875556*(10^-14)*(K55^5))+(4.9689475953*(10^-11)*(K55^4))-(1.2019118054*(10^-7)*(K55^3))+(1.5650954893*(10^-4)*(K55^2))-(4.8239362033*(10^-2)*(K55))+(5.2084519626)</f>
        <v>776.30434343329387</v>
      </c>
      <c r="B55" s="130">
        <f>Properties!D48*'NOx Model (2)'!$F$3</f>
        <v>820.1952</v>
      </c>
      <c r="C55" s="128">
        <f>'NOx Model (2)'!$H$3* ((6.6506859177*(10^-19)*(K55^6)) -(7.8984343104*(10^-15)*(K55^5))+(3.6879849877*(10^-11)*(K55^4))-(8.6386228559*(10^-8)*(K55^3))+(1.1074017861*(10^-4)*(K55^2))-(3.1241611608*(10^-2)*(K55))+(3.3006694533))</f>
        <v>739.465963287053</v>
      </c>
      <c r="D55" s="130">
        <f>Properties!J48*'NOx Model (2)'!$H$3</f>
        <v>740.9556</v>
      </c>
      <c r="E55" s="128">
        <f>'NOx Model (2)'!$I$3*(6.4958291549*(10^-19)*('NOx Model (1)'!K55^6))-(7.8224528491*(10^-15)*('NOx Model (1)'!K55^5))+(3.7120417697*(10^-11)*('NOx Model (1)'!K55^4))-(8.798317617*(10^-8)*('NOx Model (1)'!K55^3))+(1.0982327235*(10^-4)*('NOx Model (1)'!K55^2))-(3.2606444641*(10^-2)*('NOx Model (1)'!K55))+(3.5786489003)</f>
        <v>2.1780786674408761</v>
      </c>
      <c r="F55" s="130">
        <f>Properties!P48*'NOx Model (2)'!$I$3</f>
        <v>8.3462500000000066</v>
      </c>
      <c r="G55" s="128">
        <f>'NOx Model (2)'!$J$3*(5.9376621671*(10^-19)*('NOx Model (1)'!K55^6))-(7.1020711589*(10^-15)*('NOx Model (1)'!K55^5))+(3.3460896805*(10^-11)*(K55^4))-(7.8909601634*(10^-8)*(K55^3))+(9.8599769212*(10^-5)*(K55^2))-(2.8172899156*(10^-2)*(K55))+(3.05378908)</f>
        <v>3159.9881905154953</v>
      </c>
      <c r="H55" s="130">
        <f>Properties!V48*'NOx Model (2)'!$J$3</f>
        <v>2977.92</v>
      </c>
      <c r="I55" s="128">
        <f t="shared" si="9"/>
        <v>4677.9365759032826</v>
      </c>
      <c r="J55" s="130">
        <f t="shared" si="10"/>
        <v>4547.41705</v>
      </c>
      <c r="K55" s="243">
        <v>2200</v>
      </c>
    </row>
    <row r="56" spans="1:11" x14ac:dyDescent="0.25">
      <c r="A56" s="128">
        <f>'NOx Model (2)'!$F$3*(8.5770134353*(10^-19)*(K56^6))-(1.0374875556*(10^-14)*(K56^5))+(4.9689475953*(10^-11)*(K56^4))-(1.2019118054*(10^-7)*(K56^3))+(1.5650954893*(10^-4)*(K56^2))-(4.8239362033*(10^-2)*(K56))+(5.2084519626)</f>
        <v>876.53230756272796</v>
      </c>
      <c r="B56" s="130">
        <f>Properties!D49*'NOx Model (2)'!$F$3</f>
        <v>844.35119999999995</v>
      </c>
      <c r="C56" s="128">
        <f>'NOx Model (2)'!$H$3* ((6.6506859177*(10^-19)*(K56^6)) -(7.8984343104*(10^-15)*(K56^5))+(3.6879849877*(10^-11)*(K56^4))-(8.6386228559*(10^-8)*(K56^3))+(1.1074017861*(10^-4)*(K56^2))-(3.1241611608*(10^-2)*(K56))+(3.3006694533))</f>
        <v>763.16795438428778</v>
      </c>
      <c r="D56" s="130">
        <f>Properties!J49*'NOx Model (2)'!$H$3</f>
        <v>764.2998</v>
      </c>
      <c r="E56" s="128">
        <f>'NOx Model (2)'!$I$3*(6.4958291549*(10^-19)*('NOx Model (1)'!K56^6))-(7.8224528491*(10^-15)*('NOx Model (1)'!K56^5))+(3.7120417697*(10^-11)*('NOx Model (1)'!K56^4))-(8.798317617*(10^-8)*('NOx Model (1)'!K56^3))+(1.0982327235*(10^-4)*('NOx Model (1)'!K56^2))-(3.2606444641*(10^-2)*('NOx Model (1)'!K56))+(3.5786489003)</f>
        <v>-5.1801197670005008</v>
      </c>
      <c r="F56" s="130">
        <f>Properties!P49*'NOx Model (2)'!$I$3</f>
        <v>8.5862500000000068</v>
      </c>
      <c r="G56" s="128">
        <f>'NOx Model (2)'!$J$3*(5.9376621671*(10^-19)*('NOx Model (1)'!K56^6))-(7.1020711589*(10^-15)*('NOx Model (1)'!K56^5))+(3.3460896805*(10^-11)*(K56^4))-(7.8909601634*(10^-8)*(K56^3))+(9.8599769212*(10^-5)*(K56^2))-(2.8172899156*(10^-2)*(K56))+(3.05378908)</f>
        <v>3608.85402547692</v>
      </c>
      <c r="H56" s="130">
        <f>Properties!V49*'NOx Model (2)'!$J$3</f>
        <v>3062.9900000000002</v>
      </c>
      <c r="I56" s="128">
        <f t="shared" si="9"/>
        <v>5243.3741676569352</v>
      </c>
      <c r="J56" s="130">
        <f t="shared" si="10"/>
        <v>4680.2272499999999</v>
      </c>
      <c r="K56" s="243">
        <v>2250</v>
      </c>
    </row>
    <row r="57" spans="1:11" x14ac:dyDescent="0.25">
      <c r="A57" s="128">
        <f>'NOx Model (2)'!$F$3*(8.5770134353*(10^-19)*(K57^6))-(1.0374875556*(10^-14)*(K57^5))+(4.9689475953*(10^-11)*(K57^4))-(1.2019118054*(10^-7)*(K57^3))+(1.5650954893*(10^-4)*(K57^2))-(4.8239362033*(10^-2)*(K57))+(5.2084519626)</f>
        <v>988.18702752203717</v>
      </c>
      <c r="B57" s="130">
        <f>Properties!D50*'NOx Model (2)'!$F$3</f>
        <v>868.50720000000001</v>
      </c>
      <c r="C57" s="128">
        <f>'NOx Model (2)'!$H$3* ((6.6506859177*(10^-19)*(K57^6)) -(7.8984343104*(10^-15)*(K57^5))+(3.6879849877*(10^-11)*(K57^4))-(8.6386228559*(10^-8)*(K57^3))+(1.1074017861*(10^-4)*(K57^2))-(3.1241611608*(10^-2)*(K57))+(3.3006694533))</f>
        <v>787.04139931680334</v>
      </c>
      <c r="D57" s="130">
        <f>Properties!J50*'NOx Model (2)'!$H$3</f>
        <v>787.82220000000007</v>
      </c>
      <c r="E57" s="128">
        <f>'NOx Model (2)'!$I$3*(6.4958291549*(10^-19)*('NOx Model (1)'!K57^6))-(7.8224528491*(10^-15)*('NOx Model (1)'!K57^5))+(3.7120417697*(10^-11)*('NOx Model (1)'!K57^4))-(8.798317617*(10^-8)*('NOx Model (1)'!K57^3))+(1.0982327235*(10^-4)*('NOx Model (1)'!K57^2))-(3.2606444641*(10^-2)*('NOx Model (1)'!K57))+(3.5786489003)</f>
        <v>-13.620584962898914</v>
      </c>
      <c r="F57" s="130">
        <f>Properties!P50*'NOx Model (2)'!$I$3</f>
        <v>8.826250000000007</v>
      </c>
      <c r="G57" s="128">
        <f>'NOx Model (2)'!$J$3*(5.9376621671*(10^-19)*('NOx Model (1)'!K57^6))-(7.1020711589*(10^-15)*('NOx Model (1)'!K57^5))+(3.3460896805*(10^-11)*(K57^4))-(7.8909601634*(10^-8)*(K57^3))+(9.8599769212*(10^-5)*(K57^2))-(2.8172899156*(10^-2)*(K57))+(3.05378908)</f>
        <v>4110.2545576568036</v>
      </c>
      <c r="H57" s="130">
        <f>Properties!V50*'NOx Model (2)'!$J$3</f>
        <v>3148.5299999999997</v>
      </c>
      <c r="I57" s="128">
        <f t="shared" si="9"/>
        <v>5871.8623995327453</v>
      </c>
      <c r="J57" s="130">
        <f t="shared" si="10"/>
        <v>4813.6856499999994</v>
      </c>
      <c r="K57" s="243">
        <v>2300</v>
      </c>
    </row>
    <row r="58" spans="1:11" x14ac:dyDescent="0.25">
      <c r="A58" s="128">
        <f>'NOx Model (2)'!$F$3*(8.5770134353*(10^-19)*(K58^6))-(1.0374875556*(10^-14)*(K58^5))+(4.9689475953*(10^-11)*(K58^4))-(1.2019118054*(10^-7)*(K58^3))+(1.5650954893*(10^-4)*(K58^2))-(4.8239362033*(10^-2)*(K58))+(5.2084519626)</f>
        <v>1112.3149196300258</v>
      </c>
      <c r="B58" s="130">
        <f>Properties!D51*'NOx Model (2)'!$F$3</f>
        <v>892.82159999999999</v>
      </c>
      <c r="C58" s="128">
        <f>'NOx Model (2)'!$H$3* ((6.6506859177*(10^-19)*(K58^6)) -(7.8984343104*(10^-15)*(K58^5))+(3.6879849877*(10^-11)*(K58^4))-(8.6386228559*(10^-8)*(K58^3))+(1.1074017861*(10^-4)*(K58^2))-(3.1241611608*(10^-2)*(K58))+(3.3006694533))</f>
        <v>811.06659850342987</v>
      </c>
      <c r="D58" s="130">
        <f>Properties!J51*'NOx Model (2)'!$H$3</f>
        <v>811.43369999999993</v>
      </c>
      <c r="E58" s="128">
        <f>'NOx Model (2)'!$I$3*(6.4958291549*(10^-19)*('NOx Model (1)'!K58^6))-(7.8224528491*(10^-15)*('NOx Model (1)'!K58^5))+(3.7120417697*(10^-11)*('NOx Model (1)'!K58^4))-(8.798317617*(10^-8)*('NOx Model (1)'!K58^3))+(1.0982327235*(10^-4)*('NOx Model (1)'!K58^2))-(3.2606444641*(10^-2)*('NOx Model (1)'!K58))+(3.5786489003)</f>
        <v>-23.245293521992604</v>
      </c>
      <c r="F58" s="130">
        <f>Properties!P51*'NOx Model (2)'!$I$3</f>
        <v>9.066250000000009</v>
      </c>
      <c r="G58" s="128">
        <f>'NOx Model (2)'!$J$3*(5.9376621671*(10^-19)*('NOx Model (1)'!K58^6))-(7.1020711589*(10^-15)*('NOx Model (1)'!K58^5))+(3.3460896805*(10^-11)*(K58^4))-(7.8909601634*(10^-8)*(K58^3))+(9.8599769212*(10^-5)*(K58^2))-(2.8172899156*(10^-2)*(K58))+(3.05378908)</f>
        <v>4669.0139317153426</v>
      </c>
      <c r="H58" s="130">
        <f>Properties!V51*'NOx Model (2)'!$J$3</f>
        <v>3234.5399999999995</v>
      </c>
      <c r="I58" s="128">
        <f t="shared" si="9"/>
        <v>6569.1501563268057</v>
      </c>
      <c r="J58" s="130">
        <f t="shared" si="10"/>
        <v>4947.8615499999996</v>
      </c>
      <c r="K58" s="243">
        <v>2350</v>
      </c>
    </row>
    <row r="59" spans="1:11" x14ac:dyDescent="0.25">
      <c r="A59" s="128">
        <f>'NOx Model (2)'!$F$3*(8.5770134353*(10^-19)*(K59^6))-(1.0374875556*(10^-14)*(K59^5))+(4.9689475953*(10^-11)*(K59^4))-(1.2019118054*(10^-7)*(K59^3))+(1.5650954893*(10^-4)*(K59^2))-(4.8239362033*(10^-2)*(K59))+(5.2084519626)</f>
        <v>1250.0328233221319</v>
      </c>
      <c r="B59" s="130">
        <f>Properties!D52*'NOx Model (2)'!$F$3</f>
        <v>917.05680000000007</v>
      </c>
      <c r="C59" s="128">
        <f>'NOx Model (2)'!$H$3* ((6.6506859177*(10^-19)*(K59^6)) -(7.8984343104*(10^-15)*(K59^5))+(3.6879849877*(10^-11)*(K59^4))-(8.6386228559*(10^-8)*(K59^3))+(1.1074017861*(10^-4)*(K59^2))-(3.1241611608*(10^-2)*(K59))+(3.3006694533))</f>
        <v>835.22228780453258</v>
      </c>
      <c r="D59" s="130">
        <f>Properties!J52*'NOx Model (2)'!$H$3</f>
        <v>835.22339999999997</v>
      </c>
      <c r="E59" s="128">
        <f>'NOx Model (2)'!$I$3*(6.4958291549*(10^-19)*('NOx Model (1)'!K59^6))-(7.8224528491*(10^-15)*('NOx Model (1)'!K59^5))+(3.7120417697*(10^-11)*('NOx Model (1)'!K59^4))-(8.798317617*(10^-8)*('NOx Model (1)'!K59^3))+(1.0982327235*(10^-4)*('NOx Model (1)'!K59^2))-(3.2606444641*(10^-2)*('NOx Model (1)'!K59))+(3.5786489003)</f>
        <v>-34.163181104701444</v>
      </c>
      <c r="F59" s="130">
        <f>Properties!P52*'NOx Model (2)'!$I$3</f>
        <v>9.3075000000000081</v>
      </c>
      <c r="G59" s="128">
        <f>'NOx Model (2)'!$J$3*(5.9376621671*(10^-19)*('NOx Model (1)'!K59^6))-(7.1020711589*(10^-15)*('NOx Model (1)'!K59^5))+(3.3460896805*(10^-11)*(K59^4))-(7.8909601634*(10^-8)*(K59^3))+(9.8599769212*(10^-5)*(K59^2))-(2.8172899156*(10^-2)*(K59))+(3.05378908)</f>
        <v>5290.2812759126928</v>
      </c>
      <c r="H59" s="130">
        <f>Properties!V52*'NOx Model (2)'!$J$3</f>
        <v>3320.08</v>
      </c>
      <c r="I59" s="128">
        <f t="shared" si="9"/>
        <v>7341.3732059346557</v>
      </c>
      <c r="J59" s="130">
        <f t="shared" si="10"/>
        <v>5081.6677</v>
      </c>
      <c r="K59" s="243">
        <v>2400</v>
      </c>
    </row>
    <row r="60" spans="1:11" x14ac:dyDescent="0.25">
      <c r="A60" s="128">
        <f>'NOx Model (2)'!$F$3*(8.5770134353*(10^-19)*(K60^6))-(1.0374875556*(10^-14)*(K60^5))+(4.9689475953*(10^-11)*(K60^4))-(1.2019118054*(10^-7)*(K60^3))+(1.5650954893*(10^-4)*(K60^2))-(4.8239362033*(10^-2)*(K60))+(5.2084519626)</f>
        <v>1402.5311656779181</v>
      </c>
      <c r="B60" s="130">
        <f>Properties!D53*'NOx Model (2)'!$F$3</f>
        <v>941.37119999999993</v>
      </c>
      <c r="C60" s="128">
        <f>'NOx Model (2)'!$H$3* ((6.6506859177*(10^-19)*(K60^6)) -(7.8984343104*(10^-15)*(K60^5))+(3.6879849877*(10^-11)*(K60^4))-(8.6386228559*(10^-8)*(K60^3))+(1.1074017861*(10^-4)*(K60^2))-(3.1241611608*(10^-2)*(K60))+(3.3006694533))</f>
        <v>859.48609937145432</v>
      </c>
      <c r="D60" s="130">
        <f>Properties!J53*'NOx Model (2)'!$H$3</f>
        <v>859.10220000000004</v>
      </c>
      <c r="E60" s="128">
        <f>'NOx Model (2)'!$I$3*(6.4958291549*(10^-19)*('NOx Model (1)'!K60^6))-(7.8224528491*(10^-15)*('NOx Model (1)'!K60^5))+(3.7120417697*(10^-11)*('NOx Model (1)'!K60^4))-(8.798317617*(10^-8)*('NOx Model (1)'!K60^3))+(1.0982327235*(10^-4)*('NOx Model (1)'!K60^2))-(3.2606444641*(10^-2)*('NOx Model (1)'!K60))+(3.5786489003)</f>
        <v>-46.490393295477595</v>
      </c>
      <c r="F60" s="130">
        <f>Properties!P53*'NOx Model (2)'!$I$3</f>
        <v>9.5500000000000096</v>
      </c>
      <c r="G60" s="128">
        <f>'NOx Model (2)'!$J$3*(5.9376621671*(10^-19)*('NOx Model (1)'!K60^6))-(7.1020711589*(10^-15)*('NOx Model (1)'!K60^5))+(3.3460896805*(10^-11)*(K60^4))-(7.8909601634*(10^-8)*(K60^3))+(9.8599769212*(10^-5)*(K60^2))-(2.8172899156*(10^-2)*(K60))+(3.05378908)</f>
        <v>5979.545034637039</v>
      </c>
      <c r="H60" s="130">
        <f>Properties!V53*'NOx Model (2)'!$J$3</f>
        <v>3406.09</v>
      </c>
      <c r="I60" s="128">
        <f t="shared" si="9"/>
        <v>8195.0719063909346</v>
      </c>
      <c r="J60" s="130">
        <f t="shared" si="10"/>
        <v>5216.1134000000002</v>
      </c>
      <c r="K60" s="243">
        <v>2450</v>
      </c>
    </row>
    <row r="61" spans="1:11" x14ac:dyDescent="0.25">
      <c r="A61" s="128">
        <f>'NOx Model (2)'!$F$3*(8.5770134353*(10^-19)*(K61^6))-(1.0374875556*(10^-14)*(K61^5))+(4.9689475953*(10^-11)*(K61^4))-(1.2019118054*(10^-7)*(K61^3))+(1.5650954893*(10^-4)*(K61^2))-(4.8239362033*(10^-2)*(K61))+(5.2084519626)</f>
        <v>1571.0772023697482</v>
      </c>
      <c r="B61" s="130">
        <f>Properties!D54*'NOx Model (2)'!$F$3</f>
        <v>965.76479999999992</v>
      </c>
      <c r="C61" s="128">
        <f>'NOx Model (2)'!$H$3* ((6.6506859177*(10^-19)*(K61^6)) -(7.8984343104*(10^-15)*(K61^5))+(3.6879849877*(10^-11)*(K61^4))-(8.6386228559*(10^-8)*(K61^3))+(1.1074017861*(10^-4)*(K61^2))-(3.1241611608*(10^-2)*(K61))+(3.3006694533))</f>
        <v>883.83508916077744</v>
      </c>
      <c r="D61" s="130">
        <f>Properties!J54*'NOx Model (2)'!$H$3</f>
        <v>883.07010000000002</v>
      </c>
      <c r="E61" s="128">
        <f>'NOx Model (2)'!$I$3*(6.4958291549*(10^-19)*('NOx Model (1)'!K61^6))-(7.8224528491*(10^-15)*('NOx Model (1)'!K61^5))+(3.7120417697*(10^-11)*('NOx Model (1)'!K61^4))-(8.798317617*(10^-8)*('NOx Model (1)'!K61^3))+(1.0982327235*(10^-4)*('NOx Model (1)'!K61^2))-(3.2606444641*(10^-2)*('NOx Model (1)'!K61))+(3.5786489003)</f>
        <v>-60.350535554678309</v>
      </c>
      <c r="F61" s="130">
        <f>Properties!P54*'NOx Model (2)'!$I$3</f>
        <v>9.7925000000000093</v>
      </c>
      <c r="G61" s="128">
        <f>'NOx Model (2)'!$J$3*(5.9376621671*(10^-19)*('NOx Model (1)'!K61^6))-(7.1020711589*(10^-15)*('NOx Model (1)'!K61^5))+(3.3460896805*(10^-11)*(K61^4))-(7.8909601634*(10^-8)*(K61^3))+(9.8599769212*(10^-5)*(K61^2))-(2.8172899156*(10^-2)*(K61))+(3.05378908)</f>
        <v>6742.6476148865804</v>
      </c>
      <c r="H61" s="130">
        <f>Properties!V54*'NOx Model (2)'!$J$3</f>
        <v>3492.1</v>
      </c>
      <c r="I61" s="128">
        <f t="shared" si="9"/>
        <v>9137.209370862427</v>
      </c>
      <c r="J61" s="130">
        <f t="shared" si="10"/>
        <v>5350.7273999999998</v>
      </c>
      <c r="K61" s="243">
        <v>2500</v>
      </c>
    </row>
    <row r="62" spans="1:11" x14ac:dyDescent="0.25">
      <c r="A62" s="128">
        <f>'NOx Model (2)'!$F$3*(8.5770134353*(10^-19)*(K62^6))-(1.0374875556*(10^-14)*(K62^5))+(4.9689475953*(10^-11)*(K62^4))-(1.2019118054*(10^-7)*(K62^3))+(1.5650954893*(10^-4)*(K62^2))-(4.8239362033*(10^-2)*(K62))+(5.2084519626)</f>
        <v>1757.0183350326556</v>
      </c>
      <c r="B62" s="130">
        <f>Properties!D55*'NOx Model (2)'!$F$3</f>
        <v>990.15839999999992</v>
      </c>
      <c r="C62" s="128">
        <f>'NOx Model (2)'!$H$3* ((6.6506859177*(10^-19)*(K62^6)) -(7.8984343104*(10^-15)*(K62^5))+(3.6879849877*(10^-11)*(K62^4))-(8.6386228559*(10^-8)*(K62^3))+(1.1074017861*(10^-4)*(K62^2))-(3.1241611608*(10^-2)*(K62))+(3.3006694533))</f>
        <v>908.24633111337187</v>
      </c>
      <c r="D62" s="130">
        <f>Properties!J55*'NOx Model (2)'!$H$3</f>
        <v>907.12710000000004</v>
      </c>
      <c r="E62" s="128">
        <f>'NOx Model (2)'!$I$3*(6.4958291549*(10^-19)*('NOx Model (1)'!K62^6))-(7.8224528491*(10^-15)*('NOx Model (1)'!K62^5))+(3.7120417697*(10^-11)*('NOx Model (1)'!K62^4))-(8.798317617*(10^-8)*('NOx Model (1)'!K62^3))+(1.0982327235*(10^-4)*('NOx Model (1)'!K62^2))-(3.2606444641*(10^-2)*('NOx Model (1)'!K62))+(3.5786489003)</f>
        <v>-75.87492225696171</v>
      </c>
      <c r="F62" s="130">
        <f>Properties!P55*'NOx Model (2)'!$I$3</f>
        <v>10.03625000000001</v>
      </c>
      <c r="G62" s="128">
        <f>'NOx Model (2)'!$J$3*(5.9376621671*(10^-19)*('NOx Model (1)'!K62^6))-(7.1020711589*(10^-15)*('NOx Model (1)'!K62^5))+(3.3460896805*(10^-11)*(K62^4))-(7.8909601634*(10^-8)*(K62^3))+(9.8599769212*(10^-5)*(K62^2))-(2.8172899156*(10^-2)*(K62))+(3.05378908)</f>
        <v>7585.8003467053713</v>
      </c>
      <c r="H62" s="130">
        <f>Properties!V55*'NOx Model (2)'!$J$3</f>
        <v>3578.1099999999997</v>
      </c>
      <c r="I62" s="128">
        <f t="shared" si="9"/>
        <v>10175.190090594437</v>
      </c>
      <c r="J62" s="130">
        <f t="shared" si="10"/>
        <v>5485.4317499999997</v>
      </c>
      <c r="K62" s="243">
        <v>2550</v>
      </c>
    </row>
    <row r="63" spans="1:11" x14ac:dyDescent="0.25">
      <c r="A63" s="128">
        <f>'NOx Model (2)'!$F$3*(8.5770134353*(10^-19)*(K63^6))-(1.0374875556*(10^-14)*(K63^5))+(4.9689475953*(10^-11)*(K63^4))-(1.2019118054*(10^-7)*(K63^3))+(1.5650954893*(10^-4)*(K63^2))-(4.8239362033*(10^-2)*(K63))+(5.2084519626)</f>
        <v>1961.7855050553976</v>
      </c>
      <c r="B63" s="130">
        <f>Properties!D56*'NOx Model (2)'!$F$3</f>
        <v>1014.5519999999999</v>
      </c>
      <c r="C63" s="128">
        <f>'NOx Model (2)'!$H$3* ((6.6506859177*(10^-19)*(K63^6)) -(7.8984343104*(10^-15)*(K63^5))+(3.6879849877*(10^-11)*(K63^4))-(8.6386228559*(10^-8)*(K63^3))+(1.1074017861*(10^-4)*(K63^2))-(3.1241611608*(10^-2)*(K63))+(3.3006694533))</f>
        <v>932.69757799828267</v>
      </c>
      <c r="D63" s="130">
        <f>Properties!J56*'NOx Model (2)'!$H$3</f>
        <v>931.27319999999997</v>
      </c>
      <c r="E63" s="128">
        <f>'NOx Model (2)'!$I$3*(6.4958291549*(10^-19)*('NOx Model (1)'!K63^6))-(7.8224528491*(10^-15)*('NOx Model (1)'!K63^5))+(3.7120417697*(10^-11)*('NOx Model (1)'!K63^4))-(8.798317617*(10^-8)*('NOx Model (1)'!K63^3))+(1.0982327235*(10^-4)*('NOx Model (1)'!K63^2))-(3.2606444641*(10^-2)*('NOx Model (1)'!K63))+(3.5786489003)</f>
        <v>-93.202824816209713</v>
      </c>
      <c r="F63" s="130">
        <f>Properties!P56*'NOx Model (2)'!$I$3</f>
        <v>10.280000000000008</v>
      </c>
      <c r="G63" s="128">
        <f>'NOx Model (2)'!$J$3*(5.9376621671*(10^-19)*('NOx Model (1)'!K63^6))-(7.1020711589*(10^-15)*('NOx Model (1)'!K63^5))+(3.3460896805*(10^-11)*(K63^4))-(7.8909601634*(10^-8)*(K63^3))+(9.8599769212*(10^-5)*(K63^2))-(2.8172899156*(10^-2)*(K63))+(3.05378908)</f>
        <v>8515.5987575730669</v>
      </c>
      <c r="H63" s="130">
        <f>Properties!V56*'NOx Model (2)'!$J$3</f>
        <v>3664.59</v>
      </c>
      <c r="I63" s="128">
        <f t="shared" si="9"/>
        <v>11316.879015810537</v>
      </c>
      <c r="J63" s="130">
        <f t="shared" si="10"/>
        <v>5620.6952000000001</v>
      </c>
      <c r="K63" s="243">
        <v>2600</v>
      </c>
    </row>
    <row r="64" spans="1:11" x14ac:dyDescent="0.25">
      <c r="A64" s="128">
        <f>'NOx Model (2)'!$F$3*(8.5770134353*(10^-19)*(K64^6))-(1.0374875556*(10^-14)*(K64^5))+(4.9689475953*(10^-11)*(K64^4))-(1.2019118054*(10^-7)*(K64^3))+(1.5650954893*(10^-4)*(K64^2))-(4.8239362033*(10^-2)*(K64))+(5.2084519626)</f>
        <v>2186.8966637927065</v>
      </c>
      <c r="B64" s="130">
        <f>Properties!D57*'NOx Model (2)'!$F$3</f>
        <v>1039.0247999999999</v>
      </c>
      <c r="C64" s="128">
        <f>'NOx Model (2)'!$H$3* ((6.6506859177*(10^-19)*(K64^6)) -(7.8984343104*(10^-15)*(K64^5))+(3.6879849877*(10^-11)*(K64^4))-(8.6386228559*(10^-8)*(K64^3))+(1.1074017861*(10^-4)*(K64^2))-(3.1241611608*(10^-2)*(K64))+(3.3006694533))</f>
        <v>957.16798892142879</v>
      </c>
      <c r="D64" s="130">
        <f>Properties!J57*'NOx Model (2)'!$H$3</f>
        <v>955.50839999999994</v>
      </c>
      <c r="E64" s="128">
        <f>'NOx Model (2)'!$I$3*(6.4958291549*(10^-19)*('NOx Model (1)'!K64^6))-(7.8224528491*(10^-15)*('NOx Model (1)'!K64^5))+(3.7120417697*(10^-11)*('NOx Model (1)'!K64^4))-(8.798317617*(10^-8)*('NOx Model (1)'!K64^3))+(1.0982327235*(10^-4)*('NOx Model (1)'!K64^2))-(3.2606444641*(10^-2)*('NOx Model (1)'!K64))+(3.5786489003)</f>
        <v>-112.4817188969717</v>
      </c>
      <c r="F64" s="130">
        <f>Properties!P57*'NOx Model (2)'!$I$3</f>
        <v>10.525000000000009</v>
      </c>
      <c r="G64" s="128">
        <f>'NOx Model (2)'!$J$3*(5.9376621671*(10^-19)*('NOx Model (1)'!K64^6))-(7.1020711589*(10^-15)*('NOx Model (1)'!K64^5))+(3.3460896805*(10^-11)*(K64^4))-(7.8909601634*(10^-8)*(K64^3))+(9.8599769212*(10^-5)*(K64^2))-(2.8172899156*(10^-2)*(K64))+(3.05378908)</f>
        <v>9539.038160748556</v>
      </c>
      <c r="H64" s="130">
        <f>Properties!V57*'NOx Model (2)'!$J$3</f>
        <v>3751.07</v>
      </c>
      <c r="I64" s="128">
        <f t="shared" si="9"/>
        <v>12570.621094565719</v>
      </c>
      <c r="J64" s="130">
        <f t="shared" si="10"/>
        <v>5756.1282000000001</v>
      </c>
      <c r="K64" s="243">
        <v>2650</v>
      </c>
    </row>
    <row r="65" spans="1:11" x14ac:dyDescent="0.25">
      <c r="A65" s="128">
        <f>'NOx Model (2)'!$F$3*(8.5770134353*(10^-19)*(K65^6))-(1.0374875556*(10^-14)*(K65^5))+(4.9689475953*(10^-11)*(K65^4))-(1.2019118054*(10^-7)*(K65^3))+(1.5650954893*(10^-4)*(K65^2))-(4.8239362033*(10^-2)*(K65))+(5.2084519626)</f>
        <v>2433.9603191987235</v>
      </c>
      <c r="B65" s="130">
        <f>Properties!D58*'NOx Model (2)'!$F$3</f>
        <v>1063.4975999999999</v>
      </c>
      <c r="C65" s="128">
        <f>'NOx Model (2)'!$H$3* ((6.6506859177*(10^-19)*(K65^6)) -(7.8984343104*(10^-15)*(K65^5))+(3.6879849877*(10^-11)*(K65^4))-(8.6386228559*(10^-8)*(K65^3))+(1.1074017861*(10^-4)*(K65^2))-(3.1241611608*(10^-2)*(K65))+(3.3006694533))</f>
        <v>981.63892349908463</v>
      </c>
      <c r="D65" s="130">
        <f>Properties!J58*'NOx Model (2)'!$H$3</f>
        <v>979.83270000000005</v>
      </c>
      <c r="E65" s="128">
        <f>'NOx Model (2)'!$I$3*(6.4958291549*(10^-19)*('NOx Model (1)'!K65^6))-(7.8224528491*(10^-15)*('NOx Model (1)'!K65^5))+(3.7120417697*(10^-11)*('NOx Model (1)'!K65^4))-(8.798317617*(10^-8)*('NOx Model (1)'!K65^3))+(1.0982327235*(10^-4)*('NOx Model (1)'!K65^2))-(3.2606444641*(10^-2)*('NOx Model (1)'!K65))+(3.5786489003)</f>
        <v>-133.86753071243433</v>
      </c>
      <c r="F65" s="130">
        <f>Properties!P58*'NOx Model (2)'!$I$3</f>
        <v>10.770000000000008</v>
      </c>
      <c r="G65" s="128">
        <f>'NOx Model (2)'!$J$3*(5.9376621671*(10^-19)*('NOx Model (1)'!K65^6))-(7.1020711589*(10^-15)*('NOx Model (1)'!K65^5))+(3.3460896805*(10^-11)*(K65^4))-(7.8909601634*(10^-8)*(K65^3))+(9.8599769212*(10^-5)*(K65^2))-(2.8172899156*(10^-2)*(K65))+(3.05378908)</f>
        <v>10663.529557567481</v>
      </c>
      <c r="H65" s="130">
        <f>Properties!V58*'NOx Model (2)'!$J$3</f>
        <v>3837.55</v>
      </c>
      <c r="I65" s="128">
        <f t="shared" si="9"/>
        <v>13945.261269552855</v>
      </c>
      <c r="J65" s="130">
        <f t="shared" si="10"/>
        <v>5891.6503000000002</v>
      </c>
      <c r="K65" s="243">
        <v>2700</v>
      </c>
    </row>
    <row r="66" spans="1:11" x14ac:dyDescent="0.25">
      <c r="A66" s="128">
        <f>'NOx Model (2)'!$F$3*(8.5770134353*(10^-19)*(K66^6))-(1.0374875556*(10^-14)*(K66^5))+(4.9689475953*(10^-11)*(K66^4))-(1.2019118054*(10^-7)*(K66^3))+(1.5650954893*(10^-4)*(K66^2))-(4.8239362033*(10^-2)*(K66))+(5.2084519626)</f>
        <v>2704.6791588816245</v>
      </c>
      <c r="B66" s="130">
        <f>Properties!D59*'NOx Model (2)'!$F$3</f>
        <v>1087.9703999999999</v>
      </c>
      <c r="C66" s="128">
        <f>'NOx Model (2)'!$H$3* ((6.6506859177*(10^-19)*(K66^6)) -(7.8984343104*(10^-15)*(K66^5))+(3.6879849877*(10^-11)*(K66^4))-(8.6386228559*(10^-8)*(K66^3))+(1.1074017861*(10^-4)*(K66^2))-(3.1241611608*(10^-2)*(K66))+(3.3006694533))</f>
        <v>1006.0948026962234</v>
      </c>
      <c r="D66" s="130">
        <f>Properties!J59*'NOx Model (2)'!$H$3</f>
        <v>1004.3352</v>
      </c>
      <c r="E66" s="128">
        <f>'NOx Model (2)'!$I$3*(6.4958291549*(10^-19)*('NOx Model (1)'!K66^6))-(7.8224528491*(10^-15)*('NOx Model (1)'!K66^5))+(3.7120417697*(10^-11)*('NOx Model (1)'!K66^4))-(8.798317617*(10^-8)*('NOx Model (1)'!K66^3))+(1.0982327235*(10^-4)*('NOx Model (1)'!K66^2))-(3.2606444641*(10^-2)*('NOx Model (1)'!K66))+(3.5786489003)</f>
        <v>-157.52488240891449</v>
      </c>
      <c r="F66" s="130">
        <f>Properties!P59*'NOx Model (2)'!$I$3</f>
        <v>11.01625000000001</v>
      </c>
      <c r="G66" s="128">
        <f>'NOx Model (2)'!$J$3*(5.9376621671*(10^-19)*('NOx Model (1)'!K66^6))-(7.1020711589*(10^-15)*('NOx Model (1)'!K66^5))+(3.3460896805*(10^-11)*(K66^4))-(7.8909601634*(10^-8)*(K66^3))+(9.8599769212*(10^-5)*(K66^2))-(2.8172899156*(10^-2)*(K66))+(3.05378908)</f>
        <v>11896.915853693625</v>
      </c>
      <c r="H66" s="130">
        <f>Properties!V59*'NOx Model (2)'!$J$3</f>
        <v>3924.0299999999997</v>
      </c>
      <c r="I66" s="128">
        <f t="shared" si="9"/>
        <v>15450.164932862557</v>
      </c>
      <c r="J66" s="130">
        <f t="shared" si="10"/>
        <v>6027.3518499999991</v>
      </c>
      <c r="K66" s="243">
        <v>2750</v>
      </c>
    </row>
    <row r="67" spans="1:11" x14ac:dyDescent="0.25">
      <c r="A67" s="128">
        <f>'NOx Model (2)'!$F$3*(8.5770134353*(10^-19)*(K67^6))-(1.0374875556*(10^-14)*(K67^5))+(4.9689475953*(10^-11)*(K67^4))-(1.2019118054*(10^-7)*(K67^3))+(1.5650954893*(10^-4)*(K67^2))-(4.8239362033*(10^-2)*(K67))+(5.2084519626)</f>
        <v>3000.8537495794412</v>
      </c>
      <c r="B67" s="130">
        <f>Properties!D60*'NOx Model (2)'!$F$3</f>
        <v>1112.5224000000001</v>
      </c>
      <c r="C67" s="128">
        <f>'NOx Model (2)'!$H$3* ((6.6506859177*(10^-19)*(K67^6)) -(7.8984343104*(10^-15)*(K67^5))+(3.6879849877*(10^-11)*(K67^4))-(8.6386228559*(10^-8)*(K67^3))+(1.1074017861*(10^-4)*(K67^2))-(3.1241611608*(10^-2)*(K67))+(3.3006694533))</f>
        <v>1030.5240363296236</v>
      </c>
      <c r="D67" s="130">
        <f>Properties!J60*'NOx Model (2)'!$H$3</f>
        <v>1028.8377</v>
      </c>
      <c r="E67" s="128">
        <f>'NOx Model (2)'!$I$3*(6.4958291549*(10^-19)*('NOx Model (1)'!K67^6))-(7.8224528491*(10^-15)*('NOx Model (1)'!K67^5))+(3.7120417697*(10^-11)*('NOx Model (1)'!K67^4))-(8.798317617*(10^-8)*('NOx Model (1)'!K67^3))+(1.0982327235*(10^-4)*('NOx Model (1)'!K67^2))-(3.2606444641*(10^-2)*('NOx Model (1)'!K67))+(3.5786489003)</f>
        <v>-183.62733653687647</v>
      </c>
      <c r="F67" s="130">
        <f>Properties!P60*'NOx Model (2)'!$I$3</f>
        <v>11.26250000000001</v>
      </c>
      <c r="G67" s="128">
        <f>'NOx Model (2)'!$J$3*(5.9376621671*(10^-19)*('NOx Model (1)'!K67^6))-(7.1020711589*(10^-15)*('NOx Model (1)'!K67^5))+(3.3460896805*(10^-11)*(K67^4))-(7.8909601634*(10^-8)*(K67^3))+(9.8599769212*(10^-5)*(K67^2))-(2.8172899156*(10^-2)*(K67))+(3.05378908)</f>
        <v>13247.488389324217</v>
      </c>
      <c r="H67" s="130">
        <f>Properties!V60*'NOx Model (2)'!$J$3</f>
        <v>4010.5099999999998</v>
      </c>
      <c r="I67" s="128">
        <f t="shared" si="9"/>
        <v>17095.238838696405</v>
      </c>
      <c r="J67" s="130">
        <f t="shared" si="10"/>
        <v>6163.132599999999</v>
      </c>
      <c r="K67" s="243">
        <v>2800</v>
      </c>
    </row>
    <row r="68" spans="1:11" x14ac:dyDescent="0.25">
      <c r="A68" s="128">
        <f>'NOx Model (2)'!$F$3*(8.5770134353*(10^-19)*(K68^6))-(1.0374875556*(10^-14)*(K68^5))+(4.9689475953*(10^-11)*(K68^4))-(1.2019118054*(10^-7)*(K68^3))+(1.5650954893*(10^-4)*(K68^2))-(4.8239362033*(10^-2)*(K68))+(5.2084519626)</f>
        <v>3324.3863130570585</v>
      </c>
      <c r="B68" s="130">
        <f>Properties!D61*'NOx Model (2)'!$F$3</f>
        <v>1137.0744</v>
      </c>
      <c r="C68" s="128">
        <f>'NOx Model (2)'!$H$3* ((6.6506859177*(10^-19)*(K68^6)) -(7.8984343104*(10^-15)*(K68^5))+(3.6879849877*(10^-11)*(K68^4))-(8.6386228559*(10^-8)*(K68^3))+(1.1074017861*(10^-4)*(K68^2))-(3.1241611608*(10^-2)*(K68))+(3.3006694533))</f>
        <v>1054.920017235821</v>
      </c>
      <c r="D68" s="130">
        <f>Properties!J61*'NOx Model (2)'!$H$3</f>
        <v>1053.4293</v>
      </c>
      <c r="E68" s="128">
        <f>'NOx Model (2)'!$I$3*(6.4958291549*(10^-19)*('NOx Model (1)'!K68^6))-(7.8224528491*(10^-15)*('NOx Model (1)'!K68^5))+(3.7120417697*(10^-11)*('NOx Model (1)'!K68^4))-(8.798317617*(10^-8)*('NOx Model (1)'!K68^3))+(1.0982327235*(10^-4)*('NOx Model (1)'!K68^2))-(3.2606444641*(10^-2)*('NOx Model (1)'!K68))+(3.5786489003)</f>
        <v>-212.35763960847393</v>
      </c>
      <c r="F68" s="130">
        <f>Properties!P61*'NOx Model (2)'!$I$3</f>
        <v>11.50875000000001</v>
      </c>
      <c r="G68" s="128">
        <f>'NOx Model (2)'!$J$3*(5.9376621671*(10^-19)*('NOx Model (1)'!K68^6))-(7.1020711589*(10^-15)*('NOx Model (1)'!K68^5))+(3.3460896805*(10^-11)*(K68^4))-(7.8909601634*(10^-8)*(K68^3))+(9.8599769212*(10^-5)*(K68^2))-(2.8172899156*(10^-2)*(K68))+(3.05378908)</f>
        <v>14724.003783349119</v>
      </c>
      <c r="H68" s="130">
        <f>Properties!V61*'NOx Model (2)'!$J$3</f>
        <v>4097.46</v>
      </c>
      <c r="I68" s="128">
        <f t="shared" si="9"/>
        <v>18890.952474033526</v>
      </c>
      <c r="J68" s="130">
        <f t="shared" si="10"/>
        <v>6299.4724500000002</v>
      </c>
      <c r="K68" s="243">
        <v>2850</v>
      </c>
    </row>
    <row r="69" spans="1:11" x14ac:dyDescent="0.25">
      <c r="A69" s="128">
        <f>'NOx Model (2)'!$F$3*(8.5770134353*(10^-19)*(K69^6))-(1.0374875556*(10^-14)*(K69^5))+(4.9689475953*(10^-11)*(K69^4))-(1.2019118054*(10^-7)*(K69^3))+(1.5650954893*(10^-4)*(K69^2))-(4.8239362033*(10^-2)*(K69))+(5.2084519626)</f>
        <v>3677.2845784244187</v>
      </c>
      <c r="B69" s="130">
        <f>Properties!D62*'NOx Model (2)'!$F$3</f>
        <v>1161.6263999999999</v>
      </c>
      <c r="C69" s="128">
        <f>'NOx Model (2)'!$H$3* ((6.6506859177*(10^-19)*(K69^6)) -(7.8984343104*(10^-15)*(K69^5))+(3.6879849877*(10^-11)*(K69^4))-(8.6386228559*(10^-8)*(K69^3))+(1.1074017861*(10^-4)*(K69^2))-(3.1241611608*(10^-2)*(K69))+(3.3006694533))</f>
        <v>1079.2821821038847</v>
      </c>
      <c r="D69" s="130">
        <f>Properties!J62*'NOx Model (2)'!$H$3</f>
        <v>1078.0209</v>
      </c>
      <c r="E69" s="128">
        <f>'NOx Model (2)'!$I$3*(6.4958291549*(10^-19)*('NOx Model (1)'!K69^6))-(7.8224528491*(10^-15)*('NOx Model (1)'!K69^5))+(3.7120417697*(10^-11)*('NOx Model (1)'!K69^4))-(8.798317617*(10^-8)*('NOx Model (1)'!K69^3))+(1.0982327235*(10^-4)*('NOx Model (1)'!K69^2))-(3.2606444641*(10^-2)*('NOx Model (1)'!K69))+(3.5786489003)</f>
        <v>-243.9079647416128</v>
      </c>
      <c r="F69" s="130">
        <f>Properties!P62*'NOx Model (2)'!$I$3</f>
        <v>11.757500000000011</v>
      </c>
      <c r="G69" s="128">
        <f>'NOx Model (2)'!$J$3*(5.9376621671*(10^-19)*('NOx Model (1)'!K69^6))-(7.1020711589*(10^-15)*('NOx Model (1)'!K69^5))+(3.3460896805*(10^-11)*(K69^4))-(7.8909601634*(10^-8)*(K69^3))+(9.8599769212*(10^-5)*(K69^2))-(2.8172899156*(10^-2)*(K69))+(3.05378908)</f>
        <v>16335.701091463858</v>
      </c>
      <c r="H69" s="130">
        <f>Properties!V62*'NOx Model (2)'!$J$3</f>
        <v>4184.41</v>
      </c>
      <c r="I69" s="128">
        <f t="shared" si="9"/>
        <v>20848.359887250546</v>
      </c>
      <c r="J69" s="130">
        <f t="shared" si="10"/>
        <v>6435.8148000000001</v>
      </c>
      <c r="K69" s="243">
        <v>2900</v>
      </c>
    </row>
    <row r="70" spans="1:11" x14ac:dyDescent="0.25">
      <c r="A70" s="128">
        <f>'NOx Model (2)'!$F$3*(8.5770134353*(10^-19)*(K70^6))-(1.0374875556*(10^-14)*(K70^5))+(4.9689475953*(10^-11)*(K70^4))-(1.2019118054*(10^-7)*(K70^3))+(1.5650954893*(10^-4)*(K70^2))-(4.8239362033*(10^-2)*(K70))+(5.2084519626)</f>
        <v>4061.6657108758968</v>
      </c>
      <c r="B70" s="130">
        <f>Properties!D63*'NOx Model (2)'!$F$3</f>
        <v>1186.2575999999999</v>
      </c>
      <c r="C70" s="128">
        <f>'NOx Model (2)'!$H$3* ((6.6506859177*(10^-19)*(K70^6)) -(7.8984343104*(10^-15)*(K70^5))+(3.6879849877*(10^-11)*(K70^4))-(8.6386228559*(10^-8)*(K70^3))+(1.1074017861*(10^-4)*(K70^2))-(3.1241611608*(10^-2)*(K70))+(3.3006694533))</f>
        <v>1103.6171389729368</v>
      </c>
      <c r="D70" s="130">
        <f>Properties!J63*'NOx Model (2)'!$H$3</f>
        <v>1102.7907</v>
      </c>
      <c r="E70" s="128">
        <f>'NOx Model (2)'!$I$3*(6.4958291549*(10^-19)*('NOx Model (1)'!K70^6))-(7.8224528491*(10^-15)*('NOx Model (1)'!K70^5))+(3.7120417697*(10^-11)*('NOx Model (1)'!K70^4))-(8.798317617*(10^-8)*('NOx Model (1)'!K70^3))+(1.0982327235*(10^-4)*('NOx Model (1)'!K70^2))-(3.2606444641*(10^-2)*('NOx Model (1)'!K70))+(3.5786489003)</f>
        <v>-278.48015339054427</v>
      </c>
      <c r="F70" s="130">
        <f>Properties!P63*'NOx Model (2)'!$I$3</f>
        <v>12.005000000000011</v>
      </c>
      <c r="G70" s="128">
        <f>'NOx Model (2)'!$J$3*(5.9376621671*(10^-19)*('NOx Model (1)'!K70^6))-(7.1020711589*(10^-15)*('NOx Model (1)'!K70^5))+(3.3460896805*(10^-11)*(K70^4))-(7.8909601634*(10^-8)*(K70^3))+(9.8599769212*(10^-5)*(K70^2))-(2.8172899156*(10^-2)*(K70))+(3.05378908)</f>
        <v>18092.31927823661</v>
      </c>
      <c r="H70" s="130">
        <f>Properties!V63*'NOx Model (2)'!$J$3</f>
        <v>4271.3599999999997</v>
      </c>
      <c r="I70" s="128">
        <f t="shared" si="9"/>
        <v>22979.121974694899</v>
      </c>
      <c r="J70" s="130">
        <f t="shared" si="10"/>
        <v>6572.4133000000002</v>
      </c>
      <c r="K70" s="243">
        <v>2950</v>
      </c>
    </row>
    <row r="71" spans="1:11" x14ac:dyDescent="0.25">
      <c r="A71" s="128">
        <f>'NOx Model (2)'!$F$3*(8.5770134353*(10^-19)*(K71^6))-(1.0374875556*(10^-14)*(K71^5))+(4.9689475953*(10^-11)*(K71^4))-(1.2019118054*(10^-7)*(K71^3))+(1.5650954893*(10^-4)*(K71^2))-(4.8239362033*(10^-2)*(K71))+(5.2084519626)</f>
        <v>4479.7603168508886</v>
      </c>
      <c r="B71" s="130">
        <f>Properties!D64*'NOx Model (2)'!$F$3</f>
        <v>1210.8096</v>
      </c>
      <c r="C71" s="128">
        <f>'NOx Model (2)'!$H$3* ((6.6506859177*(10^-19)*(K71^6)) -(7.8984343104*(10^-15)*(K71^5))+(3.6879849877*(10^-11)*(K71^4))-(8.6386228559*(10^-8)*(K71^3))+(1.1074017861*(10^-4)*(K71^2))-(3.1241611608*(10^-2)*(K71))+(3.3006694533))</f>
        <v>1127.9398613945871</v>
      </c>
      <c r="D71" s="130">
        <f>Properties!J64*'NOx Model (2)'!$H$3</f>
        <v>1127.6496</v>
      </c>
      <c r="E71" s="128">
        <f>'NOx Model (2)'!$I$3*(6.4958291549*(10^-19)*('NOx Model (1)'!K71^6))-(7.8224528491*(10^-15)*('NOx Model (1)'!K71^5))+(3.7120417697*(10^-11)*('NOx Model (1)'!K71^4))-(8.798317617*(10^-8)*('NOx Model (1)'!K71^3))+(1.0982327235*(10^-4)*('NOx Model (1)'!K71^2))-(3.2606444641*(10^-2)*('NOx Model (1)'!K71))+(3.5786489003)</f>
        <v>-316.28595616297417</v>
      </c>
      <c r="F71" s="130">
        <f>Properties!P64*'NOx Model (2)'!$I$3</f>
        <v>12.253750000000011</v>
      </c>
      <c r="G71" s="128">
        <f>'NOx Model (2)'!$J$3*(5.9376621671*(10^-19)*('NOx Model (1)'!K71^6))-(7.1020711589*(10^-15)*('NOx Model (1)'!K71^5))+(3.3460896805*(10^-11)*(K71^4))-(7.8909601634*(10^-8)*(K71^3))+(9.8599769212*(10^-5)*(K71^2))-(2.8172899156*(10^-2)*(K71))+(3.05378908)</f>
        <v>20004.115003129031</v>
      </c>
      <c r="H71" s="130">
        <f>Properties!V64*'NOx Model (2)'!$J$3</f>
        <v>4358.3100000000004</v>
      </c>
      <c r="I71" s="128">
        <f t="shared" si="9"/>
        <v>25295.529225211532</v>
      </c>
      <c r="J71" s="130">
        <f t="shared" si="10"/>
        <v>6709.0229500000005</v>
      </c>
      <c r="K71" s="243">
        <v>3000</v>
      </c>
    </row>
    <row r="72" spans="1:11" x14ac:dyDescent="0.25">
      <c r="A72" s="128">
        <f>'NOx Model (2)'!$F$3*(8.5770134353*(10^-19)*(K72^6))-(1.0374875556*(10^-14)*(K72^5))+(4.9689475953*(10^-11)*(K72^4))-(1.2019118054*(10^-7)*(K72^3))+(1.5650954893*(10^-4)*(K72^2))-(4.8239362033*(10^-2)*(K72))+(5.2084519626)</f>
        <v>4933.9165256155638</v>
      </c>
      <c r="B72" s="130">
        <f>Properties!D65*'NOx Model (2)'!$F$3</f>
        <v>1235.4408000000001</v>
      </c>
      <c r="C72" s="128">
        <f>'NOx Model (2)'!$H$3* ((6.6506859177*(10^-19)*(K72^6)) -(7.8984343104*(10^-15)*(K72^5))+(3.6879849877*(10^-11)*(K72^4))-(8.6386228559*(10^-8)*(K72^3))+(1.1074017861*(10^-4)*(K72^2))-(3.1241611608*(10^-2)*(K72))+(3.3006694533))</f>
        <v>1152.2749492600935</v>
      </c>
      <c r="D72" s="130">
        <f>Properties!J65*'NOx Model (2)'!$H$3</f>
        <v>1152.5084999999999</v>
      </c>
      <c r="E72" s="128">
        <f>'NOx Model (2)'!$I$3*(6.4958291549*(10^-19)*('NOx Model (1)'!K72^6))-(7.8224528491*(10^-15)*('NOx Model (1)'!K72^5))+(3.7120417697*(10^-11)*('NOx Model (1)'!K72^4))-(8.798317617*(10^-8)*('NOx Model (1)'!K72^3))+(1.0982327235*(10^-4)*('NOx Model (1)'!K72^2))-(3.2606444641*(10^-2)*('NOx Model (1)'!K72))+(3.5786489003)</f>
        <v>-357.54727272370314</v>
      </c>
      <c r="F72" s="130">
        <f>Properties!P65*'NOx Model (2)'!$I$3</f>
        <v>12.503750000000011</v>
      </c>
      <c r="G72" s="128">
        <f>'NOx Model (2)'!$J$3*(5.9376621671*(10^-19)*('NOx Model (1)'!K72^6))-(7.1020711589*(10^-15)*('NOx Model (1)'!K72^5))+(3.3460896805*(10^-11)*(K72^4))-(7.8909601634*(10^-8)*(K72^3))+(9.8599769212*(10^-5)*(K72^2))-(2.8172899156*(10^-2)*(K72))+(3.05378908)</f>
        <v>22081.880720470959</v>
      </c>
      <c r="H72" s="130">
        <f>Properties!V65*'NOx Model (2)'!$J$3</f>
        <v>4445.26</v>
      </c>
      <c r="I72" s="128">
        <f t="shared" si="9"/>
        <v>27810.524922622913</v>
      </c>
      <c r="J72" s="130">
        <f t="shared" si="10"/>
        <v>6845.7130500000003</v>
      </c>
      <c r="K72" s="243">
        <v>3050</v>
      </c>
    </row>
    <row r="73" spans="1:11" x14ac:dyDescent="0.25">
      <c r="A73" s="128">
        <f>'NOx Model (2)'!$F$3*(8.5770134353*(10^-19)*(K73^6))-(1.0374875556*(10^-14)*(K73^5))+(4.9689475953*(10^-11)*(K73^4))-(1.2019118054*(10^-7)*(K73^3))+(1.5650954893*(10^-4)*(K73^2))-(4.8239362033*(10^-2)*(K73))+(5.2084519626)</f>
        <v>5426.6041472658244</v>
      </c>
      <c r="B73" s="130">
        <f>Properties!D66*'NOx Model (2)'!$F$3</f>
        <v>1260.1512</v>
      </c>
      <c r="C73" s="128">
        <f>'NOx Model (2)'!$H$3* ((6.6506859177*(10^-19)*(K73^6)) -(7.8984343104*(10^-15)*(K73^5))+(3.6879849877*(10^-11)*(K73^4))-(8.6386228559*(10^-8)*(K73^3))+(1.1074017861*(10^-4)*(K73^2))-(3.1241611608*(10^-2)*(K73))+(3.3006694533))</f>
        <v>1176.657956292388</v>
      </c>
      <c r="D73" s="130">
        <f>Properties!J66*'NOx Model (2)'!$H$3</f>
        <v>1177.4565</v>
      </c>
      <c r="E73" s="128">
        <f>'NOx Model (2)'!$I$3*(6.4958291549*(10^-19)*('NOx Model (1)'!K73^6))-(7.8224528491*(10^-15)*('NOx Model (1)'!K73^5))+(3.7120417697*(10^-11)*('NOx Model (1)'!K73^4))-(8.798317617*(10^-8)*('NOx Model (1)'!K73^3))+(1.0982327235*(10^-4)*('NOx Model (1)'!K73^2))-(3.2606444641*(10^-2)*('NOx Model (1)'!K73))+(3.5786489003)</f>
        <v>-402.49639078478697</v>
      </c>
      <c r="F73" s="130">
        <f>Properties!P66*'NOx Model (2)'!$I$3</f>
        <v>12.75250000000001</v>
      </c>
      <c r="G73" s="128">
        <f>'NOx Model (2)'!$J$3*(5.9376621671*(10^-19)*('NOx Model (1)'!K73^6))-(7.1020711589*(10^-15)*('NOx Model (1)'!K73^5))+(3.3460896805*(10^-11)*(K73^4))-(7.8909601634*(10^-8)*(K73^3))+(9.8599769212*(10^-5)*(K73^2))-(2.8172899156*(10^-2)*(K73))+(3.05378908)</f>
        <v>24336.963093389062</v>
      </c>
      <c r="H73" s="130">
        <f>Properties!V66*'NOx Model (2)'!$J$3</f>
        <v>4532.21</v>
      </c>
      <c r="I73" s="128">
        <f t="shared" si="9"/>
        <v>30537.728806162486</v>
      </c>
      <c r="J73" s="130">
        <f t="shared" si="10"/>
        <v>6982.5702000000001</v>
      </c>
      <c r="K73" s="243">
        <v>3100</v>
      </c>
    </row>
    <row r="74" spans="1:11" x14ac:dyDescent="0.25">
      <c r="A74" s="128">
        <f>'NOx Model (2)'!$F$3*(8.5770134353*(10^-19)*(K74^6))-(1.0374875556*(10^-14)*(K74^5))+(4.9689475953*(10^-11)*(K74^4))-(1.2019118054*(10^-7)*(K74^3))+(1.5650954893*(10^-4)*(K74^2))-(4.8239362033*(10^-2)*(K74))+(5.2084519626)</f>
        <v>5960.4189071514456</v>
      </c>
      <c r="B74" s="130">
        <f>Properties!D67*'NOx Model (2)'!$F$3</f>
        <v>1284.7824000000001</v>
      </c>
      <c r="C74" s="128">
        <f>'NOx Model (2)'!$H$3* ((6.6506859177*(10^-19)*(K74^6)) -(7.8984343104*(10^-15)*(K74^5))+(3.6879849877*(10^-11)*(K74^4))-(8.6386228559*(10^-8)*(K74^3))+(1.1074017861*(10^-4)*(K74^2))-(3.1241611608*(10^-2)*(K74))+(3.3006694533))</f>
        <v>1201.1367842028769</v>
      </c>
      <c r="D74" s="130">
        <f>Properties!J67*'NOx Model (2)'!$H$3</f>
        <v>1202.4936</v>
      </c>
      <c r="E74" s="128">
        <f>'NOx Model (2)'!$I$3*(6.4958291549*(10^-19)*('NOx Model (1)'!K74^6))-(7.8224528491*(10^-15)*('NOx Model (1)'!K74^5))+(3.7120417697*(10^-11)*('NOx Model (1)'!K74^4))-(8.798317617*(10^-8)*('NOx Model (1)'!K74^3))+(1.0982327235*(10^-4)*('NOx Model (1)'!K74^2))-(3.2606444641*(10^-2)*('NOx Model (1)'!K74))+(3.5786489003)</f>
        <v>-451.37622418222173</v>
      </c>
      <c r="F74" s="130">
        <f>Properties!P67*'NOx Model (2)'!$I$3</f>
        <v>13.003750000000013</v>
      </c>
      <c r="G74" s="128">
        <f>'NOx Model (2)'!$J$3*(5.9376621671*(10^-19)*('NOx Model (1)'!K74^6))-(7.1020711589*(10^-15)*('NOx Model (1)'!K74^5))+(3.3460896805*(10^-11)*(K74^4))-(7.8909601634*(10^-8)*(K74^3))+(9.8599769212*(10^-5)*(K74^2))-(2.8172899156*(10^-2)*(K74))+(3.05378908)</f>
        <v>26781.281721689327</v>
      </c>
      <c r="H74" s="130">
        <f>Properties!V67*'NOx Model (2)'!$J$3</f>
        <v>4619.63</v>
      </c>
      <c r="I74" s="128">
        <f t="shared" si="9"/>
        <v>33491.461188861431</v>
      </c>
      <c r="J74" s="130">
        <f t="shared" si="10"/>
        <v>7119.9097499999998</v>
      </c>
      <c r="K74" s="243">
        <v>3150</v>
      </c>
    </row>
    <row r="75" spans="1:11" x14ac:dyDescent="0.25">
      <c r="A75" s="128">
        <f>'NOx Model (2)'!$F$3*(8.5770134353*(10^-19)*(K75^6))-(1.0374875556*(10^-14)*(K75^5))+(4.9689475953*(10^-11)*(K75^4))-(1.2019118054*(10^-7)*(K75^3))+(1.5650954893*(10^-4)*(K75^2))-(4.8239362033*(10^-2)*(K75))+(5.2084519626)</f>
        <v>6538.08675672142</v>
      </c>
      <c r="B75" s="130">
        <f>Properties!D68*'NOx Model (2)'!$F$3</f>
        <v>1309.4928</v>
      </c>
      <c r="C75" s="128">
        <f>'NOx Model (2)'!$H$3* ((6.6506859177*(10^-19)*(K75^6)) -(7.8984343104*(10^-15)*(K75^5))+(3.6879849877*(10^-11)*(K75^4))-(8.6386228559*(10^-8)*(K75^3))+(1.1074017861*(10^-4)*(K75^2))-(3.1241611608*(10^-2)*(K75))+(3.3006694533))</f>
        <v>1225.7731435131029</v>
      </c>
      <c r="D75" s="130">
        <f>Properties!J68*'NOx Model (2)'!$H$3</f>
        <v>1227.5307</v>
      </c>
      <c r="E75" s="128">
        <f>'NOx Model (2)'!$I$3*(6.4958291549*(10^-19)*('NOx Model (1)'!K75^6))-(7.8224528491*(10^-15)*('NOx Model (1)'!K75^5))+(3.7120417697*(10^-11)*('NOx Model (1)'!K75^4))-(8.798317617*(10^-8)*('NOx Model (1)'!K75^3))+(1.0982327235*(10^-4)*('NOx Model (1)'!K75^2))-(3.2606444641*(10^-2)*('NOx Model (1)'!K75))+(3.5786489003)</f>
        <v>-504.44055003915196</v>
      </c>
      <c r="F75" s="130">
        <f>Properties!P68*'NOx Model (2)'!$I$3</f>
        <v>13.253750000000013</v>
      </c>
      <c r="G75" s="128">
        <f>'NOx Model (2)'!$J$3*(5.9376621671*(10^-19)*('NOx Model (1)'!K75^6))-(7.1020711589*(10^-15)*('NOx Model (1)'!K75^5))+(3.3460896805*(10^-11)*(K75^4))-(7.8909601634*(10^-8)*(K75^3))+(9.8599769212*(10^-5)*(K75^2))-(2.8172899156*(10^-2)*(K75))+(3.05378908)</f>
        <v>29427.348183693433</v>
      </c>
      <c r="H75" s="130">
        <f>Properties!V68*'NOx Model (2)'!$J$3</f>
        <v>4706.58</v>
      </c>
      <c r="I75" s="128">
        <f t="shared" si="9"/>
        <v>36686.767533888808</v>
      </c>
      <c r="J75" s="130">
        <f t="shared" si="10"/>
        <v>7256.85725</v>
      </c>
      <c r="K75" s="243">
        <v>3200</v>
      </c>
    </row>
    <row r="76" spans="1:11" x14ac:dyDescent="0.25">
      <c r="A76" s="128">
        <f>'NOx Model (2)'!$F$3*(8.5770134353*(10^-19)*(K76^6))-(1.0374875556*(10^-14)*(K76^5))+(4.9689475953*(10^-11)*(K76^4))-(1.2019118054*(10^-7)*(K76^3))+(1.5650954893*(10^-4)*(K76^2))-(4.8239362033*(10^-2)*(K76))+(5.2084519626)</f>
        <v>7162.4682607904688</v>
      </c>
      <c r="B76" s="130">
        <f>Properties!D69*'NOx Model (2)'!$F$3</f>
        <v>1334.2032000000002</v>
      </c>
      <c r="C76" s="128">
        <f>'NOx Model (2)'!$H$3* ((6.6506859177*(10^-19)*(K76^6)) -(7.8984343104*(10^-15)*(K76^5))+(3.6879849877*(10^-11)*(K76^4))-(8.6386228559*(10^-8)*(K76^3))+(1.1074017861*(10^-4)*(K76^2))-(3.1241611608*(10^-2)*(K76))+(3.3006694533))</f>
        <v>1250.6440810411618</v>
      </c>
      <c r="D76" s="130">
        <f>Properties!J69*'NOx Model (2)'!$H$3</f>
        <v>1252.6569</v>
      </c>
      <c r="E76" s="128">
        <f>'NOx Model (2)'!$I$3*(6.4958291549*(10^-19)*('NOx Model (1)'!K76^6))-(7.8224528491*(10^-15)*('NOx Model (1)'!K76^5))+(3.7120417697*(10^-11)*('NOx Model (1)'!K76^4))-(8.798317617*(10^-8)*('NOx Model (1)'!K76^3))+(1.0982327235*(10^-4)*('NOx Model (1)'!K76^2))-(3.2606444641*(10^-2)*('NOx Model (1)'!K76))+(3.5786489003)</f>
        <v>-561.95424501560717</v>
      </c>
      <c r="F76" s="130">
        <f>Properties!P69*'NOx Model (2)'!$I$3</f>
        <v>13.506250000000012</v>
      </c>
      <c r="G76" s="128">
        <f>'NOx Model (2)'!$J$3*(5.9376621671*(10^-19)*('NOx Model (1)'!K76^6))-(7.1020711589*(10^-15)*('NOx Model (1)'!K76^5))+(3.3460896805*(10^-11)*(K76^4))-(7.8909601634*(10^-8)*(K76^3))+(9.8599769212*(10^-5)*(K76^2))-(2.8172899156*(10^-2)*(K76))+(3.05378908)</f>
        <v>32288.285392029029</v>
      </c>
      <c r="H76" s="130">
        <f>Properties!V69*'NOx Model (2)'!$J$3</f>
        <v>4794</v>
      </c>
      <c r="I76" s="128">
        <f t="shared" si="9"/>
        <v>40139.443488845056</v>
      </c>
      <c r="J76" s="130">
        <f t="shared" si="10"/>
        <v>7394.3663500000002</v>
      </c>
      <c r="K76" s="243">
        <v>3250</v>
      </c>
    </row>
    <row r="77" spans="1:11" x14ac:dyDescent="0.25">
      <c r="A77" s="128">
        <f>'NOx Model (2)'!$F$3*(8.5770134353*(10^-19)*(K77^6))-(1.0374875556*(10^-14)*(K77^5))+(4.9689475953*(10^-11)*(K77^4))-(1.2019118054*(10^-7)*(K77^3))+(1.5650954893*(10^-4)*(K77^2))-(4.8239362033*(10^-2)*(K77))+(5.2084519626)</f>
        <v>7836.5630612267578</v>
      </c>
      <c r="B77" s="130">
        <f>Properties!D70*'NOx Model (2)'!$F$3</f>
        <v>1358.9928</v>
      </c>
      <c r="C77" s="128">
        <f>'NOx Model (2)'!$H$3* ((6.6506859177*(10^-19)*(K77^6)) -(7.8984343104*(10^-15)*(K77^5))+(3.6879849877*(10^-11)*(K77^4))-(8.6386228559*(10^-8)*(K77^3))+(1.1074017861*(10^-4)*(K77^2))-(3.1241611608*(10^-2)*(K77))+(3.3006694533))</f>
        <v>1275.8435740529833</v>
      </c>
      <c r="D77" s="130">
        <f>Properties!J70*'NOx Model (2)'!$H$3</f>
        <v>1277.8722</v>
      </c>
      <c r="E77" s="128">
        <f>'NOx Model (2)'!$I$3*(6.4958291549*(10^-19)*('NOx Model (1)'!K77^6))-(7.8224528491*(10^-15)*('NOx Model (1)'!K77^5))+(3.7120417697*(10^-11)*('NOx Model (1)'!K77^4))-(8.798317617*(10^-8)*('NOx Model (1)'!K77^3))+(1.0982327235*(10^-4)*('NOx Model (1)'!K77^2))-(3.2606444641*(10^-2)*('NOx Model (1)'!K77))+(3.5786489003)</f>
        <v>-624.19352064475822</v>
      </c>
      <c r="F77" s="130">
        <f>Properties!P70*'NOx Model (2)'!$I$3</f>
        <v>13.757500000000013</v>
      </c>
      <c r="G77" s="128">
        <f>'NOx Model (2)'!$J$3*(5.9376621671*(10^-19)*('NOx Model (1)'!K77^6))-(7.1020711589*(10^-15)*('NOx Model (1)'!K77^5))+(3.3460896805*(10^-11)*(K77^4))-(7.8909601634*(10^-8)*(K77^3))+(9.8599769212*(10^-5)*(K77^2))-(2.8172899156*(10^-2)*(K77))+(3.05378908)</f>
        <v>35377.847263373937</v>
      </c>
      <c r="H77" s="130">
        <f>Properties!V70*'NOx Model (2)'!$J$3</f>
        <v>4881.42</v>
      </c>
      <c r="I77" s="128">
        <f t="shared" si="9"/>
        <v>43866.060378008922</v>
      </c>
      <c r="J77" s="130">
        <f t="shared" si="10"/>
        <v>7532.0424999999996</v>
      </c>
      <c r="K77" s="243">
        <v>3300</v>
      </c>
    </row>
    <row r="78" spans="1:11" x14ac:dyDescent="0.25">
      <c r="A78" s="128">
        <f>'NOx Model (2)'!$F$3*(8.5770134353*(10^-19)*(K78^6))-(1.0374875556*(10^-14)*(K78^5))+(4.9689475953*(10^-11)*(K78^4))-(1.2019118054*(10^-7)*(K78^3))+(1.5650954893*(10^-4)*(K78^2))-(4.8239362033*(10^-2)*(K78))+(5.2084519626)</f>
        <v>8563.5144170608055</v>
      </c>
      <c r="B78" s="130">
        <f>Properties!D71*'NOx Model (2)'!$F$3</f>
        <v>1383.7824000000001</v>
      </c>
      <c r="C78" s="128">
        <f>'NOx Model (2)'!$H$3* ((6.6506859177*(10^-19)*(K78^6)) -(7.8984343104*(10^-15)*(K78^5))+(3.6879849877*(10^-11)*(K78^4))-(8.6386228559*(10^-8)*(K78^3))+(1.1074017861*(10^-4)*(K78^2))-(3.1241611608*(10^-2)*(K78))+(3.3006694533))</f>
        <v>1301.4841910784005</v>
      </c>
      <c r="D78" s="130">
        <f>Properties!J71*'NOx Model (2)'!$H$3</f>
        <v>1303.0875000000001</v>
      </c>
      <c r="E78" s="128">
        <f>'NOx Model (2)'!$I$3*(6.4958291549*(10^-19)*('NOx Model (1)'!K78^6))-(7.8224528491*(10^-15)*('NOx Model (1)'!K78^5))+(3.7120417697*(10^-11)*('NOx Model (1)'!K78^4))-(8.798317617*(10^-8)*('NOx Model (1)'!K78^3))+(1.0982327235*(10^-4)*('NOx Model (1)'!K78^2))-(3.2606444641*(10^-2)*('NOx Model (1)'!K78))+(3.5786489003)</f>
        <v>-691.44615775569616</v>
      </c>
      <c r="F78" s="130">
        <f>Properties!P71*'NOx Model (2)'!$I$3</f>
        <v>14.010000000000012</v>
      </c>
      <c r="G78" s="128">
        <f>'NOx Model (2)'!$J$3*(5.9376621671*(10^-19)*('NOx Model (1)'!K78^6))-(7.1020711589*(10^-15)*('NOx Model (1)'!K78^5))+(3.3460896805*(10^-11)*(K78^4))-(7.8909601634*(10^-8)*(K78^3))+(9.8599769212*(10^-5)*(K78^2))-(2.8172899156*(10^-2)*(K78))+(3.05378908)</f>
        <v>38710.438702154112</v>
      </c>
      <c r="H78" s="130">
        <f>Properties!V71*'NOx Model (2)'!$J$3</f>
        <v>4968.84</v>
      </c>
      <c r="I78" s="128">
        <f t="shared" si="9"/>
        <v>47883.991152537623</v>
      </c>
      <c r="J78" s="130">
        <f t="shared" si="10"/>
        <v>7669.7199000000001</v>
      </c>
      <c r="K78" s="243">
        <v>3350</v>
      </c>
    </row>
    <row r="79" spans="1:11" x14ac:dyDescent="0.25">
      <c r="A79" s="128">
        <f>'NOx Model (2)'!$F$3*(8.5770134353*(10^-19)*(K79^6))-(1.0374875556*(10^-14)*(K79^5))+(4.9689475953*(10^-11)*(K79^4))-(1.2019118054*(10^-7)*(K79^3))+(1.5650954893*(10^-4)*(K79^2))-(4.8239362033*(10^-2)*(K79))+(5.2084519626)</f>
        <v>9346.6138210155787</v>
      </c>
      <c r="B79" s="130">
        <f>Properties!D72*'NOx Model (2)'!$F$3</f>
        <v>1408.4928</v>
      </c>
      <c r="C79" s="128">
        <f>'NOx Model (2)'!$H$3* ((6.6506859177*(10^-19)*(K79^6)) -(7.8984343104*(10^-15)*(K79^5))+(3.6879849877*(10^-11)*(K79^4))-(8.6386228559*(10^-8)*(K79^3))+(1.1074017861*(10^-4)*(K79^2))-(3.1241611608*(10^-2)*(K79))+(3.3006694533))</f>
        <v>1327.6988193920301</v>
      </c>
      <c r="D79" s="130">
        <f>Properties!J72*'NOx Model (2)'!$H$3</f>
        <v>1328.3919000000001</v>
      </c>
      <c r="E79" s="128">
        <f>'NOx Model (2)'!$I$3*(6.4958291549*(10^-19)*('NOx Model (1)'!K79^6))-(7.8224528491*(10^-15)*('NOx Model (1)'!K79^5))+(3.7120417697*(10^-11)*('NOx Model (1)'!K79^4))-(8.798317617*(10^-8)*('NOx Model (1)'!K79^3))+(1.0982327235*(10^-4)*('NOx Model (1)'!K79^2))-(3.2606444641*(10^-2)*('NOx Model (1)'!K79))+(3.5786489003)</f>
        <v>-764.01173998273816</v>
      </c>
      <c r="F79" s="130">
        <f>Properties!P72*'NOx Model (2)'!$I$3</f>
        <v>14.263750000000012</v>
      </c>
      <c r="G79" s="128">
        <f>'NOx Model (2)'!$J$3*(5.9376621671*(10^-19)*('NOx Model (1)'!K79^6))-(7.1020711589*(10^-15)*('NOx Model (1)'!K79^5))+(3.3460896805*(10^-11)*(K79^4))-(7.8909601634*(10^-8)*(K79^3))+(9.8599769212*(10^-5)*(K79^2))-(2.8172899156*(10^-2)*(K79))+(3.05378908)</f>
        <v>42301.13589819568</v>
      </c>
      <c r="H79" s="130">
        <f>Properties!V72*'NOx Model (2)'!$J$3</f>
        <v>5056.26</v>
      </c>
      <c r="I79" s="128">
        <f t="shared" ref="I79:J81" si="11">A79+C79+E79+G79</f>
        <v>52211.436798620547</v>
      </c>
      <c r="J79" s="130">
        <f t="shared" si="11"/>
        <v>7807.4084500000008</v>
      </c>
      <c r="K79" s="243">
        <v>3400</v>
      </c>
    </row>
    <row r="80" spans="1:11" x14ac:dyDescent="0.25">
      <c r="A80" s="128">
        <f>'NOx Model (2)'!$F$3*(8.5770134353*(10^-19)*(K80^6))-(1.0374875556*(10^-14)*(K80^5))+(4.9689475953*(10^-11)*(K80^4))-(1.2019118054*(10^-7)*(K80^3))+(1.5650954893*(10^-4)*(K80^2))-(4.8239362033*(10^-2)*(K80))+(5.2084519626)</f>
        <v>10189.305692457749</v>
      </c>
      <c r="B80" s="130">
        <f>Properties!D73*'NOx Model (2)'!$F$3</f>
        <v>1433.3616</v>
      </c>
      <c r="C80" s="128">
        <f>'NOx Model (2)'!$H$3* ((6.6506859177*(10^-19)*(K80^6)) -(7.8984343104*(10^-15)*(K80^5))+(3.6879849877*(10^-11)*(K80^4))-(8.6386228559*(10^-8)*(K80^3))+(1.1074017861*(10^-4)*(K80^2))-(3.1241611608*(10^-2)*(K80))+(3.3006694533))</f>
        <v>1354.6424591589596</v>
      </c>
      <c r="D80" s="130">
        <f>Properties!J73*'NOx Model (2)'!$H$3</f>
        <v>1353.7854</v>
      </c>
      <c r="E80" s="128">
        <f>'NOx Model (2)'!$I$3*(6.4958291549*(10^-19)*('NOx Model (1)'!K80^6))-(7.8224528491*(10^-15)*('NOx Model (1)'!K80^5))+(3.7120417697*(10^-11)*('NOx Model (1)'!K80^4))-(8.798317617*(10^-8)*('NOx Model (1)'!K80^3))+(1.0982327235*(10^-4)*('NOx Model (1)'!K80^2))-(3.2606444641*(10^-2)*('NOx Model (1)'!K80))+(3.5786489003)</f>
        <v>-842.20188636126454</v>
      </c>
      <c r="F80" s="130">
        <f>Properties!P73*'NOx Model (2)'!$I$3</f>
        <v>14.516250000000012</v>
      </c>
      <c r="G80" s="128">
        <f>'NOx Model (2)'!$J$3*(5.9376621671*(10^-19)*('NOx Model (1)'!K80^6))-(7.1020711589*(10^-15)*('NOx Model (1)'!K80^5))+(3.3460896805*(10^-11)*(K80^4))-(7.8909601634*(10^-8)*(K80^3))+(9.8599769212*(10^-5)*(K80^2))-(2.8172899156*(10^-2)*(K80))+(3.05378908)</f>
        <v>46165.706938330695</v>
      </c>
      <c r="H80" s="130">
        <f>Properties!V73*'NOx Model (2)'!$J$3</f>
        <v>5144.1500000000005</v>
      </c>
      <c r="I80" s="128">
        <f t="shared" si="11"/>
        <v>56867.453203586141</v>
      </c>
      <c r="J80" s="130">
        <f t="shared" si="11"/>
        <v>7945.8132500000011</v>
      </c>
      <c r="K80" s="243">
        <v>3450</v>
      </c>
    </row>
    <row r="81" spans="1:11" ht="15.75" thickBot="1" x14ac:dyDescent="0.3">
      <c r="A81" s="136">
        <f>'NOx Model (2)'!$F$3*(8.5770134353*(10^-19)*(K81^6))-(1.0374875556*(10^-14)*(K81^5))+(4.9689475953*(10^-11)*(K81^4))-(1.2019118054*(10^-7)*(K81^3))+(1.5650954893*(10^-4)*(K81^2))-(4.8239362033*(10^-2)*(K81))+(5.2084519626)</f>
        <v>11095.192146770207</v>
      </c>
      <c r="B81" s="42">
        <f>Properties!D74*'NOx Model (2)'!$F$3</f>
        <v>1458.1512</v>
      </c>
      <c r="C81" s="136">
        <f>'NOx Model (2)'!$H$3* ((6.6506859177*(10^-19)*(K81^6)) -(7.8984343104*(10^-15)*(K81^5))+(3.6879849877*(10^-11)*(K81^4))-(8.6386228559*(10^-8)*(K81^3))+(1.1074017861*(10^-4)*(K81^2))-(3.1241611608*(10^-2)*(K81))+(3.3006694533))</f>
        <v>1382.4940842452793</v>
      </c>
      <c r="D81" s="42">
        <f>Properties!J74*'NOx Model (2)'!$H$3</f>
        <v>1379.1788999999999</v>
      </c>
      <c r="E81" s="136">
        <f>'NOx Model (2)'!$I$3*(6.4958291549*(10^-19)*('NOx Model (1)'!K81^6))-(7.8224528491*(10^-15)*('NOx Model (1)'!K81^5))+(3.7120417697*(10^-11)*('NOx Model (1)'!K81^4))-(8.798317617*(10^-8)*('NOx Model (1)'!K81^3))+(1.0982327235*(10^-4)*('NOx Model (1)'!K81^2))-(3.2606444641*(10^-2)*('NOx Model (1)'!K81))+(3.5786489003)</f>
        <v>-926.34048301005976</v>
      </c>
      <c r="F81" s="42">
        <f>Properties!P74*'NOx Model (2)'!$I$3</f>
        <v>14.771250000000013</v>
      </c>
      <c r="G81" s="136">
        <f>'NOx Model (2)'!$J$3*(5.9376621671*(10^-19)*('NOx Model (1)'!K81^6))-(7.1020711589*(10^-15)*('NOx Model (1)'!K81^5))+(3.3460896805*(10^-11)*(K81^4))-(7.8909601634*(10^-8)*(K81^3))+(9.8599769212*(10^-5)*(K81^2))-(2.8172899156*(10^-2)*(K81))+(3.05378908)</f>
        <v>50320.632731956852</v>
      </c>
      <c r="H81" s="42">
        <f>Properties!V74*'NOx Model (2)'!$J$3</f>
        <v>5231.57</v>
      </c>
      <c r="I81" s="136">
        <f t="shared" si="11"/>
        <v>61871.978479962279</v>
      </c>
      <c r="J81" s="42">
        <f t="shared" si="11"/>
        <v>8083.6713500000005</v>
      </c>
      <c r="K81" s="244">
        <v>3500</v>
      </c>
    </row>
  </sheetData>
  <mergeCells count="16">
    <mergeCell ref="A2:B2"/>
    <mergeCell ref="A1:AH1"/>
    <mergeCell ref="E12:F12"/>
    <mergeCell ref="G12:H12"/>
    <mergeCell ref="A11:K11"/>
    <mergeCell ref="I12:J12"/>
    <mergeCell ref="A12:B12"/>
    <mergeCell ref="C12:D12"/>
    <mergeCell ref="M19:N19"/>
    <mergeCell ref="M28:N28"/>
    <mergeCell ref="S24:T26"/>
    <mergeCell ref="P22:Q22"/>
    <mergeCell ref="O2:AA2"/>
    <mergeCell ref="M24:N24"/>
    <mergeCell ref="M23:N23"/>
    <mergeCell ref="M26:N2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AB41"/>
  <sheetViews>
    <sheetView zoomScaleNormal="100" workbookViewId="0">
      <selection activeCell="H27" sqref="H27"/>
    </sheetView>
  </sheetViews>
  <sheetFormatPr defaultColWidth="9.140625" defaultRowHeight="15" x14ac:dyDescent="0.25"/>
  <cols>
    <col min="1" max="1" width="23.7109375" style="24" customWidth="1"/>
    <col min="2" max="2" width="13" style="24" customWidth="1"/>
    <col min="3" max="3" width="9.140625" style="24" customWidth="1"/>
    <col min="4" max="4" width="6.7109375" style="24" bestFit="1" customWidth="1"/>
    <col min="5" max="5" width="4.5703125" style="24" hidden="1" customWidth="1"/>
    <col min="6" max="6" width="19.85546875" style="24" customWidth="1"/>
    <col min="7" max="7" width="6.42578125" style="24" hidden="1" customWidth="1"/>
    <col min="8" max="8" width="15.7109375" style="24" bestFit="1" customWidth="1"/>
    <col min="9" max="9" width="12.5703125" style="24" bestFit="1" customWidth="1"/>
    <col min="10" max="10" width="7.140625" style="24" bestFit="1" customWidth="1"/>
    <col min="11" max="11" width="19.140625" style="24" hidden="1" customWidth="1"/>
    <col min="12" max="12" width="22" style="24" customWidth="1"/>
    <col min="13" max="13" width="15.28515625" style="24" customWidth="1"/>
    <col min="14" max="14" width="24" style="24" customWidth="1"/>
    <col min="15" max="15" width="19.28515625" style="24" hidden="1" customWidth="1"/>
    <col min="16" max="16" width="21.42578125" style="24" customWidth="1"/>
    <col min="17" max="17" width="21.140625" style="24" bestFit="1" customWidth="1"/>
    <col min="18" max="18" width="13.85546875" style="207" customWidth="1"/>
    <col min="19" max="19" width="19" style="215" customWidth="1"/>
    <col min="20" max="20" width="18.7109375" style="206" bestFit="1" customWidth="1"/>
    <col min="21" max="21" width="15" style="24" customWidth="1"/>
    <col min="22" max="24" width="9.140625" style="24"/>
    <col min="25" max="25" width="12" style="24" bestFit="1" customWidth="1"/>
    <col min="26" max="26" width="10.5703125" style="24" bestFit="1" customWidth="1"/>
    <col min="27" max="27" width="11.5703125" style="24" bestFit="1" customWidth="1"/>
    <col min="28" max="28" width="8.5703125" style="24" bestFit="1" customWidth="1"/>
    <col min="29" max="16384" width="9.140625" style="24"/>
  </cols>
  <sheetData>
    <row r="1" spans="1:27" ht="24" thickBot="1" x14ac:dyDescent="0.4">
      <c r="A1" s="502" t="s">
        <v>139</v>
      </c>
      <c r="B1" s="503"/>
      <c r="C1" s="503"/>
      <c r="D1" s="503"/>
      <c r="E1" s="503"/>
      <c r="F1" s="503"/>
      <c r="G1" s="503"/>
      <c r="H1" s="503"/>
      <c r="I1" s="503"/>
      <c r="J1" s="503"/>
      <c r="K1" s="503"/>
      <c r="L1" s="503"/>
      <c r="M1" s="503"/>
      <c r="N1" s="503"/>
      <c r="O1" s="503"/>
      <c r="P1" s="503"/>
      <c r="Q1" s="503"/>
      <c r="R1" s="503"/>
      <c r="S1" s="503"/>
      <c r="T1" s="503"/>
      <c r="U1" s="503"/>
      <c r="V1" s="503"/>
      <c r="W1" s="503"/>
      <c r="X1" s="503"/>
      <c r="Y1" s="503"/>
      <c r="Z1" s="503"/>
      <c r="AA1" s="504"/>
    </row>
    <row r="2" spans="1:27" ht="42.75" customHeight="1" x14ac:dyDescent="0.25">
      <c r="A2" s="401" t="s">
        <v>240</v>
      </c>
      <c r="B2" s="309" t="s">
        <v>140</v>
      </c>
      <c r="C2" s="310" t="s">
        <v>141</v>
      </c>
      <c r="D2" s="306" t="s">
        <v>13</v>
      </c>
      <c r="E2" s="307" t="s">
        <v>182</v>
      </c>
      <c r="F2" s="308" t="s">
        <v>144</v>
      </c>
      <c r="G2" s="307" t="s">
        <v>183</v>
      </c>
      <c r="H2" s="308" t="s">
        <v>146</v>
      </c>
      <c r="I2" s="308" t="s">
        <v>157</v>
      </c>
      <c r="J2" s="233" t="s">
        <v>158</v>
      </c>
      <c r="K2" s="325" t="s">
        <v>184</v>
      </c>
      <c r="L2" s="306" t="s">
        <v>181</v>
      </c>
      <c r="M2" s="320"/>
      <c r="N2" s="308" t="s">
        <v>162</v>
      </c>
      <c r="O2" s="307" t="s">
        <v>185</v>
      </c>
      <c r="P2" s="233" t="s">
        <v>159</v>
      </c>
      <c r="Q2" s="326" t="s">
        <v>164</v>
      </c>
      <c r="R2" s="322" t="s">
        <v>169</v>
      </c>
      <c r="S2" s="323" t="s">
        <v>171</v>
      </c>
      <c r="T2" s="323" t="s">
        <v>172</v>
      </c>
      <c r="U2" s="324" t="s">
        <v>174</v>
      </c>
    </row>
    <row r="3" spans="1:27" ht="15.75" thickBot="1" x14ac:dyDescent="0.3">
      <c r="A3" s="402"/>
      <c r="B3" s="412" t="s">
        <v>136</v>
      </c>
      <c r="C3" s="413">
        <v>0.99</v>
      </c>
      <c r="D3" s="136">
        <f>IF(B3="Iso-Octane",'NOx Model (1)'!H3,IF(B3="Methanol",'NOx Model (1)'!H4,IF(B3="Ethanol",'NOx Model (1)'!H5,IF(B3="Propane",'NOx Model (1)'!H6,IF(B3="Ethane",'NOx Model (1)'!H7,IF(B3="Hydrogen",'NOx Model (1)'!H8,IF(B3="Acetylene",'NOx Model (1)'!H9)))))))</f>
        <v>12.5</v>
      </c>
      <c r="E3" s="46">
        <f>IF(B3="Iso-Octane",'NOx Model (1)'!F3,IF(B3="Methanol",'NOx Model (1)'!F4,IF(B3="Ethanol",'NOx Model (1)'!F5,IF(B3="Propane",'NOx Model (1)'!F6,IF(B3="Ethane",'NOx Model (1)'!F7,IF(B3="Hydrogen",'NOx Model (1)'!F8,IF(B3="Acetylene",'NOx Model (1)'!F9)))))))</f>
        <v>8</v>
      </c>
      <c r="F3" s="46">
        <f>E3*C3</f>
        <v>7.92</v>
      </c>
      <c r="G3" s="46">
        <f>IF(B3="Iso-Octane",'NOx Model (1)'!G3,IF(B3="Methanol",'NOx Model (1)'!G4,IF(B3="Ethanol",'NOx Model (1)'!G5,IF(B3="Propane",'NOx Model (1)'!G6,IF(B3="Ethane",'NOx Model (1)'!G7,IF(B3="Hydrogen",'NOx Model (1)'!G8,IF(B3="Acetylene",'NOx Model (1)'!G9)))))))</f>
        <v>9</v>
      </c>
      <c r="H3" s="46">
        <f>G3*C3</f>
        <v>8.91</v>
      </c>
      <c r="I3" s="46">
        <f>D3*(1-C3)</f>
        <v>0.12500000000000011</v>
      </c>
      <c r="J3" s="42">
        <f>IF(B3="Iso-Octane",'NOx Model (1)'!I3,IF(B3="Methanol",'NOx Model (1)'!I4,IF(B3="Ethanol",'NOx Model (1)'!I5,IF(B3="Propane",'NOx Model (1)'!I6,IF(B3="Ethane",'NOx Model (1)'!I7,IF(B3="Hydrogen",'NOx Model (1)'!I8,IF(B3="Acetylene",'NOx Model (1)'!I9)))))))</f>
        <v>47</v>
      </c>
      <c r="K3" s="254">
        <f>IF(B3="Iso-Octane",'NOx Model (1)'!J3,IF(B3="Methanol",'NOx Model (1)'!J4,IF(B3="Ethanol",'NOx Model (1)'!J5,IF(B3="Propane",'NOx Model (1)'!J6,IF(B3="Ethane",'NOx Model (1)'!J7,IF(B3="Hydrogen",'NOx Model (1)'!J8,IF(B3="Acetylene",'NOx Model (1)'!J9)))))))</f>
        <v>5324.2000000000007</v>
      </c>
      <c r="L3" s="136">
        <f>K3*C3</f>
        <v>5270.9580000000005</v>
      </c>
      <c r="M3" s="46">
        <f>IF(B3="Iso-Octane",'NOx Model (1)'!K3,IF(B3="Methanol",'NOx Model (1)'!K4,IF(B3="Ethanol",'NOx Model (1)'!K5,IF(B3="Propane",'NOx Model (1)'!K6,IF(B3="Ethane",'NOx Model (1)'!K7,IF(B3="Hydrogen",'NOx Model (1)'!K8,IF(B3="Acetylene",'NOx Model (1)'!K9)))))))</f>
        <v>259.2</v>
      </c>
      <c r="N3" s="46">
        <f>M3*C3</f>
        <v>256.608</v>
      </c>
      <c r="O3" s="46">
        <f>IF(B3="Iso-Octane",'NOx Model (1)'!L3,IF(B3="Methanol",'NOx Model (1)'!L4,IF(B3="Ethanol",'NOx Model (1)'!L5,IF(B3="Propane",'NOx Model (1)'!L6,IF(B3="Ethane",'NOx Model (1)'!L7,IF(B3="Hydrogen",'NOx Model (1)'!L8,IF(B3="Acetylene",'NOx Model (1)'!L9)))))))</f>
        <v>5065.0000000000009</v>
      </c>
      <c r="P3" s="42">
        <f>O3*C3</f>
        <v>5014.3500000000013</v>
      </c>
      <c r="Q3" s="333">
        <f>'NOx Model (1)'!M3</f>
        <v>6.5681391066181384E-6</v>
      </c>
      <c r="R3" s="334">
        <f>($Q$3)/($C$3+($D$3*(1+3.76)))</f>
        <v>1.0858223023008991E-7</v>
      </c>
      <c r="S3" s="332">
        <f>(I3*R3)/('NOx Model (1)'!$M$24*10^-6)</f>
        <v>3.3931946946903129E-4</v>
      </c>
      <c r="T3" s="332">
        <f>(J3*R3)/('NOx Model (1)'!$M$24*10^-6)</f>
        <v>0.12758412052035564</v>
      </c>
      <c r="U3" s="279">
        <f>R3*(F3+H3+I3+J3)</f>
        <v>6.9443765343653996E-6</v>
      </c>
    </row>
    <row r="4" spans="1:27" ht="15.75" thickBot="1" x14ac:dyDescent="0.3"/>
    <row r="5" spans="1:27" ht="15.75" customHeight="1" thickBot="1" x14ac:dyDescent="0.35">
      <c r="A5" s="498" t="s">
        <v>204</v>
      </c>
      <c r="B5" s="499"/>
      <c r="D5" s="256"/>
      <c r="F5" s="263" t="s">
        <v>154</v>
      </c>
      <c r="H5" s="261" t="s">
        <v>196</v>
      </c>
      <c r="I5" s="32"/>
      <c r="L5" s="246" t="s">
        <v>198</v>
      </c>
      <c r="M5" s="247" t="s">
        <v>179</v>
      </c>
      <c r="N5" s="520" t="s">
        <v>209</v>
      </c>
      <c r="O5" s="521"/>
      <c r="P5" s="521"/>
      <c r="Q5" s="521"/>
      <c r="R5" s="522"/>
      <c r="T5" s="273"/>
      <c r="U5" s="273"/>
    </row>
    <row r="6" spans="1:27" ht="15.75" customHeight="1" thickBot="1" x14ac:dyDescent="0.3">
      <c r="A6" s="510"/>
      <c r="B6" s="511"/>
      <c r="D6" s="239" t="s">
        <v>194</v>
      </c>
      <c r="F6" s="264">
        <f t="array" ref="F6">MIN(IF('NOx Model (1)'!$J$14:$J$81&gt;'NOx Model (2)'!$P$3,'NOx Model (1)'!$J$14:$J$81))</f>
        <v>5081.6677</v>
      </c>
      <c r="H6" s="262">
        <f>VLOOKUP($F$6,'NOx Model (1)'!$J$14:$K$81,2,FALSE)</f>
        <v>2400</v>
      </c>
      <c r="L6" s="248" t="s">
        <v>201</v>
      </c>
      <c r="M6" s="249" t="s">
        <v>193</v>
      </c>
      <c r="N6" s="274" t="s">
        <v>207</v>
      </c>
      <c r="O6" s="275"/>
      <c r="P6" s="274" t="s">
        <v>206</v>
      </c>
      <c r="Q6" s="285" t="s">
        <v>208</v>
      </c>
      <c r="R6" s="286" t="s">
        <v>205</v>
      </c>
    </row>
    <row r="7" spans="1:27" ht="15.75" thickBot="1" x14ac:dyDescent="0.3">
      <c r="A7" s="516" t="s">
        <v>202</v>
      </c>
      <c r="B7" s="517"/>
      <c r="D7" s="268" t="s">
        <v>195</v>
      </c>
      <c r="F7" s="265">
        <f t="array" ref="F7">MAX(IF('NOx Model (1)'!$J$14:$J$81&lt;'NOx Model (2)'!$P$3,'NOx Model (1)'!$J$14:$J$81))</f>
        <v>4947.8615499999996</v>
      </c>
      <c r="H7" s="260">
        <f>VLOOKUP($F$7,'NOx Model (1)'!$J$14:$K$81,2,FALSE)</f>
        <v>2350</v>
      </c>
      <c r="J7" s="245" t="s">
        <v>199</v>
      </c>
      <c r="L7" s="250">
        <v>10</v>
      </c>
      <c r="M7" s="280">
        <f>'NOx Model (2)'!F9</f>
        <v>2374.8450650437226</v>
      </c>
      <c r="N7" s="270">
        <f>(((4.7*10^13)*($T$3)*(($S$3)^0.5)*EXP(-67837/M7)))/($A$12*6)</f>
        <v>4.0200865417320381E-6</v>
      </c>
      <c r="O7" s="275"/>
      <c r="P7" s="276">
        <f>N7*($A$10*10^-6)</f>
        <v>1.6080346166928151E-10</v>
      </c>
      <c r="Q7" s="283">
        <f>SUM(P7:P22)</f>
        <v>1.4599186576165551E-7</v>
      </c>
      <c r="R7" s="284">
        <f>(Q7/U3)*10^6</f>
        <v>21023.034255010589</v>
      </c>
    </row>
    <row r="8" spans="1:27" ht="15.75" customHeight="1" thickBot="1" x14ac:dyDescent="0.3">
      <c r="A8" s="514">
        <v>0.4</v>
      </c>
      <c r="B8" s="515"/>
      <c r="E8" s="267"/>
      <c r="F8" s="526" t="s">
        <v>197</v>
      </c>
      <c r="G8" s="527"/>
      <c r="H8" s="528"/>
      <c r="L8" s="251">
        <f t="shared" ref="L8:L22" si="0">L7+2</f>
        <v>12</v>
      </c>
      <c r="M8" s="281">
        <f>M7*((L8/L7)^((1.17-1)/1.17))</f>
        <v>2438.5981998635493</v>
      </c>
      <c r="N8" s="271">
        <f>(((4.7*10^13)*($T$3)*(($S$3)^0.5)*EXP(-67837/M8)))/($A$12*6)</f>
        <v>8.4831630160976587E-6</v>
      </c>
      <c r="O8" s="275"/>
      <c r="P8" s="277">
        <f t="shared" ref="P8:P22" si="1">N8*($A$10*10^-6)</f>
        <v>3.393265206439063E-10</v>
      </c>
    </row>
    <row r="9" spans="1:27" ht="15" customHeight="1" thickBot="1" x14ac:dyDescent="0.3">
      <c r="A9" s="516" t="s">
        <v>203</v>
      </c>
      <c r="B9" s="517"/>
      <c r="E9" s="259"/>
      <c r="F9" s="529">
        <f>((($P$3-$F$7)/($F$6-$F$7))*($H$6-$H$7))+$H$7</f>
        <v>2374.8450650437226</v>
      </c>
      <c r="G9" s="530"/>
      <c r="H9" s="531"/>
      <c r="L9" s="251">
        <f t="shared" si="0"/>
        <v>14</v>
      </c>
      <c r="M9" s="281">
        <f t="shared" ref="M9:M22" si="2">M8*((L9/L8)^((1.17-1)/1.17))</f>
        <v>2493.8341064525143</v>
      </c>
      <c r="N9" s="271">
        <f t="shared" ref="N9:N22" si="3">(((4.7*10^13)*($T$3)*(($S$3)^0.5)*EXP(-67837/M9)))/($A$12*6)</f>
        <v>1.5708856536228591E-5</v>
      </c>
      <c r="O9" s="275"/>
      <c r="P9" s="277">
        <f t="shared" si="1"/>
        <v>6.2835426144914357E-10</v>
      </c>
    </row>
    <row r="10" spans="1:27" ht="15.75" thickBot="1" x14ac:dyDescent="0.3">
      <c r="A10" s="518">
        <v>40</v>
      </c>
      <c r="B10" s="519"/>
      <c r="L10" s="251">
        <f t="shared" si="0"/>
        <v>16</v>
      </c>
      <c r="M10" s="281">
        <f t="shared" si="2"/>
        <v>2542.6919056430825</v>
      </c>
      <c r="N10" s="271">
        <f t="shared" si="3"/>
        <v>2.649374576992971E-5</v>
      </c>
      <c r="O10" s="275"/>
      <c r="P10" s="277">
        <f t="shared" si="1"/>
        <v>1.0597498307971883E-9</v>
      </c>
    </row>
    <row r="11" spans="1:27" ht="15.75" thickBot="1" x14ac:dyDescent="0.3">
      <c r="A11" s="516" t="s">
        <v>161</v>
      </c>
      <c r="B11" s="517"/>
      <c r="L11" s="251">
        <f t="shared" si="0"/>
        <v>18</v>
      </c>
      <c r="M11" s="281">
        <f t="shared" si="2"/>
        <v>2586.5814479809246</v>
      </c>
      <c r="N11" s="271">
        <f t="shared" si="3"/>
        <v>4.1662684588928367E-5</v>
      </c>
      <c r="O11" s="275"/>
      <c r="P11" s="277">
        <f t="shared" si="1"/>
        <v>1.6665073835571345E-9</v>
      </c>
      <c r="Q11" s="32"/>
    </row>
    <row r="12" spans="1:27" ht="15.75" customHeight="1" thickBot="1" x14ac:dyDescent="0.3">
      <c r="A12" s="533">
        <v>1800</v>
      </c>
      <c r="B12" s="534"/>
      <c r="D12" s="491" t="s">
        <v>186</v>
      </c>
      <c r="E12" s="532"/>
      <c r="F12" s="492"/>
      <c r="L12" s="251">
        <f t="shared" si="0"/>
        <v>20</v>
      </c>
      <c r="M12" s="281">
        <f t="shared" si="2"/>
        <v>2626.4835347268945</v>
      </c>
      <c r="N12" s="271">
        <f t="shared" si="3"/>
        <v>6.2056450965857813E-5</v>
      </c>
      <c r="O12" s="275"/>
      <c r="P12" s="277">
        <f t="shared" si="1"/>
        <v>2.4822580386343124E-9</v>
      </c>
    </row>
    <row r="13" spans="1:27" x14ac:dyDescent="0.25">
      <c r="A13" s="512" t="s">
        <v>160</v>
      </c>
      <c r="B13" s="513"/>
      <c r="D13" s="269" t="s">
        <v>165</v>
      </c>
      <c r="F13" s="430">
        <v>1</v>
      </c>
      <c r="L13" s="251">
        <f t="shared" si="0"/>
        <v>22</v>
      </c>
      <c r="M13" s="281">
        <f t="shared" si="2"/>
        <v>2663.109380501578</v>
      </c>
      <c r="N13" s="271">
        <f t="shared" si="3"/>
        <v>8.8522690379232613E-5</v>
      </c>
      <c r="O13" s="275"/>
      <c r="P13" s="277">
        <f t="shared" si="1"/>
        <v>3.5409076151693042E-9</v>
      </c>
    </row>
    <row r="14" spans="1:27" ht="15" customHeight="1" x14ac:dyDescent="0.25">
      <c r="A14" s="257" t="s">
        <v>0</v>
      </c>
      <c r="B14" s="130">
        <v>0.21</v>
      </c>
      <c r="D14" s="204" t="s">
        <v>166</v>
      </c>
      <c r="F14" s="431">
        <f>1600/4</f>
        <v>400</v>
      </c>
      <c r="L14" s="251">
        <f t="shared" si="0"/>
        <v>24</v>
      </c>
      <c r="M14" s="281">
        <f t="shared" si="2"/>
        <v>2696.99194866775</v>
      </c>
      <c r="N14" s="271">
        <f t="shared" si="3"/>
        <v>1.2190923945723055E-4</v>
      </c>
      <c r="O14" s="275"/>
      <c r="P14" s="277">
        <f t="shared" si="1"/>
        <v>4.8763695782892217E-9</v>
      </c>
    </row>
    <row r="15" spans="1:27" ht="15.75" thickBot="1" x14ac:dyDescent="0.3">
      <c r="A15" s="258" t="s">
        <v>1</v>
      </c>
      <c r="B15" s="42">
        <v>0.79</v>
      </c>
      <c r="D15" s="204" t="s">
        <v>167</v>
      </c>
      <c r="F15" s="431">
        <v>8314</v>
      </c>
      <c r="L15" s="251">
        <f t="shared" si="0"/>
        <v>26</v>
      </c>
      <c r="M15" s="281">
        <f t="shared" si="2"/>
        <v>2728.5414413988542</v>
      </c>
      <c r="N15" s="271">
        <f t="shared" si="3"/>
        <v>1.6305918978688465E-4</v>
      </c>
      <c r="O15" s="275"/>
      <c r="P15" s="277">
        <f t="shared" si="1"/>
        <v>6.5223675914753853E-9</v>
      </c>
    </row>
    <row r="16" spans="1:27" ht="15.75" thickBot="1" x14ac:dyDescent="0.3">
      <c r="A16" s="535" t="s">
        <v>190</v>
      </c>
      <c r="B16" s="536"/>
      <c r="D16" s="205" t="s">
        <v>168</v>
      </c>
      <c r="F16" s="432">
        <f>20+273</f>
        <v>293</v>
      </c>
      <c r="L16" s="251">
        <f t="shared" si="0"/>
        <v>28</v>
      </c>
      <c r="M16" s="281">
        <f t="shared" si="2"/>
        <v>2758.0806492811339</v>
      </c>
      <c r="N16" s="271">
        <f t="shared" si="3"/>
        <v>2.1280723851080317E-4</v>
      </c>
      <c r="O16" s="275"/>
      <c r="P16" s="277">
        <f t="shared" si="1"/>
        <v>8.5122895404321268E-9</v>
      </c>
    </row>
    <row r="17" spans="1:19" x14ac:dyDescent="0.25">
      <c r="A17" s="537"/>
      <c r="B17" s="538"/>
      <c r="L17" s="251">
        <f t="shared" si="0"/>
        <v>30</v>
      </c>
      <c r="M17" s="281">
        <f t="shared" si="2"/>
        <v>2785.8683668068325</v>
      </c>
      <c r="N17" s="271">
        <f t="shared" si="3"/>
        <v>2.7197700031477963E-4</v>
      </c>
      <c r="O17" s="275"/>
      <c r="P17" s="277">
        <f t="shared" si="1"/>
        <v>1.0879080012591184E-8</v>
      </c>
    </row>
    <row r="18" spans="1:19" ht="15.75" customHeight="1" thickBot="1" x14ac:dyDescent="0.3">
      <c r="A18" s="518">
        <v>3.76</v>
      </c>
      <c r="B18" s="519"/>
      <c r="L18" s="251">
        <f t="shared" si="0"/>
        <v>32</v>
      </c>
      <c r="M18" s="281">
        <f t="shared" si="2"/>
        <v>2812.1154185407686</v>
      </c>
      <c r="N18" s="271">
        <f t="shared" si="3"/>
        <v>3.4137904419854928E-4</v>
      </c>
      <c r="O18" s="275"/>
      <c r="P18" s="277">
        <f t="shared" si="1"/>
        <v>1.3655161767941969E-8</v>
      </c>
    </row>
    <row r="19" spans="1:19" ht="15.75" thickBot="1" x14ac:dyDescent="0.3">
      <c r="L19" s="251">
        <f t="shared" si="0"/>
        <v>34</v>
      </c>
      <c r="M19" s="281">
        <f t="shared" si="2"/>
        <v>2836.9959374576806</v>
      </c>
      <c r="N19" s="271">
        <f t="shared" si="3"/>
        <v>4.2180948085926981E-4</v>
      </c>
      <c r="O19" s="275"/>
      <c r="P19" s="277">
        <f t="shared" si="1"/>
        <v>1.6872379234370793E-8</v>
      </c>
      <c r="S19" s="24"/>
    </row>
    <row r="20" spans="1:19" ht="15.75" customHeight="1" thickBot="1" x14ac:dyDescent="0.3">
      <c r="A20" s="523" t="s">
        <v>6</v>
      </c>
      <c r="B20" s="524"/>
      <c r="C20" s="525"/>
      <c r="L20" s="251">
        <f t="shared" si="0"/>
        <v>36</v>
      </c>
      <c r="M20" s="281">
        <f t="shared" si="2"/>
        <v>2860.6554946888177</v>
      </c>
      <c r="N20" s="271">
        <f>(((4.7*10^13)*($T$3)*(($S$3)^0.5)*EXP(-67837/M20)))/($A$12*6)</f>
        <v>5.1404897102420789E-4</v>
      </c>
      <c r="O20" s="275"/>
      <c r="P20" s="277">
        <f t="shared" si="1"/>
        <v>2.0561958840968313E-8</v>
      </c>
      <c r="S20" s="24"/>
    </row>
    <row r="21" spans="1:19" ht="16.5" customHeight="1" thickBot="1" x14ac:dyDescent="0.3">
      <c r="A21" s="335" t="s">
        <v>7</v>
      </c>
      <c r="B21" s="41">
        <f>(2*B24)+(2*'NOx Model (1)'!Y10*B25)</f>
        <v>32.095151021826005</v>
      </c>
      <c r="C21" s="228" t="s">
        <v>19</v>
      </c>
      <c r="L21" s="251">
        <f t="shared" si="0"/>
        <v>38</v>
      </c>
      <c r="M21" s="281">
        <f t="shared" si="2"/>
        <v>2883.2170833720752</v>
      </c>
      <c r="N21" s="271">
        <f t="shared" si="3"/>
        <v>6.1886205721007389E-4</v>
      </c>
      <c r="O21" s="275"/>
      <c r="P21" s="277">
        <f t="shared" si="1"/>
        <v>2.4754482288402952E-8</v>
      </c>
    </row>
    <row r="22" spans="1:19" ht="15.75" thickBot="1" x14ac:dyDescent="0.3">
      <c r="A22" s="338" t="s">
        <v>8</v>
      </c>
      <c r="B22" s="130">
        <v>12</v>
      </c>
      <c r="C22" s="229" t="s">
        <v>19</v>
      </c>
      <c r="J22" s="245" t="s">
        <v>200</v>
      </c>
      <c r="L22" s="252">
        <f t="shared" si="0"/>
        <v>40</v>
      </c>
      <c r="M22" s="282">
        <f t="shared" si="2"/>
        <v>2904.7856046408983</v>
      </c>
      <c r="N22" s="272">
        <f t="shared" si="3"/>
        <v>7.3699674488158194E-4</v>
      </c>
      <c r="O22" s="278"/>
      <c r="P22" s="279">
        <f t="shared" si="1"/>
        <v>2.9479869795263274E-8</v>
      </c>
    </row>
    <row r="23" spans="1:19" ht="18.75" customHeight="1" x14ac:dyDescent="0.25">
      <c r="A23" s="338" t="s">
        <v>9</v>
      </c>
      <c r="B23" s="130">
        <v>1</v>
      </c>
      <c r="C23" s="229" t="s">
        <v>19</v>
      </c>
      <c r="N23" s="32"/>
    </row>
    <row r="24" spans="1:19" ht="15" customHeight="1" x14ac:dyDescent="0.25">
      <c r="A24" s="338" t="s">
        <v>10</v>
      </c>
      <c r="B24" s="130">
        <v>16</v>
      </c>
      <c r="C24" s="229" t="s">
        <v>19</v>
      </c>
    </row>
    <row r="25" spans="1:19" ht="15.75" thickBot="1" x14ac:dyDescent="0.3">
      <c r="A25" s="341" t="s">
        <v>11</v>
      </c>
      <c r="B25" s="42">
        <v>14</v>
      </c>
      <c r="C25" s="230" t="s">
        <v>19</v>
      </c>
    </row>
    <row r="26" spans="1:19" ht="15" customHeight="1" x14ac:dyDescent="0.25"/>
    <row r="30" spans="1:19" ht="15" customHeight="1" x14ac:dyDescent="0.25"/>
    <row r="32" spans="1:19" ht="15.75" customHeight="1" x14ac:dyDescent="0.25"/>
    <row r="41" spans="17:28" x14ac:dyDescent="0.25"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</sheetData>
  <mergeCells count="16">
    <mergeCell ref="A20:C20"/>
    <mergeCell ref="F8:H8"/>
    <mergeCell ref="F9:H9"/>
    <mergeCell ref="D12:F12"/>
    <mergeCell ref="A12:B12"/>
    <mergeCell ref="A11:B11"/>
    <mergeCell ref="A16:B17"/>
    <mergeCell ref="A18:B18"/>
    <mergeCell ref="A1:AA1"/>
    <mergeCell ref="A5:B6"/>
    <mergeCell ref="A13:B13"/>
    <mergeCell ref="A8:B8"/>
    <mergeCell ref="A9:B9"/>
    <mergeCell ref="A10:B10"/>
    <mergeCell ref="N5:R5"/>
    <mergeCell ref="A7:B7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'NOx Model (1)'!$A$3:$A$9</xm:f>
          </x14:formula1>
          <xm:sqref>B3</xm:sqref>
        </x14:dataValidation>
        <x14:dataValidation type="list" allowBlank="1" showInputMessage="1" showErrorMessage="1" xr:uid="{93B9D37C-D911-457E-BEDE-9C4C036F4A0C}">
          <x14:formula1>
            <xm:f>'NOx Model (1)'!$O$4:$O$16</xm:f>
          </x14:formula1>
          <xm:sqref>C3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1711E-EE62-4A8D-B8DC-B221F43563BC}">
  <sheetPr>
    <tabColor rgb="FF0070C0"/>
  </sheetPr>
  <dimension ref="A1:Y32"/>
  <sheetViews>
    <sheetView workbookViewId="0"/>
  </sheetViews>
  <sheetFormatPr defaultRowHeight="15" x14ac:dyDescent="0.25"/>
  <cols>
    <col min="1" max="7" width="9.140625" style="24"/>
    <col min="8" max="8" width="9.5703125" style="24" bestFit="1" customWidth="1"/>
    <col min="9" max="9" width="9.140625" style="24"/>
    <col min="10" max="11" width="13.5703125" style="24" bestFit="1" customWidth="1"/>
    <col min="12" max="24" width="9.140625" style="24"/>
    <col min="25" max="25" width="12.42578125" style="24" bestFit="1" customWidth="1"/>
    <col min="26" max="16384" width="9.140625" style="24"/>
  </cols>
  <sheetData>
    <row r="1" spans="1:25" ht="15.75" thickBot="1" x14ac:dyDescent="0.3"/>
    <row r="2" spans="1:25" ht="15.75" thickBot="1" x14ac:dyDescent="0.3">
      <c r="A2" s="547" t="s">
        <v>136</v>
      </c>
      <c r="B2" s="548"/>
      <c r="D2" s="539" t="s">
        <v>12</v>
      </c>
      <c r="E2" s="540"/>
      <c r="G2" s="539" t="s">
        <v>92</v>
      </c>
      <c r="H2" s="540"/>
      <c r="J2" s="546"/>
      <c r="K2" s="546"/>
      <c r="L2" s="25"/>
    </row>
    <row r="3" spans="1:25" ht="15.75" thickBot="1" x14ac:dyDescent="0.3">
      <c r="A3" s="291" t="s">
        <v>141</v>
      </c>
      <c r="B3" s="292" t="s">
        <v>205</v>
      </c>
      <c r="D3" s="291" t="s">
        <v>141</v>
      </c>
      <c r="E3" s="292" t="s">
        <v>205</v>
      </c>
      <c r="G3" s="291" t="s">
        <v>141</v>
      </c>
      <c r="H3" s="292" t="s">
        <v>205</v>
      </c>
      <c r="J3" s="237"/>
      <c r="K3" s="237"/>
      <c r="L3" s="25"/>
    </row>
    <row r="4" spans="1:25" ht="16.5" thickBot="1" x14ac:dyDescent="0.3">
      <c r="A4" s="287">
        <v>0.6</v>
      </c>
      <c r="B4" s="288">
        <v>10.259908046323735</v>
      </c>
      <c r="D4" s="287">
        <v>0.6</v>
      </c>
      <c r="E4" s="288">
        <v>9.8587969509443124E-2</v>
      </c>
      <c r="G4" s="287">
        <v>0.6</v>
      </c>
      <c r="H4" s="288">
        <v>0.7740499567357032</v>
      </c>
      <c r="J4" s="237"/>
      <c r="K4" s="372"/>
      <c r="L4" s="543" t="s">
        <v>236</v>
      </c>
      <c r="M4" s="544"/>
      <c r="N4" s="544"/>
      <c r="O4" s="544"/>
      <c r="P4" s="544"/>
      <c r="Q4" s="544"/>
      <c r="R4" s="544"/>
      <c r="S4" s="544"/>
      <c r="T4" s="544"/>
      <c r="U4" s="544"/>
      <c r="V4" s="544"/>
      <c r="W4" s="544"/>
      <c r="X4" s="545"/>
    </row>
    <row r="5" spans="1:25" ht="15.75" thickBot="1" x14ac:dyDescent="0.3">
      <c r="A5" s="287">
        <v>0.65</v>
      </c>
      <c r="B5" s="288">
        <v>54.639532842062124</v>
      </c>
      <c r="D5" s="287">
        <v>0.65</v>
      </c>
      <c r="E5" s="288">
        <v>0.56894567500445148</v>
      </c>
      <c r="G5" s="287">
        <v>0.65</v>
      </c>
      <c r="H5" s="288">
        <v>4.343994602915469</v>
      </c>
      <c r="J5" s="237"/>
      <c r="L5" s="353">
        <v>0.6</v>
      </c>
      <c r="M5" s="354">
        <v>0.65</v>
      </c>
      <c r="N5" s="354">
        <v>0.7</v>
      </c>
      <c r="O5" s="354">
        <v>0.75</v>
      </c>
      <c r="P5" s="354">
        <v>0.8</v>
      </c>
      <c r="Q5" s="354">
        <v>0.85</v>
      </c>
      <c r="R5" s="354">
        <v>0.9</v>
      </c>
      <c r="S5" s="354">
        <v>0.95</v>
      </c>
      <c r="T5" s="354">
        <v>0.96</v>
      </c>
      <c r="U5" s="354">
        <v>0.97</v>
      </c>
      <c r="V5" s="354">
        <v>0.98</v>
      </c>
      <c r="W5" s="354">
        <v>0.99</v>
      </c>
      <c r="X5" s="355">
        <v>1</v>
      </c>
    </row>
    <row r="6" spans="1:25" ht="15.75" thickBot="1" x14ac:dyDescent="0.3">
      <c r="A6" s="287">
        <v>0.7</v>
      </c>
      <c r="B6" s="288">
        <v>233.76355406348225</v>
      </c>
      <c r="D6" s="287">
        <v>0.7</v>
      </c>
      <c r="E6" s="288">
        <v>2.6167442062453952</v>
      </c>
      <c r="G6" s="287">
        <v>0.7</v>
      </c>
      <c r="H6" s="288">
        <v>19.456504420322076</v>
      </c>
      <c r="J6" s="237"/>
      <c r="L6" s="384">
        <v>3039.0000000000005</v>
      </c>
      <c r="M6" s="385">
        <v>3292.2500000000009</v>
      </c>
      <c r="N6" s="385">
        <v>3545.5000000000005</v>
      </c>
      <c r="O6" s="385">
        <v>3798.7500000000009</v>
      </c>
      <c r="P6" s="385">
        <v>4052.0000000000009</v>
      </c>
      <c r="Q6" s="385">
        <v>4305.2500000000009</v>
      </c>
      <c r="R6" s="385">
        <v>4558.5000000000009</v>
      </c>
      <c r="S6" s="385">
        <v>4811.7500000000009</v>
      </c>
      <c r="T6" s="385">
        <v>4862.4000000000005</v>
      </c>
      <c r="U6" s="385">
        <v>4913.0500000000011</v>
      </c>
      <c r="V6" s="385">
        <v>4963.7000000000007</v>
      </c>
      <c r="W6" s="385">
        <v>5014.3500000000013</v>
      </c>
      <c r="X6" s="386">
        <v>5065.0000000000009</v>
      </c>
      <c r="Y6" s="387" t="s">
        <v>34</v>
      </c>
    </row>
    <row r="7" spans="1:25" ht="15.75" thickBot="1" x14ac:dyDescent="0.3">
      <c r="A7" s="287">
        <v>0.75</v>
      </c>
      <c r="B7" s="288">
        <v>829.25305073715572</v>
      </c>
      <c r="D7" s="287">
        <v>0.75</v>
      </c>
      <c r="E7" s="288">
        <v>9.9050181560929875</v>
      </c>
      <c r="G7" s="287">
        <v>0.75</v>
      </c>
      <c r="H7" s="288">
        <v>71.674266156562155</v>
      </c>
      <c r="J7" s="383" t="s">
        <v>237</v>
      </c>
      <c r="K7" s="374">
        <v>10</v>
      </c>
      <c r="L7" s="380">
        <v>1700.0149962509374</v>
      </c>
      <c r="M7" s="381">
        <v>1793.8068065191512</v>
      </c>
      <c r="N7" s="381">
        <v>1885.2733817890901</v>
      </c>
      <c r="O7" s="381">
        <v>1974.4966276286123</v>
      </c>
      <c r="P7" s="381">
        <v>2061.6087277525571</v>
      </c>
      <c r="Q7" s="381">
        <v>2146.7698152077946</v>
      </c>
      <c r="R7" s="381">
        <v>2229.8080014083216</v>
      </c>
      <c r="S7" s="381">
        <v>2311.1418398717719</v>
      </c>
      <c r="T7" s="381">
        <v>2327.1378320129256</v>
      </c>
      <c r="U7" s="381">
        <v>2343.0754100788636</v>
      </c>
      <c r="V7" s="381">
        <v>2358.9796671665586</v>
      </c>
      <c r="W7" s="381">
        <v>2374.8450650437226</v>
      </c>
      <c r="X7" s="382">
        <v>2390.652741514361</v>
      </c>
    </row>
    <row r="8" spans="1:25" x14ac:dyDescent="0.25">
      <c r="A8" s="287">
        <v>0.8</v>
      </c>
      <c r="B8" s="288">
        <v>2493.9188626228906</v>
      </c>
      <c r="D8" s="287">
        <v>0.8</v>
      </c>
      <c r="E8" s="288">
        <v>31.455345228698643</v>
      </c>
      <c r="G8" s="287">
        <v>0.8</v>
      </c>
      <c r="H8" s="288">
        <v>223.03947469890764</v>
      </c>
      <c r="J8" s="237"/>
      <c r="K8" s="375">
        <v>12</v>
      </c>
      <c r="L8" s="287">
        <v>1745.6521987981773</v>
      </c>
      <c r="M8" s="377">
        <v>1841.9618667628952</v>
      </c>
      <c r="N8" s="377">
        <v>1935.8838783855172</v>
      </c>
      <c r="O8" s="377">
        <v>2027.5023380033153</v>
      </c>
      <c r="P8" s="377">
        <v>2116.9529778262859</v>
      </c>
      <c r="Q8" s="377">
        <v>2204.4002297011957</v>
      </c>
      <c r="R8" s="377">
        <v>2289.6675906626197</v>
      </c>
      <c r="S8" s="377">
        <v>2373.1848503712276</v>
      </c>
      <c r="T8" s="377">
        <v>2389.6102577439524</v>
      </c>
      <c r="U8" s="377">
        <v>2405.9756829053053</v>
      </c>
      <c r="V8" s="377">
        <v>2422.3068925808748</v>
      </c>
      <c r="W8" s="377">
        <v>2438.5981998635493</v>
      </c>
      <c r="X8" s="288">
        <v>2454.8302361983556</v>
      </c>
      <c r="Y8" s="25"/>
    </row>
    <row r="9" spans="1:25" x14ac:dyDescent="0.25">
      <c r="A9" s="287">
        <v>0.85</v>
      </c>
      <c r="B9" s="288">
        <v>6430.1263798958325</v>
      </c>
      <c r="D9" s="287">
        <v>0.85</v>
      </c>
      <c r="E9" s="288">
        <v>85.118573991000076</v>
      </c>
      <c r="G9" s="287">
        <v>0.85</v>
      </c>
      <c r="H9" s="288">
        <v>592.17649925033641</v>
      </c>
      <c r="J9" s="237"/>
      <c r="K9" s="375">
        <v>14</v>
      </c>
      <c r="L9" s="287">
        <v>1785.1924075111308</v>
      </c>
      <c r="M9" s="377">
        <v>1883.6835549108828</v>
      </c>
      <c r="N9" s="377">
        <v>1979.7329639296502</v>
      </c>
      <c r="O9" s="377">
        <v>2073.4266439251051</v>
      </c>
      <c r="P9" s="377">
        <v>2164.903401534048</v>
      </c>
      <c r="Q9" s="377">
        <v>2254.3313930963304</v>
      </c>
      <c r="R9" s="377">
        <v>2341.5301177344013</v>
      </c>
      <c r="S9" s="377">
        <v>2426.9391001368458</v>
      </c>
      <c r="T9" s="377">
        <v>2443.7365541498807</v>
      </c>
      <c r="U9" s="377">
        <v>2460.4726673136897</v>
      </c>
      <c r="V9" s="377">
        <v>2477.1737899877085</v>
      </c>
      <c r="W9" s="377">
        <v>2493.8341064525143</v>
      </c>
      <c r="X9" s="288">
        <v>2510.4338094421996</v>
      </c>
      <c r="Y9" s="25"/>
    </row>
    <row r="10" spans="1:25" x14ac:dyDescent="0.25">
      <c r="A10" s="287">
        <v>0.9</v>
      </c>
      <c r="B10" s="288">
        <v>14045.335408842688</v>
      </c>
      <c r="D10" s="287">
        <v>0.9</v>
      </c>
      <c r="E10" s="288">
        <v>194.33822092213236</v>
      </c>
      <c r="G10" s="287">
        <v>0.9</v>
      </c>
      <c r="H10" s="288">
        <v>1330.5499954496572</v>
      </c>
      <c r="J10" s="237"/>
      <c r="K10" s="375">
        <v>16</v>
      </c>
      <c r="L10" s="287">
        <v>1820.1668959652875</v>
      </c>
      <c r="M10" s="377">
        <v>1920.5876266878654</v>
      </c>
      <c r="N10" s="377">
        <v>2018.5187818605048</v>
      </c>
      <c r="O10" s="377">
        <v>2114.0480558879763</v>
      </c>
      <c r="P10" s="377">
        <v>2207.316974828861</v>
      </c>
      <c r="Q10" s="377">
        <v>2298.4969894477135</v>
      </c>
      <c r="R10" s="377">
        <v>2387.4040625950206</v>
      </c>
      <c r="S10" s="377">
        <v>2474.4863298805662</v>
      </c>
      <c r="T10" s="377">
        <v>2491.6128701920675</v>
      </c>
      <c r="U10" s="377">
        <v>2508.6768678988269</v>
      </c>
      <c r="V10" s="377">
        <v>2525.7051896017438</v>
      </c>
      <c r="W10" s="377">
        <v>2542.6919056430825</v>
      </c>
      <c r="X10" s="288">
        <v>2559.6168207040896</v>
      </c>
      <c r="Y10" s="373"/>
    </row>
    <row r="11" spans="1:25" x14ac:dyDescent="0.25">
      <c r="A11" s="287">
        <v>0.95</v>
      </c>
      <c r="B11" s="288">
        <v>24322.703260554808</v>
      </c>
      <c r="D11" s="287">
        <v>0.95</v>
      </c>
      <c r="E11" s="288">
        <v>349.6728774202806</v>
      </c>
      <c r="G11" s="287">
        <v>0.95</v>
      </c>
      <c r="H11" s="288">
        <v>2362.9748548039584</v>
      </c>
      <c r="J11" s="237"/>
      <c r="K11" s="375">
        <v>18</v>
      </c>
      <c r="L11" s="287">
        <v>1851.5848950807576</v>
      </c>
      <c r="M11" s="377">
        <v>1953.7389934609996</v>
      </c>
      <c r="N11" s="377">
        <v>2053.36054359325</v>
      </c>
      <c r="O11" s="377">
        <v>2150.5387535801383</v>
      </c>
      <c r="P11" s="377">
        <v>2245.4175923691869</v>
      </c>
      <c r="Q11" s="377">
        <v>2338.1714701458595</v>
      </c>
      <c r="R11" s="377">
        <v>2428.6131730854636</v>
      </c>
      <c r="S11" s="377">
        <v>2517.1985720907514</v>
      </c>
      <c r="T11" s="377">
        <v>2534.6207345397343</v>
      </c>
      <c r="U11" s="377">
        <v>2551.9792748326959</v>
      </c>
      <c r="V11" s="377">
        <v>2569.3015233163856</v>
      </c>
      <c r="W11" s="377">
        <v>2586.5814479809246</v>
      </c>
      <c r="X11" s="288">
        <v>2603.7985049150725</v>
      </c>
      <c r="Y11" s="25"/>
    </row>
    <row r="12" spans="1:25" x14ac:dyDescent="0.25">
      <c r="A12" s="287">
        <v>0.96</v>
      </c>
      <c r="B12" s="288">
        <v>25755.994054319814</v>
      </c>
      <c r="D12" s="287">
        <v>0.96</v>
      </c>
      <c r="E12" s="288">
        <v>373.11324818103759</v>
      </c>
      <c r="G12" s="287">
        <v>0.96</v>
      </c>
      <c r="H12" s="288">
        <v>2514.8876787107529</v>
      </c>
      <c r="J12" s="237"/>
      <c r="K12" s="375">
        <v>20</v>
      </c>
      <c r="L12" s="287">
        <v>1880.148504070806</v>
      </c>
      <c r="M12" s="377">
        <v>1983.8784900760854</v>
      </c>
      <c r="N12" s="377">
        <v>2085.0368592937152</v>
      </c>
      <c r="O12" s="377">
        <v>2183.7141960016052</v>
      </c>
      <c r="P12" s="377">
        <v>2280.0566900947124</v>
      </c>
      <c r="Q12" s="377">
        <v>2374.2414423099067</v>
      </c>
      <c r="R12" s="377">
        <v>2466.0783507548181</v>
      </c>
      <c r="S12" s="377">
        <v>2556.0303188578218</v>
      </c>
      <c r="T12" s="377">
        <v>2573.7212455623762</v>
      </c>
      <c r="U12" s="377">
        <v>2591.3475686390943</v>
      </c>
      <c r="V12" s="377">
        <v>2608.9370400483062</v>
      </c>
      <c r="W12" s="377">
        <v>2626.4835347268945</v>
      </c>
      <c r="X12" s="288">
        <v>2643.966191841479</v>
      </c>
    </row>
    <row r="13" spans="1:25" x14ac:dyDescent="0.25">
      <c r="A13" s="287">
        <v>0.97</v>
      </c>
      <c r="B13" s="288">
        <v>26331.334821821176</v>
      </c>
      <c r="D13" s="287">
        <v>0.97</v>
      </c>
      <c r="E13" s="288">
        <v>384.29817277107122</v>
      </c>
      <c r="G13" s="287">
        <v>0.97</v>
      </c>
      <c r="H13" s="288">
        <v>2583.8346966544</v>
      </c>
      <c r="J13" s="237"/>
      <c r="K13" s="375">
        <v>22</v>
      </c>
      <c r="L13" s="287">
        <v>1906.3668405778192</v>
      </c>
      <c r="M13" s="377">
        <v>2011.5433227896831</v>
      </c>
      <c r="N13" s="377">
        <v>2114.1123274751531</v>
      </c>
      <c r="O13" s="377">
        <v>2214.1657020937832</v>
      </c>
      <c r="P13" s="377">
        <v>2311.8516751326169</v>
      </c>
      <c r="Q13" s="377">
        <v>2407.3498169668019</v>
      </c>
      <c r="R13" s="377">
        <v>2500.467374766889</v>
      </c>
      <c r="S13" s="377">
        <v>2591.6737070672348</v>
      </c>
      <c r="T13" s="377">
        <v>2609.6113305983731</v>
      </c>
      <c r="U13" s="377">
        <v>2627.4834496155745</v>
      </c>
      <c r="V13" s="377">
        <v>2645.3182030753205</v>
      </c>
      <c r="W13" s="377">
        <v>2663.109380501578</v>
      </c>
      <c r="X13" s="288">
        <v>2680.8358301603548</v>
      </c>
    </row>
    <row r="14" spans="1:25" x14ac:dyDescent="0.25">
      <c r="A14" s="287">
        <v>0.98</v>
      </c>
      <c r="B14" s="288">
        <v>25314.886010614715</v>
      </c>
      <c r="D14" s="287">
        <v>0.98</v>
      </c>
      <c r="E14" s="288">
        <v>371.97660134099544</v>
      </c>
      <c r="G14" s="287">
        <v>0.98</v>
      </c>
      <c r="H14" s="288">
        <v>2494.4732490187666</v>
      </c>
      <c r="J14" s="237" t="s">
        <v>238</v>
      </c>
      <c r="K14" s="375">
        <v>24</v>
      </c>
      <c r="L14" s="378">
        <v>1930.621422420583</v>
      </c>
      <c r="M14" s="377">
        <v>2037.1360582036496</v>
      </c>
      <c r="N14" s="377">
        <v>2141.010041692633</v>
      </c>
      <c r="O14" s="377">
        <v>2242.3363889163661</v>
      </c>
      <c r="P14" s="377">
        <v>2341.2652142633328</v>
      </c>
      <c r="Q14" s="377">
        <v>2437.9783727709332</v>
      </c>
      <c r="R14" s="377">
        <v>2532.2806592279539</v>
      </c>
      <c r="S14" s="377">
        <v>2624.6474037869848</v>
      </c>
      <c r="T14" s="377">
        <v>2642.8132465405415</v>
      </c>
      <c r="U14" s="377">
        <v>2660.912751370473</v>
      </c>
      <c r="V14" s="377">
        <v>2678.9744152433814</v>
      </c>
      <c r="W14" s="377">
        <v>2696.99194866775</v>
      </c>
      <c r="X14" s="288">
        <v>2714.943930797444</v>
      </c>
    </row>
    <row r="15" spans="1:25" x14ac:dyDescent="0.25">
      <c r="A15" s="287">
        <v>0.99</v>
      </c>
      <c r="B15" s="288">
        <v>21023.034255010589</v>
      </c>
      <c r="D15" s="287">
        <v>0.99</v>
      </c>
      <c r="E15" s="288">
        <v>310.91504124196297</v>
      </c>
      <c r="G15" s="287">
        <v>0.99</v>
      </c>
      <c r="H15" s="288">
        <v>2078.3756137626292</v>
      </c>
      <c r="J15" s="237"/>
      <c r="K15" s="375">
        <v>26</v>
      </c>
      <c r="L15" s="378">
        <v>1953.2058897428753</v>
      </c>
      <c r="M15" s="377">
        <v>2060.9665369310014</v>
      </c>
      <c r="N15" s="377">
        <v>2166.0556413952831</v>
      </c>
      <c r="O15" s="377">
        <v>2268.5673072688492</v>
      </c>
      <c r="P15" s="377">
        <v>2368.6534049828033</v>
      </c>
      <c r="Q15" s="377">
        <v>2466.4979169202293</v>
      </c>
      <c r="R15" s="377">
        <v>2561.9033543534965</v>
      </c>
      <c r="S15" s="377">
        <v>2655.350607861581</v>
      </c>
      <c r="T15" s="377">
        <v>2673.7289551886834</v>
      </c>
      <c r="U15" s="377">
        <v>2692.0401885691399</v>
      </c>
      <c r="V15" s="377">
        <v>2710.3131383279224</v>
      </c>
      <c r="W15" s="377">
        <v>2728.5414413988542</v>
      </c>
      <c r="X15" s="288">
        <v>2746.7034263540995</v>
      </c>
    </row>
    <row r="16" spans="1:25" ht="15.75" thickBot="1" x14ac:dyDescent="0.3">
      <c r="A16" s="289">
        <v>1</v>
      </c>
      <c r="B16" s="290">
        <v>0</v>
      </c>
      <c r="D16" s="289">
        <v>1</v>
      </c>
      <c r="E16" s="290">
        <v>0</v>
      </c>
      <c r="G16" s="289">
        <v>1</v>
      </c>
      <c r="H16" s="290">
        <v>0</v>
      </c>
      <c r="J16" s="237"/>
      <c r="K16" s="375">
        <v>28</v>
      </c>
      <c r="L16" s="287">
        <v>1974.3513097605492</v>
      </c>
      <c r="M16" s="377">
        <v>2083.278574435411</v>
      </c>
      <c r="N16" s="377">
        <v>2189.5053742470436</v>
      </c>
      <c r="O16" s="377">
        <v>2293.1268321005496</v>
      </c>
      <c r="P16" s="377">
        <v>2394.2964625773348</v>
      </c>
      <c r="Q16" s="377">
        <v>2493.2002398549926</v>
      </c>
      <c r="R16" s="377">
        <v>2589.6385371916067</v>
      </c>
      <c r="S16" s="377">
        <v>2684.0974512907756</v>
      </c>
      <c r="T16" s="377">
        <v>2702.6747627288828</v>
      </c>
      <c r="U16" s="377">
        <v>2721.1842336443092</v>
      </c>
      <c r="V16" s="377">
        <v>2739.6550064793173</v>
      </c>
      <c r="W16" s="377">
        <v>2758.0806492811339</v>
      </c>
      <c r="X16" s="288">
        <v>2776.4392560069005</v>
      </c>
    </row>
    <row r="17" spans="1:24" ht="15.75" thickBot="1" x14ac:dyDescent="0.3">
      <c r="K17" s="375">
        <v>30</v>
      </c>
      <c r="L17" s="287">
        <v>1994.242938566407</v>
      </c>
      <c r="M17" s="377">
        <v>2104.2676476044062</v>
      </c>
      <c r="N17" s="377">
        <v>2211.5646845418437</v>
      </c>
      <c r="O17" s="377">
        <v>2316.2301306489871</v>
      </c>
      <c r="P17" s="377">
        <v>2418.4190471697107</v>
      </c>
      <c r="Q17" s="377">
        <v>2518.3192819751539</v>
      </c>
      <c r="R17" s="377">
        <v>2615.729197079997</v>
      </c>
      <c r="S17" s="377">
        <v>2711.1397866218167</v>
      </c>
      <c r="T17" s="377">
        <v>2729.9042648430141</v>
      </c>
      <c r="U17" s="377">
        <v>2748.6002190469121</v>
      </c>
      <c r="V17" s="377">
        <v>2767.2570852864601</v>
      </c>
      <c r="W17" s="377">
        <v>2785.8683668068325</v>
      </c>
      <c r="X17" s="288">
        <v>2804.4119368613524</v>
      </c>
    </row>
    <row r="18" spans="1:24" ht="15.75" thickBot="1" x14ac:dyDescent="0.3">
      <c r="A18" s="539" t="s">
        <v>210</v>
      </c>
      <c r="B18" s="540"/>
      <c r="D18" s="541" t="s">
        <v>67</v>
      </c>
      <c r="E18" s="542"/>
      <c r="G18" s="539" t="s">
        <v>9</v>
      </c>
      <c r="H18" s="540"/>
      <c r="K18" s="375">
        <v>32</v>
      </c>
      <c r="L18" s="287">
        <v>2013.0316933411291</v>
      </c>
      <c r="M18" s="377">
        <v>2124.092999895558</v>
      </c>
      <c r="N18" s="377">
        <v>2232.4009355936655</v>
      </c>
      <c r="O18" s="377">
        <v>2338.052486935163</v>
      </c>
      <c r="P18" s="377">
        <v>2441.2041760730394</v>
      </c>
      <c r="Q18" s="377">
        <v>2542.0456206866747</v>
      </c>
      <c r="R18" s="377">
        <v>2640.3732830589834</v>
      </c>
      <c r="S18" s="377">
        <v>2736.6827832275603</v>
      </c>
      <c r="T18" s="377">
        <v>2755.624050932604</v>
      </c>
      <c r="U18" s="377">
        <v>2774.4961490214937</v>
      </c>
      <c r="V18" s="377">
        <v>2793.328790878877</v>
      </c>
      <c r="W18" s="377">
        <v>2812.1154185407686</v>
      </c>
      <c r="X18" s="288">
        <v>2830.8336967934042</v>
      </c>
    </row>
    <row r="19" spans="1:24" x14ac:dyDescent="0.25">
      <c r="A19" s="291" t="s">
        <v>141</v>
      </c>
      <c r="B19" s="292" t="s">
        <v>205</v>
      </c>
      <c r="D19" s="291" t="s">
        <v>141</v>
      </c>
      <c r="E19" s="292" t="s">
        <v>205</v>
      </c>
      <c r="G19" s="291" t="s">
        <v>141</v>
      </c>
      <c r="H19" s="292" t="s">
        <v>205</v>
      </c>
      <c r="K19" s="375">
        <v>34</v>
      </c>
      <c r="L19" s="287">
        <v>2030.8422258663222</v>
      </c>
      <c r="M19" s="377">
        <v>2142.8861602746601</v>
      </c>
      <c r="N19" s="377">
        <v>2252.1523630571201</v>
      </c>
      <c r="O19" s="377">
        <v>2358.7386788127742</v>
      </c>
      <c r="P19" s="377">
        <v>2462.8030145426028</v>
      </c>
      <c r="Q19" s="377">
        <v>2564.5366655905032</v>
      </c>
      <c r="R19" s="377">
        <v>2663.7342934157159</v>
      </c>
      <c r="S19" s="377">
        <v>2760.8959031118834</v>
      </c>
      <c r="T19" s="377">
        <v>2780.0047558905476</v>
      </c>
      <c r="U19" s="377">
        <v>2799.0438270668174</v>
      </c>
      <c r="V19" s="377">
        <v>2818.0430929179738</v>
      </c>
      <c r="W19" s="377">
        <v>2836.9959374576806</v>
      </c>
      <c r="X19" s="288">
        <v>2855.8798278587674</v>
      </c>
    </row>
    <row r="20" spans="1:24" x14ac:dyDescent="0.25">
      <c r="A20" s="287">
        <v>0.6</v>
      </c>
      <c r="B20" s="288">
        <v>11.248181094929613</v>
      </c>
      <c r="D20" s="287">
        <v>0.6</v>
      </c>
      <c r="E20" s="288">
        <v>10.098487872278218</v>
      </c>
      <c r="G20" s="287">
        <v>0.6</v>
      </c>
      <c r="H20" s="288">
        <v>124.546528795637</v>
      </c>
      <c r="K20" s="375">
        <v>36</v>
      </c>
      <c r="L20" s="287">
        <v>2047.7787421425326</v>
      </c>
      <c r="M20" s="377">
        <v>2160.7570839088562</v>
      </c>
      <c r="N20" s="377">
        <v>2270.9345287357714</v>
      </c>
      <c r="O20" s="377">
        <v>2378.4097372122014</v>
      </c>
      <c r="P20" s="377">
        <v>2483.3419332284734</v>
      </c>
      <c r="Q20" s="377">
        <v>2585.9240074649724</v>
      </c>
      <c r="R20" s="377">
        <v>2685.9489089290851</v>
      </c>
      <c r="S20" s="377">
        <v>2783.9208125826472</v>
      </c>
      <c r="T20" s="377">
        <v>2803.1890265327424</v>
      </c>
      <c r="U20" s="377">
        <v>2822.3868769262031</v>
      </c>
      <c r="V20" s="377">
        <v>2841.5445900320133</v>
      </c>
      <c r="W20" s="377">
        <v>2860.6554946888177</v>
      </c>
      <c r="X20" s="288">
        <v>2879.6968701535216</v>
      </c>
    </row>
    <row r="21" spans="1:24" x14ac:dyDescent="0.25">
      <c r="A21" s="287">
        <v>0.65</v>
      </c>
      <c r="B21" s="288">
        <v>59.087226119552625</v>
      </c>
      <c r="D21" s="287">
        <v>0.65</v>
      </c>
      <c r="E21" s="288">
        <v>52.899580014981979</v>
      </c>
      <c r="G21" s="287">
        <v>0.65</v>
      </c>
      <c r="H21" s="288">
        <v>516.85581232668358</v>
      </c>
      <c r="K21" s="375">
        <v>38</v>
      </c>
      <c r="L21" s="287">
        <v>2063.9292858834046</v>
      </c>
      <c r="M21" s="377">
        <v>2177.7986719861683</v>
      </c>
      <c r="N21" s="377">
        <v>2288.8450708681844</v>
      </c>
      <c r="O21" s="377">
        <v>2397.1679212406048</v>
      </c>
      <c r="P21" s="377">
        <v>2502.9277027702478</v>
      </c>
      <c r="Q21" s="377">
        <v>2606.3188274392423</v>
      </c>
      <c r="R21" s="377">
        <v>2707.1326112728352</v>
      </c>
      <c r="S21" s="377">
        <v>2805.8772055900763</v>
      </c>
      <c r="T21" s="377">
        <v>2825.2973852412529</v>
      </c>
      <c r="U21" s="377">
        <v>2844.6466463882925</v>
      </c>
      <c r="V21" s="377">
        <v>2863.955453690523</v>
      </c>
      <c r="W21" s="377">
        <v>2883.2170833720752</v>
      </c>
      <c r="X21" s="288">
        <v>2902.4086354945398</v>
      </c>
    </row>
    <row r="22" spans="1:24" ht="15.75" thickBot="1" x14ac:dyDescent="0.3">
      <c r="A22" s="287">
        <v>0.7</v>
      </c>
      <c r="B22" s="288">
        <v>249.5630012031481</v>
      </c>
      <c r="D22" s="287">
        <v>0.7</v>
      </c>
      <c r="E22" s="288">
        <v>222.86285085178841</v>
      </c>
      <c r="G22" s="287">
        <v>0.7</v>
      </c>
      <c r="H22" s="288">
        <v>1758.4448680830913</v>
      </c>
      <c r="K22" s="376">
        <v>40</v>
      </c>
      <c r="L22" s="289">
        <v>2079.3689497771338</v>
      </c>
      <c r="M22" s="379">
        <v>2194.0901601459891</v>
      </c>
      <c r="N22" s="379">
        <v>2305.9672653351804</v>
      </c>
      <c r="O22" s="379">
        <v>2415.1004479283797</v>
      </c>
      <c r="P22" s="379">
        <v>2521.6513880948332</v>
      </c>
      <c r="Q22" s="379">
        <v>2625.8159521570287</v>
      </c>
      <c r="R22" s="379">
        <v>2727.3838950351646</v>
      </c>
      <c r="S22" s="379">
        <v>2826.8671693827769</v>
      </c>
      <c r="T22" s="379">
        <v>2846.4326258361293</v>
      </c>
      <c r="U22" s="379">
        <v>2865.9266332643256</v>
      </c>
      <c r="V22" s="379">
        <v>2885.3798842240858</v>
      </c>
      <c r="W22" s="379">
        <v>2904.7856046408983</v>
      </c>
      <c r="X22" s="290">
        <v>2924.1207232684737</v>
      </c>
    </row>
    <row r="23" spans="1:24" x14ac:dyDescent="0.25">
      <c r="A23" s="287">
        <v>0.75</v>
      </c>
      <c r="B23" s="288">
        <v>874.78580089593981</v>
      </c>
      <c r="D23" s="287">
        <v>0.75</v>
      </c>
      <c r="E23" s="288">
        <v>779.3842356382504</v>
      </c>
      <c r="G23" s="287">
        <v>0.75</v>
      </c>
      <c r="H23" s="288">
        <v>5070.2349631476127</v>
      </c>
    </row>
    <row r="24" spans="1:24" x14ac:dyDescent="0.25">
      <c r="A24" s="287">
        <v>0.8</v>
      </c>
      <c r="B24" s="288">
        <v>2602.4671132751737</v>
      </c>
      <c r="D24" s="287">
        <v>0.8</v>
      </c>
      <c r="E24" s="288">
        <v>2312.2694869181437</v>
      </c>
      <c r="G24" s="287">
        <v>0.8</v>
      </c>
      <c r="H24" s="288">
        <v>12565.134021052861</v>
      </c>
    </row>
    <row r="25" spans="1:24" x14ac:dyDescent="0.25">
      <c r="A25" s="287">
        <v>0.85</v>
      </c>
      <c r="B25" s="288">
        <v>6641.244435028515</v>
      </c>
      <c r="D25" s="287">
        <v>0.85</v>
      </c>
      <c r="E25" s="288">
        <v>5887.0571952650425</v>
      </c>
      <c r="G25" s="287">
        <v>0.85</v>
      </c>
      <c r="H25" s="288">
        <v>27142.537112433918</v>
      </c>
    </row>
    <row r="26" spans="1:24" x14ac:dyDescent="0.25">
      <c r="A26" s="287">
        <v>0.9</v>
      </c>
      <c r="B26" s="288">
        <v>14369.710302588246</v>
      </c>
      <c r="D26" s="287">
        <v>0.9</v>
      </c>
      <c r="E26" s="288">
        <v>12704.955028535795</v>
      </c>
      <c r="G26" s="287">
        <v>0.9</v>
      </c>
      <c r="H26" s="288">
        <v>50336.639418397659</v>
      </c>
    </row>
    <row r="27" spans="1:24" x14ac:dyDescent="0.25">
      <c r="A27" s="287">
        <v>0.95</v>
      </c>
      <c r="B27" s="288">
        <v>24655.832110833337</v>
      </c>
      <c r="D27" s="287">
        <v>0.95</v>
      </c>
      <c r="E27" s="288">
        <v>21764.820020057039</v>
      </c>
      <c r="G27" s="287">
        <v>0.95</v>
      </c>
      <c r="H27" s="288">
        <v>74802.774161468697</v>
      </c>
    </row>
    <row r="28" spans="1:24" x14ac:dyDescent="0.25">
      <c r="A28" s="287">
        <v>0.96</v>
      </c>
      <c r="B28" s="288">
        <v>26064.561985135122</v>
      </c>
      <c r="D28" s="287">
        <v>0.96</v>
      </c>
      <c r="E28" s="288">
        <v>22996.174820757409</v>
      </c>
      <c r="G28" s="287">
        <v>0.96</v>
      </c>
      <c r="H28" s="288">
        <v>76959.103028172001</v>
      </c>
    </row>
    <row r="29" spans="1:24" x14ac:dyDescent="0.25">
      <c r="A29" s="287">
        <v>0.97</v>
      </c>
      <c r="B29" s="288">
        <v>26602.235403244806</v>
      </c>
      <c r="D29" s="287">
        <v>0.97</v>
      </c>
      <c r="E29" s="288">
        <v>23458.255230426494</v>
      </c>
      <c r="G29" s="287">
        <v>0.97</v>
      </c>
      <c r="H29" s="288">
        <v>76470.238128374607</v>
      </c>
    </row>
    <row r="30" spans="1:24" x14ac:dyDescent="0.25">
      <c r="A30" s="287">
        <v>0.98</v>
      </c>
      <c r="B30" s="288">
        <v>25534.421364832822</v>
      </c>
      <c r="D30" s="287">
        <v>0.98</v>
      </c>
      <c r="E30" s="288">
        <v>22498.503462270222</v>
      </c>
      <c r="G30" s="287">
        <v>0.98</v>
      </c>
      <c r="H30" s="288">
        <v>71463.490533009273</v>
      </c>
    </row>
    <row r="31" spans="1:24" x14ac:dyDescent="0.25">
      <c r="A31" s="287">
        <v>0.99</v>
      </c>
      <c r="B31" s="288">
        <v>21169.930733376565</v>
      </c>
      <c r="D31" s="287">
        <v>0.99</v>
      </c>
      <c r="E31" s="288">
        <v>18643.009994835553</v>
      </c>
      <c r="G31" s="287">
        <v>0.99</v>
      </c>
      <c r="H31" s="288">
        <v>57690.971674954286</v>
      </c>
    </row>
    <row r="32" spans="1:24" ht="15.75" thickBot="1" x14ac:dyDescent="0.3">
      <c r="A32" s="289">
        <v>1</v>
      </c>
      <c r="B32" s="290">
        <v>0</v>
      </c>
      <c r="D32" s="289">
        <v>1</v>
      </c>
      <c r="E32" s="290">
        <v>0</v>
      </c>
      <c r="G32" s="289">
        <v>1</v>
      </c>
      <c r="H32" s="290">
        <v>0</v>
      </c>
    </row>
  </sheetData>
  <mergeCells count="8">
    <mergeCell ref="A18:B18"/>
    <mergeCell ref="D18:E18"/>
    <mergeCell ref="G18:H18"/>
    <mergeCell ref="L4:X4"/>
    <mergeCell ref="J2:K2"/>
    <mergeCell ref="A2:B2"/>
    <mergeCell ref="D2:E2"/>
    <mergeCell ref="G2:H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3B23E-8AE1-4127-AED9-A63A47B0E0AB}">
  <sheetPr>
    <tabColor rgb="FF0070C0"/>
  </sheetPr>
  <dimension ref="A1"/>
  <sheetViews>
    <sheetView workbookViewId="0">
      <selection activeCell="P5" sqref="P5"/>
    </sheetView>
  </sheetViews>
  <sheetFormatPr defaultRowHeight="15" x14ac:dyDescent="0.25"/>
  <cols>
    <col min="1" max="16384" width="9.140625" style="24"/>
  </cols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F54F1-35DF-4C41-BD83-04613E4CEDBC}">
  <sheetPr>
    <tabColor rgb="FF0070C0"/>
  </sheetPr>
  <dimension ref="B1:T46"/>
  <sheetViews>
    <sheetView workbookViewId="0">
      <selection activeCell="P24" sqref="P24"/>
    </sheetView>
  </sheetViews>
  <sheetFormatPr defaultRowHeight="15" x14ac:dyDescent="0.25"/>
  <cols>
    <col min="1" max="16384" width="9.140625" style="24"/>
  </cols>
  <sheetData>
    <row r="1" spans="2:20" ht="15.75" thickBot="1" x14ac:dyDescent="0.3"/>
    <row r="2" spans="2:20" ht="19.5" thickBot="1" x14ac:dyDescent="0.35">
      <c r="B2" s="549" t="s">
        <v>211</v>
      </c>
      <c r="C2" s="550"/>
      <c r="D2" s="550"/>
      <c r="E2" s="550"/>
      <c r="F2" s="550"/>
      <c r="G2" s="550"/>
      <c r="H2" s="550"/>
      <c r="I2" s="550"/>
      <c r="J2" s="551"/>
      <c r="L2" s="549" t="s">
        <v>212</v>
      </c>
      <c r="M2" s="550"/>
      <c r="N2" s="550"/>
      <c r="O2" s="550"/>
      <c r="P2" s="550"/>
      <c r="Q2" s="550"/>
      <c r="R2" s="550"/>
      <c r="S2" s="550"/>
      <c r="T2" s="551"/>
    </row>
    <row r="24" spans="2:20" ht="15.75" thickBot="1" x14ac:dyDescent="0.3"/>
    <row r="25" spans="2:20" ht="19.5" thickBot="1" x14ac:dyDescent="0.35">
      <c r="B25" s="549" t="s">
        <v>69</v>
      </c>
      <c r="C25" s="550"/>
      <c r="D25" s="550"/>
      <c r="E25" s="550"/>
      <c r="F25" s="550"/>
      <c r="G25" s="550"/>
      <c r="H25" s="550"/>
      <c r="I25" s="550"/>
      <c r="J25" s="551"/>
      <c r="L25" s="549" t="s">
        <v>67</v>
      </c>
      <c r="M25" s="550"/>
      <c r="N25" s="550"/>
      <c r="O25" s="550"/>
      <c r="P25" s="550"/>
      <c r="Q25" s="550"/>
      <c r="R25" s="550"/>
      <c r="S25" s="550"/>
      <c r="T25" s="551"/>
    </row>
    <row r="45" spans="8:16" ht="15.75" thickBot="1" x14ac:dyDescent="0.3"/>
    <row r="46" spans="8:16" ht="19.5" thickBot="1" x14ac:dyDescent="0.35">
      <c r="H46" s="549" t="s">
        <v>213</v>
      </c>
      <c r="I46" s="550"/>
      <c r="J46" s="550"/>
      <c r="K46" s="550"/>
      <c r="L46" s="550"/>
      <c r="M46" s="550"/>
      <c r="N46" s="550"/>
      <c r="O46" s="550"/>
      <c r="P46" s="551"/>
    </row>
  </sheetData>
  <mergeCells count="5">
    <mergeCell ref="B2:J2"/>
    <mergeCell ref="L2:T2"/>
    <mergeCell ref="B25:J25"/>
    <mergeCell ref="L25:T25"/>
    <mergeCell ref="H46:P4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221BB-0DBB-4768-BEA0-DD501E8FE130}">
  <sheetPr>
    <tabColor rgb="FFFF0000"/>
  </sheetPr>
  <dimension ref="A1:AL145"/>
  <sheetViews>
    <sheetView zoomScaleNormal="100" workbookViewId="0">
      <selection activeCell="Q23" sqref="Q23"/>
    </sheetView>
  </sheetViews>
  <sheetFormatPr defaultRowHeight="15" x14ac:dyDescent="0.25"/>
  <cols>
    <col min="1" max="1" width="16.5703125" style="24" customWidth="1"/>
    <col min="2" max="2" width="10.5703125" style="24" bestFit="1" customWidth="1"/>
    <col min="3" max="3" width="13.85546875" style="24" bestFit="1" customWidth="1"/>
    <col min="4" max="4" width="8.7109375" style="24" bestFit="1" customWidth="1"/>
    <col min="5" max="5" width="12.5703125" style="24" bestFit="1" customWidth="1"/>
    <col min="6" max="6" width="6.28515625" style="24" hidden="1" customWidth="1"/>
    <col min="7" max="7" width="12.140625" style="24" bestFit="1" customWidth="1"/>
    <col min="8" max="8" width="13.28515625" style="32" bestFit="1" customWidth="1"/>
    <col min="9" max="9" width="6.42578125" style="32" hidden="1" customWidth="1"/>
    <col min="10" max="10" width="11.5703125" style="32" customWidth="1"/>
    <col min="11" max="11" width="13.85546875" style="32" bestFit="1" customWidth="1"/>
    <col min="12" max="12" width="13.7109375" style="32" bestFit="1" customWidth="1"/>
    <col min="13" max="14" width="12.5703125" style="32" bestFit="1" customWidth="1"/>
    <col min="15" max="15" width="13.85546875" style="32" bestFit="1" customWidth="1"/>
    <col min="16" max="16" width="10.7109375" style="24" hidden="1" customWidth="1"/>
    <col min="17" max="17" width="16.7109375" style="24" customWidth="1"/>
    <col min="18" max="18" width="17.140625" style="24" customWidth="1"/>
    <col min="19" max="19" width="12.5703125" style="24" bestFit="1" customWidth="1"/>
    <col min="20" max="20" width="11.28515625" style="24" hidden="1" customWidth="1"/>
    <col min="21" max="21" width="11.28515625" style="24" bestFit="1" customWidth="1"/>
    <col min="22" max="22" width="14.85546875" style="24" bestFit="1" customWidth="1"/>
    <col min="23" max="23" width="18.85546875" style="24" bestFit="1" customWidth="1"/>
    <col min="24" max="24" width="15.85546875" style="32" bestFit="1" customWidth="1"/>
    <col min="25" max="25" width="14.5703125" style="32" customWidth="1"/>
    <col min="26" max="26" width="10.28515625" style="32" bestFit="1" customWidth="1"/>
    <col min="27" max="27" width="11.85546875" style="24" customWidth="1"/>
    <col min="28" max="28" width="8.7109375" style="24" bestFit="1" customWidth="1"/>
    <col min="29" max="29" width="12.140625" style="24" customWidth="1"/>
    <col min="30" max="30" width="8.5703125" style="24" bestFit="1" customWidth="1"/>
    <col min="31" max="32" width="9.28515625" style="24" bestFit="1" customWidth="1"/>
    <col min="33" max="35" width="9.140625" style="24"/>
    <col min="36" max="36" width="14.85546875" style="24" bestFit="1" customWidth="1"/>
    <col min="37" max="37" width="5.85546875" style="24" bestFit="1" customWidth="1"/>
    <col min="38" max="16384" width="9.140625" style="24"/>
  </cols>
  <sheetData>
    <row r="1" spans="1:38" ht="24" customHeight="1" thickBot="1" x14ac:dyDescent="0.4">
      <c r="A1" s="554" t="s">
        <v>216</v>
      </c>
      <c r="B1" s="503"/>
      <c r="C1" s="503"/>
      <c r="D1" s="503"/>
      <c r="E1" s="555"/>
      <c r="F1" s="555"/>
      <c r="G1" s="555"/>
      <c r="H1" s="555"/>
      <c r="I1" s="555"/>
      <c r="J1" s="555"/>
      <c r="K1" s="555"/>
      <c r="L1" s="555"/>
      <c r="M1" s="555"/>
      <c r="N1" s="555"/>
      <c r="O1" s="555"/>
      <c r="P1" s="555"/>
      <c r="Q1" s="555"/>
      <c r="R1" s="555"/>
      <c r="S1" s="555"/>
      <c r="T1" s="555"/>
      <c r="U1" s="555"/>
      <c r="V1" s="555"/>
      <c r="W1" s="555"/>
      <c r="X1" s="555"/>
      <c r="Y1" s="555"/>
      <c r="Z1" s="555"/>
      <c r="AA1" s="504"/>
    </row>
    <row r="2" spans="1:38" ht="60" customHeight="1" x14ac:dyDescent="0.25">
      <c r="A2" s="401" t="s">
        <v>240</v>
      </c>
      <c r="B2" s="404" t="s">
        <v>140</v>
      </c>
      <c r="C2" s="403" t="s">
        <v>141</v>
      </c>
      <c r="D2" s="310" t="s">
        <v>214</v>
      </c>
      <c r="E2" s="306" t="s">
        <v>13</v>
      </c>
      <c r="F2" s="307" t="s">
        <v>215</v>
      </c>
      <c r="G2" s="426" t="s">
        <v>244</v>
      </c>
      <c r="H2" s="311" t="s">
        <v>245</v>
      </c>
      <c r="I2" s="312" t="s">
        <v>183</v>
      </c>
      <c r="J2" s="427" t="s">
        <v>246</v>
      </c>
      <c r="K2" s="311" t="s">
        <v>247</v>
      </c>
      <c r="L2" s="427" t="s">
        <v>241</v>
      </c>
      <c r="M2" s="311" t="s">
        <v>242</v>
      </c>
      <c r="N2" s="427" t="s">
        <v>248</v>
      </c>
      <c r="O2" s="311" t="s">
        <v>243</v>
      </c>
      <c r="P2" s="307" t="s">
        <v>184</v>
      </c>
      <c r="Q2" s="308" t="s">
        <v>181</v>
      </c>
      <c r="R2" s="320"/>
      <c r="S2" s="308" t="s">
        <v>162</v>
      </c>
      <c r="T2" s="307" t="s">
        <v>185</v>
      </c>
      <c r="U2" s="308" t="s">
        <v>159</v>
      </c>
      <c r="V2" s="321" t="s">
        <v>164</v>
      </c>
      <c r="W2" s="322" t="s">
        <v>169</v>
      </c>
      <c r="X2" s="311" t="s">
        <v>171</v>
      </c>
      <c r="Y2" s="311" t="s">
        <v>172</v>
      </c>
      <c r="Z2" s="327" t="s">
        <v>174</v>
      </c>
    </row>
    <row r="3" spans="1:38" ht="15.75" thickBot="1" x14ac:dyDescent="0.3">
      <c r="A3" s="402"/>
      <c r="B3" s="428" t="s">
        <v>136</v>
      </c>
      <c r="C3" s="429">
        <v>0.97</v>
      </c>
      <c r="D3" s="413">
        <v>20</v>
      </c>
      <c r="E3" s="255">
        <f>IF(B3="Iso-Octane",'NOx Model (1)'!H3,IF(B3="Methanol",'NOx Model (1)'!H4,IF(B3="Ethanol",'NOx Model (1)'!H5,IF(B3="Propane",'NOx Model (1)'!H6,IF(B3="Ethane",'NOx Model (1)'!H7,IF(B3="Hydrogen",'NOx Model (1)'!H8,IF(B3="Acetylene",'NOx Model (1)'!H9)))))))</f>
        <v>12.5</v>
      </c>
      <c r="F3" s="305">
        <f>IF(B3="Iso-Octane",'NOx Model (1)'!F3,IF(B3="Methanol",'NOx Model (1)'!F4,IF(B3="Ethanol",'NOx Model (1)'!F5,IF(B3="Propane",'NOx Model (1)'!F6,IF(B3="Ethane",'NOx Model (1)'!F7,IF(B3="Hydrogen",'NOx Model (1)'!F8,IF(B3="Acetylene",'NOx Model (1)'!F9)))))))</f>
        <v>8</v>
      </c>
      <c r="G3" s="305">
        <f>F3*C3</f>
        <v>7.76</v>
      </c>
      <c r="H3" s="46">
        <f>G3*A5</f>
        <v>9.3119999999999994</v>
      </c>
      <c r="I3" s="46">
        <f>IF(B3="Iso-Octane",'NOx Model (1)'!G3,IF(B3="Methanol",'NOx Model (1)'!G4,IF(B3="Ethanol",'NOx Model (1)'!G5,IF(B3="Propane",'NOx Model (1)'!G6,IF(B3="Ethane",'NOx Model (1)'!G7,IF(B3="Hydrogen",'NOx Model (1)'!G8,IF(B3="Acetylene",'NOx Model (1)'!G9)))))))</f>
        <v>9</v>
      </c>
      <c r="J3" s="46">
        <f>I3*C3</f>
        <v>8.73</v>
      </c>
      <c r="K3" s="46">
        <f>J3*A5</f>
        <v>10.476000000000001</v>
      </c>
      <c r="L3" s="46">
        <f>E3*(1-C3)</f>
        <v>0.37500000000000033</v>
      </c>
      <c r="M3" s="46">
        <f>L3*A5</f>
        <v>0.4500000000000004</v>
      </c>
      <c r="N3" s="46">
        <f>IF(B3="Iso-Octane",'NOx Model (1)'!I3,IF(B3="Methanol",'NOx Model (1)'!I4,IF(B3="Ethanol",'NOx Model (1)'!I5,IF(B3="Propane",'NOx Model (1)'!I6,IF(B3="Ethane",'NOx Model (1)'!I7,IF(B3="Hydrogen",'NOx Model (1)'!I8,IF(B3="Acetylene",'NOx Model (1)'!I9)))))))</f>
        <v>47</v>
      </c>
      <c r="O3" s="46">
        <f>N3*A5</f>
        <v>56.4</v>
      </c>
      <c r="P3" s="46">
        <f>IF(B3="Iso-Octane",'NOx Model (1)'!J3,IF(B3="Methanol",'NOx Model (1)'!J4,IF(B3="Ethanol",'NOx Model (1)'!J5,IF(B3="Propane",'NOx Model (1)'!J6,IF(B3="Ethane",'NOx Model (1)'!J7,IF(B3="Hydrogen",'NOx Model (1)'!J8,IF(B3="Acetylene",'NOx Model (1)'!J9)))))))</f>
        <v>5324.2000000000007</v>
      </c>
      <c r="Q3" s="46">
        <f>P3*C3</f>
        <v>5164.4740000000002</v>
      </c>
      <c r="R3" s="46">
        <f>IF(B3="Iso-Octane",'NOx Model (1)'!K3,IF(B3="Methanol",'NOx Model (1)'!K4,IF(B3="Ethanol",'NOx Model (1)'!K5,IF(B3="Propane",'NOx Model (1)'!K6,IF(B3="Ethane",'NOx Model (1)'!K7,IF(B3="Hydrogen",'NOx Model (1)'!K8,IF(B3="Acetylene",'NOx Model (1)'!K9)))))))</f>
        <v>259.2</v>
      </c>
      <c r="S3" s="46">
        <f>R3*C3</f>
        <v>251.42399999999998</v>
      </c>
      <c r="T3" s="46">
        <f>IF(B3="Iso-Octane",'NOx Model (1)'!L3,IF(B3="Methanol",'NOx Model (1)'!L4,IF(B3="Ethanol",'NOx Model (1)'!L5,IF(B3="Propane",'NOx Model (1)'!L6,IF(B3="Ethane",'NOx Model (1)'!L7,IF(B3="Hydrogen",'NOx Model (1)'!L8,IF(B3="Acetylene",'NOx Model (1)'!L9)))))))</f>
        <v>5065.0000000000009</v>
      </c>
      <c r="U3" s="46">
        <f>T3*C3</f>
        <v>4913.0500000000011</v>
      </c>
      <c r="V3" s="334">
        <f>((AG6*10^5)*((AG7*10^-6)*(0.4))/(AG8*AG9))</f>
        <v>6.5681391066181384E-6</v>
      </c>
      <c r="W3" s="334">
        <f>(V3)/(C3+(E3*(1+AA11)))</f>
        <v>1.0861814299021231E-7</v>
      </c>
      <c r="X3" s="332">
        <f>(L3*W3)/(Y9*10^-6)</f>
        <v>1.0182950905332415E-3</v>
      </c>
      <c r="Y3" s="332">
        <f>(N3*W3)/(Y9*10^-6)</f>
        <v>0.12762631801349947</v>
      </c>
      <c r="Z3" s="279">
        <f>W3*(G3+J3+L3+N3)</f>
        <v>6.9368977020699098E-6</v>
      </c>
    </row>
    <row r="4" spans="1:38" ht="15.75" thickBot="1" x14ac:dyDescent="0.3">
      <c r="Z4" s="328"/>
      <c r="AA4" s="316"/>
    </row>
    <row r="5" spans="1:38" ht="15" customHeight="1" thickBot="1" x14ac:dyDescent="0.3">
      <c r="A5" s="433">
        <f>IF(D3=0,1,IF(D3=5,1.05,IF(D3=10,1.1,IF(D3=15,1.15,IF(D3=20,1.2,IF(D3=25,1.25,IF(D3=30,1.3,IF(D3=35,1.35,IF(D3=40,1.4,IF(D3=45,1.45,IF(D3=50,1.5)))))))))))</f>
        <v>1.2</v>
      </c>
      <c r="B5" s="491" t="s">
        <v>192</v>
      </c>
      <c r="C5" s="532"/>
      <c r="D5" s="532"/>
      <c r="E5" s="532"/>
      <c r="F5" s="532"/>
      <c r="G5" s="532"/>
      <c r="H5" s="532"/>
      <c r="I5" s="532"/>
      <c r="J5" s="532"/>
      <c r="K5" s="532"/>
      <c r="L5" s="532"/>
      <c r="M5" s="532"/>
      <c r="N5" s="492"/>
      <c r="O5" s="414"/>
      <c r="P5" s="414"/>
      <c r="Q5" s="414"/>
      <c r="R5" s="414"/>
      <c r="S5" s="414"/>
      <c r="Y5" s="557" t="s">
        <v>204</v>
      </c>
      <c r="Z5" s="558"/>
      <c r="AA5" s="558"/>
      <c r="AB5" s="559"/>
      <c r="AC5" s="523" t="s">
        <v>6</v>
      </c>
      <c r="AD5" s="524"/>
      <c r="AE5" s="525"/>
      <c r="AF5" s="491" t="s">
        <v>186</v>
      </c>
      <c r="AG5" s="492"/>
    </row>
    <row r="6" spans="1:38" ht="30.75" thickBot="1" x14ac:dyDescent="0.3">
      <c r="B6" s="552" t="s">
        <v>127</v>
      </c>
      <c r="C6" s="553"/>
      <c r="D6" s="552" t="s">
        <v>133</v>
      </c>
      <c r="E6" s="553"/>
      <c r="F6" s="423"/>
      <c r="G6" s="552" t="s">
        <v>10</v>
      </c>
      <c r="H6" s="556"/>
      <c r="I6" s="424"/>
      <c r="J6" s="552" t="s">
        <v>11</v>
      </c>
      <c r="K6" s="556"/>
      <c r="L6" s="552" t="s">
        <v>180</v>
      </c>
      <c r="M6" s="553"/>
      <c r="N6" s="425" t="s">
        <v>179</v>
      </c>
      <c r="P6" s="71"/>
      <c r="Q6" s="256"/>
      <c r="R6" s="315" t="s">
        <v>154</v>
      </c>
      <c r="S6" s="389" t="s">
        <v>196</v>
      </c>
      <c r="T6" s="32"/>
      <c r="U6" s="329"/>
      <c r="Y6" s="560" t="s">
        <v>202</v>
      </c>
      <c r="Z6" s="561"/>
      <c r="AA6" s="562" t="s">
        <v>160</v>
      </c>
      <c r="AB6" s="563"/>
      <c r="AC6" s="335" t="s">
        <v>7</v>
      </c>
      <c r="AD6" s="336">
        <f>(2*AD9)+(2*'NOx Model (1)'!Y6*AD10)</f>
        <v>32.019005032137208</v>
      </c>
      <c r="AE6" s="337" t="s">
        <v>19</v>
      </c>
      <c r="AF6" s="344" t="s">
        <v>165</v>
      </c>
      <c r="AG6" s="345">
        <v>1</v>
      </c>
    </row>
    <row r="7" spans="1:38" ht="15.75" thickBot="1" x14ac:dyDescent="0.3">
      <c r="B7" s="231" t="s">
        <v>191</v>
      </c>
      <c r="C7" s="232" t="s">
        <v>154</v>
      </c>
      <c r="D7" s="231" t="s">
        <v>191</v>
      </c>
      <c r="E7" s="232" t="s">
        <v>154</v>
      </c>
      <c r="F7" s="71"/>
      <c r="G7" s="231" t="s">
        <v>191</v>
      </c>
      <c r="H7" s="232" t="s">
        <v>154</v>
      </c>
      <c r="I7" s="33"/>
      <c r="J7" s="231" t="s">
        <v>191</v>
      </c>
      <c r="K7" s="232" t="s">
        <v>154</v>
      </c>
      <c r="L7" s="231" t="s">
        <v>191</v>
      </c>
      <c r="M7" s="232" t="s">
        <v>154</v>
      </c>
      <c r="N7" s="240" t="s">
        <v>193</v>
      </c>
      <c r="P7" s="71"/>
      <c r="Q7" s="318" t="s">
        <v>194</v>
      </c>
      <c r="R7" s="264">
        <f t="array" ref="R7">MIN(IF(EGR!$M$8:$M$75&gt;EGR!$U$3,EGR!M8:M75))</f>
        <v>4963.7304000000004</v>
      </c>
      <c r="S7" s="262">
        <f>VLOOKUP($R$7,EGR!$M$8:$N$75,2,FALSE)</f>
        <v>2050</v>
      </c>
      <c r="T7" s="32"/>
      <c r="U7" s="317"/>
      <c r="Y7" s="417">
        <v>0.4</v>
      </c>
      <c r="Z7" s="418"/>
      <c r="AA7" s="257" t="s">
        <v>0</v>
      </c>
      <c r="AB7" s="130">
        <v>0.21</v>
      </c>
      <c r="AC7" s="338" t="s">
        <v>8</v>
      </c>
      <c r="AD7" s="339">
        <v>12</v>
      </c>
      <c r="AE7" s="340" t="s">
        <v>19</v>
      </c>
      <c r="AF7" s="346" t="s">
        <v>166</v>
      </c>
      <c r="AG7" s="347">
        <f>1600/4</f>
        <v>400</v>
      </c>
    </row>
    <row r="8" spans="1:38" ht="15.75" customHeight="1" thickBot="1" x14ac:dyDescent="0.3">
      <c r="B8" s="183">
        <f>IF(EGR!$D$3=0,('NOx Model (1)'!A14*1),IF(EGR!$D$3=5,('NOx Model (1)'!A14*1.05),IF(EGR!$D$3=10,('NOx Model (1)'!A14*1.1),IF(EGR!$D$3=15,('NOx Model (1)'!A14*1.15),IF(EGR!$D$3=20,('NOx Model (1)'!A14*1.2),IF(EGR!$D$3=25,('NOx Model (1)'!A14*1.25),IF(EGR!$D$3=30,('NOx Model (1)'!A14*1.3),IF(EGR!$D$3=35,('NOx Model (1)'!A14*1.35),IF(EGR!$D$3=40,('NOx Model (1)'!A14*1.4),IF(EGR!$D$3=45,('NOx Model (1)'!A14*1.45),IF(EGR!$D$3=50,('NOx Model (1)'!A14*1.5))))))))))))</f>
        <v>1.1228041957354395</v>
      </c>
      <c r="C8" s="45">
        <f>IF(EGR!$D$3=0,(EGR!W78*1),IF(EGR!$D$3=5,(EGR!W78*1.05),IF(EGR!$D$3=10,(EGR!W78*1.1),IF(EGR!$D$3=15,(EGR!W78*1.15),IF(EGR!$D$3=20,(EGR!W78*1.2),IF(EGR!$D$3=25,(EGR!W78*1.25),IF(EGR!$D$3=30,(EGR!W78*1.3),IF(EGR!$D$3=35,(EGR!W78*1.35),IF(EGR!$D$3=40,(EGR!W78*1.4),IF(EGR!$D$3=45,(EGR!W78*1.45),IF(EGR!$D$3=50,(EGR!W78*1.5))))))))))))</f>
        <v>31.847039999999996</v>
      </c>
      <c r="D8" s="303">
        <f>IF(EGR!$D$3=0,('NOx Model (1)'!C14*1),IF(EGR!$D$3=5,('NOx Model (1)'!C14*1.05),IF(EGR!$D$3=10,('NOx Model (1)'!C14*1.1),IF(EGR!$D$3=15,('NOx Model (1)'!C14*1.15),IF(EGR!$D$3=20,('NOx Model (1)'!C14*1.2),IF(EGR!$D$3=25,('NOx Model (1)'!C14*1.25),IF(EGR!$D$3=30,('NOx Model (1)'!C14*1.3),IF(EGR!$D$3=35,('NOx Model (1)'!C14*1.35),IF(EGR!$D$3=40,('NOx Model (1)'!C14*1.4),IF(EGR!$D$3=45,('NOx Model (1)'!C14*1.45),IF(EGR!$D$3=50,('NOx Model (1)'!C14*1.5))))))))))))</f>
        <v>1.0168647274100946</v>
      </c>
      <c r="E8" s="45">
        <f>IF(EGR!$D$3=0,(EGR!Y78*1),IF(EGR!$D$3=5,(EGR!Y78*1.05),IF(EGR!$D$3=10,(EGR!Y78*1.1),IF(EGR!$D$3=15,(EGR!Y78*1.15),IF(EGR!$D$3=20,(EGR!Y78*1.2),IF(EGR!$D$3=25,(EGR!Y78*1.25),IF(EGR!$D$3=30,(EGR!Y78*1.3),IF(EGR!$D$3=35,(EGR!Y78*1.35),IF(EGR!$D$3=40,(EGR!Y78*1.4),IF(EGR!$D$3=45,(EGR!Y78*1.45),IF(EGR!$D$3=50,(EGR!Y78*1.5))))))))))))</f>
        <v>33.837479999999999</v>
      </c>
      <c r="F8" s="71"/>
      <c r="G8" s="183">
        <f>IF(EGR!$D$3=0,('NOx Model (1)'!E14*1),IF(EGR!$D$3=5,('NOx Model (1)'!E14*1.05),IF(EGR!$D$3=10,('NOx Model (1)'!E14*1.1),IF(EGR!$D$3=15,('NOx Model (1)'!E14*1.15),IF(EGR!$D$3=20,('NOx Model (1)'!E14*1.2),IF(EGR!$D$3=25,('NOx Model (1)'!E14*1.25),IF(EGR!$D$3=30,('NOx Model (1)'!E14*1.3),IF(EGR!$D$3=35,('NOx Model (1)'!E14*1.35),IF(EGR!$D$3=40,('NOx Model (1)'!E14*1.4),IF(EGR!$D$3=45,('NOx Model (1)'!E14*1.45),IF(EGR!$D$3=50,('NOx Model (1)'!E14*1.5))))))))))))</f>
        <v>0.96402781614009458</v>
      </c>
      <c r="H8" s="45">
        <f>IF(EGR!$D$3=0,(EGR!AA78*1),IF(EGR!$D$3=5,(EGR!AA78*1.05),IF(EGR!$D$3=10,(EGR!AA78*1.1),IF(EGR!$D$3=15,(EGR!AA78*1.15),IF(EGR!$D$3=20,(EGR!AA78*1.2),IF(EGR!$D$3=25,(EGR!AA78*1.25),IF(EGR!$D$3=30,(EGR!AA78*1.3),IF(EGR!$D$3=35,(EGR!AA78*1.35),IF(EGR!$D$3=40,(EGR!AA78*1.4),IF(EGR!$D$3=45,(EGR!AA78*1.45),IF(EGR!$D$3=50,(EGR!AA78*1.5))))))))))))</f>
        <v>1.2780000000000009</v>
      </c>
      <c r="I8" s="33"/>
      <c r="J8" s="183">
        <f>IF(EGR!$D$3=0,('NOx Model (1)'!G14*1),IF(EGR!$D$3=5,('NOx Model (1)'!G14*1.05),IF(EGR!$D$3=10,('NOx Model (1)'!G14*1.1),IF(EGR!$D$3=15,('NOx Model (1)'!G14*1.15),IF(EGR!$D$3=20,('NOx Model (1)'!G14*1.2),IF(EGR!$D$3=25,('NOx Model (1)'!G14*1.25),IF(EGR!$D$3=30,('NOx Model (1)'!G14*1.3),IF(EGR!$D$3=35,('NOx Model (1)'!G14*1.35),IF(EGR!$D$3=40,('NOx Model (1)'!G14*1.4),IF(EGR!$D$3=45,('NOx Model (1)'!G14*1.45),IF(EGR!$D$3=50,('NOx Model (1)'!G14*1.5))))))))))))</f>
        <v>0.93987117283562571</v>
      </c>
      <c r="K8" s="45">
        <f>IF(EGR!$D$3=0,(EGR!AC78*1),IF(EGR!$D$3=5,(EGR!AC78*1.05),IF(EGR!$D$3=10,(EGR!AC78*1.1),IF(EGR!$D$3=15,(EGR!AC78*1.15),IF(EGR!$D$3=20,(EGR!AC78*1.2),IF(EGR!$D$3=25,(EGR!AC78*1.25),IF(EGR!$D$3=30,(EGR!AC78*1.3),IF(EGR!$D$3=35,(EGR!AC78*1.35),IF(EGR!$D$3=40,(EGR!AC78*1.4),IF(EGR!$D$3=45,(EGR!AC78*1.45),IF(EGR!$D$3=50,(EGR!AC78*1.5))))))))))))</f>
        <v>160.17599999999999</v>
      </c>
      <c r="L8" s="183">
        <f t="shared" ref="L8:L39" si="0">B8+D8+G8+J8</f>
        <v>4.0435679121212544</v>
      </c>
      <c r="M8" s="45">
        <f t="shared" ref="M8:M39" si="1">C8+E8+H8+K8</f>
        <v>227.13851999999997</v>
      </c>
      <c r="N8" s="241">
        <v>200</v>
      </c>
      <c r="P8" s="71"/>
      <c r="Q8" s="319" t="s">
        <v>195</v>
      </c>
      <c r="R8" s="313">
        <f t="array" ref="R8">MAX(IF(EGR!$M$8:$M$75&lt;EGR!$U$3,EGR!$M$8:$M$75))</f>
        <v>4806.3143399999999</v>
      </c>
      <c r="S8" s="314">
        <f>VLOOKUP($R$8,EGR!$M$8:$N$75,2,FALSE)</f>
        <v>2000</v>
      </c>
      <c r="T8" s="32"/>
      <c r="U8" s="32"/>
      <c r="Y8" s="573" t="s">
        <v>203</v>
      </c>
      <c r="Z8" s="574"/>
      <c r="AA8" s="258" t="s">
        <v>1</v>
      </c>
      <c r="AB8" s="42">
        <v>0.79</v>
      </c>
      <c r="AC8" s="338" t="s">
        <v>9</v>
      </c>
      <c r="AD8" s="339">
        <v>1</v>
      </c>
      <c r="AE8" s="340" t="s">
        <v>19</v>
      </c>
      <c r="AF8" s="346" t="s">
        <v>167</v>
      </c>
      <c r="AG8" s="347">
        <v>8314</v>
      </c>
    </row>
    <row r="9" spans="1:38" ht="15.75" thickBot="1" x14ac:dyDescent="0.3">
      <c r="B9" s="128">
        <f>IF(EGR!$D$3=0,('NOx Model (1)'!A15*1),IF(EGR!$D$3=5,('NOx Model (1)'!A15*1.05),IF(EGR!$D$3=10,('NOx Model (1)'!A15*1.1),IF(EGR!$D$3=15,('NOx Model (1)'!A15*1.15),IF(EGR!$D$3=20,('NOx Model (1)'!A15*1.2),IF(EGR!$D$3=25,('NOx Model (1)'!A15*1.25),IF(EGR!$D$3=30,('NOx Model (1)'!A15*1.3),IF(EGR!$D$3=35,('NOx Model (1)'!A15*1.35),IF(EGR!$D$3=40,('NOx Model (1)'!A15*1.4),IF(EGR!$D$3=45,('NOx Model (1)'!A15*1.45),IF(EGR!$D$3=50,('NOx Model (1)'!A15*1.5))))))))))))</f>
        <v>1.4857167762311589</v>
      </c>
      <c r="C9" s="130">
        <f>IF(EGR!$D$3=0,(EGR!W79*1),IF(EGR!$D$3=5,(EGR!W79*1.05),IF(EGR!$D$3=10,(EGR!W79*1.1),IF(EGR!$D$3=15,(EGR!W79*1.15),IF(EGR!$D$3=20,(EGR!W79*1.2),IF(EGR!$D$3=25,(EGR!W79*1.25),IF(EGR!$D$3=30,(EGR!W79*1.3),IF(EGR!$D$3=35,(EGR!W79*1.35),IF(EGR!$D$3=40,(EGR!W79*1.4),IF(EGR!$D$3=45,(EGR!W79*1.45),IF(EGR!$D$3=50,(EGR!W79*1.5))))))))))))</f>
        <v>16.20288</v>
      </c>
      <c r="D9" s="132">
        <f>IF(EGR!$D$3=0,('NOx Model (1)'!C15*1),IF(EGR!$D$3=5,('NOx Model (1)'!C15*1.05),IF(EGR!$D$3=10,('NOx Model (1)'!C15*1.1),IF(EGR!$D$3=15,('NOx Model (1)'!C15*1.15),IF(EGR!$D$3=20,('NOx Model (1)'!C15*1.2),IF(EGR!$D$3=25,('NOx Model (1)'!C15*1.25),IF(EGR!$D$3=30,('NOx Model (1)'!C15*1.3),IF(EGR!$D$3=35,('NOx Model (1)'!C15*1.35),IF(EGR!$D$3=40,('NOx Model (1)'!C15*1.4),IF(EGR!$D$3=45,('NOx Model (1)'!C15*1.45),IF(EGR!$D$3=50,('NOx Model (1)'!C15*1.5))))))))))))</f>
        <v>12.811730295477116</v>
      </c>
      <c r="E9" s="130">
        <f>IF(EGR!$D$3=0,(EGR!Y79*1),IF(EGR!$D$3=5,(EGR!Y79*1.05),IF(EGR!$D$3=10,(EGR!Y79*1.1),IF(EGR!$D$3=15,(EGR!Y79*1.15),IF(EGR!$D$3=20,(EGR!Y79*1.2),IF(EGR!$D$3=25,(EGR!Y79*1.25),IF(EGR!$D$3=30,(EGR!Y79*1.3),IF(EGR!$D$3=35,(EGR!Y79*1.35),IF(EGR!$D$3=40,(EGR!Y79*1.4),IF(EGR!$D$3=45,(EGR!Y79*1.45),IF(EGR!$D$3=50,(EGR!Y79*1.5))))))))))))</f>
        <v>16.761600000000001</v>
      </c>
      <c r="F9" s="71"/>
      <c r="G9" s="128">
        <f>IF(EGR!$D$3=0,('NOx Model (1)'!E15*1),IF(EGR!$D$3=5,('NOx Model (1)'!E15*1.05),IF(EGR!$D$3=10,('NOx Model (1)'!E15*1.1),IF(EGR!$D$3=15,('NOx Model (1)'!E15*1.15),IF(EGR!$D$3=20,('NOx Model (1)'!E15*1.2),IF(EGR!$D$3=25,('NOx Model (1)'!E15*1.25),IF(EGR!$D$3=30,('NOx Model (1)'!E15*1.3),IF(EGR!$D$3=35,('NOx Model (1)'!E15*1.35),IF(EGR!$D$3=40,('NOx Model (1)'!E15*1.4),IF(EGR!$D$3=45,('NOx Model (1)'!E15*1.45),IF(EGR!$D$3=50,('NOx Model (1)'!E15*1.5))))))))))))</f>
        <v>1.2643649705814948</v>
      </c>
      <c r="H9" s="130">
        <f>IF(EGR!$D$3=0,(EGR!AA79*1),IF(EGR!$D$3=5,(EGR!AA79*1.05),IF(EGR!$D$3=10,(EGR!AA79*1.1),IF(EGR!$D$3=15,(EGR!AA79*1.15),IF(EGR!$D$3=20,(EGR!AA79*1.2),IF(EGR!$D$3=25,(EGR!AA79*1.25),IF(EGR!$D$3=30,(EGR!AA79*1.3),IF(EGR!$D$3=35,(EGR!AA79*1.35),IF(EGR!$D$3=40,(EGR!AA79*1.4),IF(EGR!$D$3=45,(EGR!AA79*1.45),IF(EGR!$D$3=50,(EGR!AA79*1.5))))))))))))</f>
        <v>0.63000000000000056</v>
      </c>
      <c r="I9" s="33"/>
      <c r="J9" s="128">
        <f>IF(EGR!$D$3=0,('NOx Model (1)'!G15*1),IF(EGR!$D$3=5,('NOx Model (1)'!G15*1.05),IF(EGR!$D$3=10,('NOx Model (1)'!G15*1.1),IF(EGR!$D$3=15,('NOx Model (1)'!G15*1.15),IF(EGR!$D$3=20,('NOx Model (1)'!G15*1.2),IF(EGR!$D$3=25,('NOx Model (1)'!G15*1.25),IF(EGR!$D$3=30,('NOx Model (1)'!G15*1.3),IF(EGR!$D$3=35,('NOx Model (1)'!G15*1.35),IF(EGR!$D$3=40,('NOx Model (1)'!G15*1.4),IF(EGR!$D$3=45,('NOx Model (1)'!G15*1.45),IF(EGR!$D$3=50,('NOx Model (1)'!G15*1.5))))))))))))</f>
        <v>1.2848059060727846</v>
      </c>
      <c r="K9" s="130">
        <f>IF(EGR!$D$3=0,(EGR!AC79*1),IF(EGR!$D$3=5,(EGR!AC79*1.05),IF(EGR!$D$3=10,(EGR!AC79*1.1),IF(EGR!$D$3=15,(EGR!AC79*1.15),IF(EGR!$D$3=20,(EGR!AC79*1.2),IF(EGR!$D$3=25,(EGR!AC79*1.25),IF(EGR!$D$3=30,(EGR!AC79*1.3),IF(EGR!$D$3=35,(EGR!AC79*1.35),IF(EGR!$D$3=40,(EGR!AC79*1.4),IF(EGR!$D$3=45,(EGR!AC79*1.45),IF(EGR!$D$3=50,(EGR!AC79*1.5))))))))))))</f>
        <v>78.959999999999994</v>
      </c>
      <c r="L9" s="128">
        <f t="shared" si="0"/>
        <v>16.846617948362553</v>
      </c>
      <c r="M9" s="130">
        <f t="shared" si="1"/>
        <v>112.55448</v>
      </c>
      <c r="N9" s="242">
        <v>250</v>
      </c>
      <c r="P9" s="71"/>
      <c r="R9" s="498" t="s">
        <v>197</v>
      </c>
      <c r="S9" s="499"/>
      <c r="T9" s="32"/>
      <c r="U9" s="32"/>
      <c r="Y9" s="419">
        <v>40</v>
      </c>
      <c r="Z9" s="420"/>
      <c r="AA9" s="569" t="s">
        <v>190</v>
      </c>
      <c r="AB9" s="570"/>
      <c r="AC9" s="338" t="s">
        <v>10</v>
      </c>
      <c r="AD9" s="339">
        <v>16</v>
      </c>
      <c r="AE9" s="340" t="s">
        <v>19</v>
      </c>
      <c r="AF9" s="348" t="s">
        <v>168</v>
      </c>
      <c r="AG9" s="349">
        <f>20+273</f>
        <v>293</v>
      </c>
    </row>
    <row r="10" spans="1:38" ht="15.75" thickBot="1" x14ac:dyDescent="0.3">
      <c r="B10" s="128">
        <f>IF(EGR!$D$3=0,('NOx Model (1)'!A16*1),IF(EGR!$D$3=5,('NOx Model (1)'!A16*1.05),IF(EGR!$D$3=10,('NOx Model (1)'!A16*1.1),IF(EGR!$D$3=15,('NOx Model (1)'!A16*1.15),IF(EGR!$D$3=20,('NOx Model (1)'!A16*1.2),IF(EGR!$D$3=25,('NOx Model (1)'!A16*1.25),IF(EGR!$D$3=30,('NOx Model (1)'!A16*1.3),IF(EGR!$D$3=35,('NOx Model (1)'!A16*1.35),IF(EGR!$D$3=40,('NOx Model (1)'!A16*1.4),IF(EGR!$D$3=45,('NOx Model (1)'!A16*1.45),IF(EGR!$D$3=50,('NOx Model (1)'!A16*1.5))))))))))))</f>
        <v>2.3080079352762852</v>
      </c>
      <c r="C10" s="130">
        <f>IF(EGR!$D$3=0,(EGR!W80*1),IF(EGR!$D$3=5,(EGR!W80*1.05),IF(EGR!$D$3=10,(EGR!W80*1.1),IF(EGR!$D$3=15,(EGR!W80*1.15),IF(EGR!$D$3=20,(EGR!W80*1.2),IF(EGR!$D$3=25,(EGR!W80*1.25),IF(EGR!$D$3=30,(EGR!W80*1.3),IF(EGR!$D$3=35,(EGR!W80*1.35),IF(EGR!$D$3=40,(EGR!W80*1.4),IF(EGR!$D$3=45,(EGR!W80*1.45),IF(EGR!$D$3=50,(EGR!W80*1.5))))))))))))</f>
        <v>0</v>
      </c>
      <c r="D10" s="132">
        <f>IF(EGR!$D$3=0,('NOx Model (1)'!C16*1),IF(EGR!$D$3=5,('NOx Model (1)'!C16*1.05),IF(EGR!$D$3=10,('NOx Model (1)'!C16*1.1),IF(EGR!$D$3=15,('NOx Model (1)'!C16*1.15),IF(EGR!$D$3=20,('NOx Model (1)'!C16*1.2),IF(EGR!$D$3=25,('NOx Model (1)'!C16*1.25),IF(EGR!$D$3=30,('NOx Model (1)'!C16*1.3),IF(EGR!$D$3=35,('NOx Model (1)'!C16*1.35),IF(EGR!$D$3=40,('NOx Model (1)'!C16*1.4),IF(EGR!$D$3=45,('NOx Model (1)'!C16*1.45),IF(EGR!$D$3=50,('NOx Model (1)'!C16*1.5))))))))))))</f>
        <v>19.368494040315962</v>
      </c>
      <c r="E10" s="130">
        <f>IF(EGR!$D$3=0,(EGR!Y80*1),IF(EGR!$D$3=5,(EGR!Y80*1.05),IF(EGR!$D$3=10,(EGR!Y80*1.1),IF(EGR!$D$3=15,(EGR!Y80*1.15),IF(EGR!$D$3=20,(EGR!Y80*1.2),IF(EGR!$D$3=25,(EGR!Y80*1.25),IF(EGR!$D$3=30,(EGR!Y80*1.3),IF(EGR!$D$3=35,(EGR!Y80*1.35),IF(EGR!$D$3=40,(EGR!Y80*1.4),IF(EGR!$D$3=45,(EGR!Y80*1.45),IF(EGR!$D$3=50,(EGR!Y80*1.5))))))))))))</f>
        <v>0</v>
      </c>
      <c r="F10" s="71"/>
      <c r="G10" s="128">
        <f>IF(EGR!$D$3=0,('NOx Model (1)'!E16*1),IF(EGR!$D$3=5,('NOx Model (1)'!E16*1.05),IF(EGR!$D$3=10,('NOx Model (1)'!E16*1.1),IF(EGR!$D$3=15,('NOx Model (1)'!E16*1.15),IF(EGR!$D$3=20,('NOx Model (1)'!E16*1.2),IF(EGR!$D$3=25,('NOx Model (1)'!E16*1.25),IF(EGR!$D$3=30,('NOx Model (1)'!E16*1.3),IF(EGR!$D$3=35,('NOx Model (1)'!E16*1.35),IF(EGR!$D$3=40,('NOx Model (1)'!E16*1.4),IF(EGR!$D$3=45,('NOx Model (1)'!E16*1.45),IF(EGR!$D$3=50,('NOx Model (1)'!E16*1.5))))))))))))</f>
        <v>1.8728809515081959</v>
      </c>
      <c r="H10" s="130">
        <f>IF(EGR!$D$3=0,(EGR!AA80*1),IF(EGR!$D$3=5,(EGR!AA80*1.05),IF(EGR!$D$3=10,(EGR!AA80*1.1),IF(EGR!$D$3=15,(EGR!AA80*1.15),IF(EGR!$D$3=20,(EGR!AA80*1.2),IF(EGR!$D$3=25,(EGR!AA80*1.25),IF(EGR!$D$3=30,(EGR!AA80*1.3),IF(EGR!$D$3=35,(EGR!AA80*1.35),IF(EGR!$D$3=40,(EGR!AA80*1.4),IF(EGR!$D$3=45,(EGR!AA80*1.45),IF(EGR!$D$3=50,(EGR!AA80*1.5))))))))))))</f>
        <v>0</v>
      </c>
      <c r="I10" s="33"/>
      <c r="J10" s="128">
        <f>IF(EGR!$D$3=0,('NOx Model (1)'!G16*1),IF(EGR!$D$3=5,('NOx Model (1)'!G16*1.05),IF(EGR!$D$3=10,('NOx Model (1)'!G16*1.1),IF(EGR!$D$3=15,('NOx Model (1)'!G16*1.15),IF(EGR!$D$3=20,('NOx Model (1)'!G16*1.2),IF(EGR!$D$3=25,('NOx Model (1)'!G16*1.25),IF(EGR!$D$3=30,('NOx Model (1)'!G16*1.3),IF(EGR!$D$3=35,('NOx Model (1)'!G16*1.35),IF(EGR!$D$3=40,('NOx Model (1)'!G16*1.4),IF(EGR!$D$3=45,('NOx Model (1)'!G16*1.45),IF(EGR!$D$3=50,('NOx Model (1)'!G16*1.5))))))))))))</f>
        <v>1.9113824414189151</v>
      </c>
      <c r="K10" s="130">
        <f>IF(EGR!$D$3=0,(EGR!AC80*1),IF(EGR!$D$3=5,(EGR!AC80*1.05),IF(EGR!$D$3=10,(EGR!AC80*1.1),IF(EGR!$D$3=15,(EGR!AC80*1.15),IF(EGR!$D$3=20,(EGR!AC80*1.2),IF(EGR!$D$3=25,(EGR!AC80*1.25),IF(EGR!$D$3=30,(EGR!AC80*1.3),IF(EGR!$D$3=35,(EGR!AC80*1.35),IF(EGR!$D$3=40,(EGR!AC80*1.4),IF(EGR!$D$3=45,(EGR!AC80*1.45),IF(EGR!$D$3=50,(EGR!AC80*1.5))))))))))))</f>
        <v>0</v>
      </c>
      <c r="L10" s="128">
        <f t="shared" si="0"/>
        <v>25.460765368519361</v>
      </c>
      <c r="M10" s="130">
        <f t="shared" si="1"/>
        <v>0</v>
      </c>
      <c r="N10" s="242">
        <v>298</v>
      </c>
      <c r="P10" s="71"/>
      <c r="R10" s="500"/>
      <c r="S10" s="501"/>
      <c r="T10" s="32"/>
      <c r="U10" s="32"/>
      <c r="Y10" s="573" t="s">
        <v>161</v>
      </c>
      <c r="Z10" s="574"/>
      <c r="AA10" s="571"/>
      <c r="AB10" s="572"/>
      <c r="AC10" s="341" t="s">
        <v>11</v>
      </c>
      <c r="AD10" s="342">
        <v>14</v>
      </c>
      <c r="AE10" s="343" t="s">
        <v>19</v>
      </c>
      <c r="AF10" s="350"/>
      <c r="AG10" s="350"/>
    </row>
    <row r="11" spans="1:38" ht="15" customHeight="1" thickBot="1" x14ac:dyDescent="0.3">
      <c r="B11" s="128">
        <f>IF(EGR!$D$3=0,('NOx Model (1)'!A17*1),IF(EGR!$D$3=5,('NOx Model (1)'!A17*1.05),IF(EGR!$D$3=10,('NOx Model (1)'!A17*1.1),IF(EGR!$D$3=15,('NOx Model (1)'!A17*1.15),IF(EGR!$D$3=20,('NOx Model (1)'!A17*1.2),IF(EGR!$D$3=25,('NOx Model (1)'!A17*1.25),IF(EGR!$D$3=30,('NOx Model (1)'!A17*1.3),IF(EGR!$D$3=35,('NOx Model (1)'!A17*1.35),IF(EGR!$D$3=40,('NOx Model (1)'!A17*1.4),IF(EGR!$D$3=45,('NOx Model (1)'!A17*1.45),IF(EGR!$D$3=50,('NOx Model (1)'!A17*1.5))))))))))))</f>
        <v>2.351480139037597</v>
      </c>
      <c r="C11" s="130">
        <f>IF(EGR!$D$3=0,(EGR!W81*1),IF(EGR!$D$3=5,(EGR!W81*1.05),IF(EGR!$D$3=10,(EGR!W81*1.1),IF(EGR!$D$3=15,(EGR!W81*1.15),IF(EGR!$D$3=20,(EGR!W81*1.2),IF(EGR!$D$3=25,(EGR!W81*1.25),IF(EGR!$D$3=30,(EGR!W81*1.3),IF(EGR!$D$3=35,(EGR!W81*1.35),IF(EGR!$D$3=40,(EGR!W81*1.4),IF(EGR!$D$3=45,(EGR!W81*1.45),IF(EGR!$D$3=50,(EGR!W81*1.5))))))))))))</f>
        <v>0.65183999999999997</v>
      </c>
      <c r="D11" s="132">
        <f>IF(EGR!$D$3=0,('NOx Model (1)'!C17*1),IF(EGR!$D$3=5,('NOx Model (1)'!C17*1.05),IF(EGR!$D$3=10,('NOx Model (1)'!C17*1.1),IF(EGR!$D$3=15,('NOx Model (1)'!C17*1.15),IF(EGR!$D$3=20,('NOx Model (1)'!C17*1.2),IF(EGR!$D$3=25,('NOx Model (1)'!C17*1.25),IF(EGR!$D$3=30,('NOx Model (1)'!C17*1.3),IF(EGR!$D$3=35,('NOx Model (1)'!C17*1.35),IF(EGR!$D$3=40,('NOx Model (1)'!C17*1.4),IF(EGR!$D$3=45,('NOx Model (1)'!C17*1.45),IF(EGR!$D$3=50,('NOx Model (1)'!C17*1.5))))))))))))</f>
        <v>19.698858453849461</v>
      </c>
      <c r="E11" s="130">
        <f>IF(EGR!$D$3=0,(EGR!Y81*1),IF(EGR!$D$3=5,(EGR!Y81*1.05),IF(EGR!$D$3=10,(EGR!Y81*1.1),IF(EGR!$D$3=15,(EGR!Y81*1.15),IF(EGR!$D$3=20,(EGR!Y81*1.2),IF(EGR!$D$3=25,(EGR!Y81*1.25),IF(EGR!$D$3=30,(EGR!Y81*1.3),IF(EGR!$D$3=35,(EGR!Y81*1.35),IF(EGR!$D$3=40,(EGR!Y81*1.4),IF(EGR!$D$3=45,(EGR!Y81*1.45),IF(EGR!$D$3=50,(EGR!Y81*1.5))))))))))))</f>
        <v>0.62856000000000001</v>
      </c>
      <c r="F11" s="71"/>
      <c r="G11" s="128">
        <f>IF(EGR!$D$3=0,('NOx Model (1)'!E17*1),IF(EGR!$D$3=5,('NOx Model (1)'!E17*1.05),IF(EGR!$D$3=10,('NOx Model (1)'!E17*1.1),IF(EGR!$D$3=15,('NOx Model (1)'!E17*1.15),IF(EGR!$D$3=20,('NOx Model (1)'!E17*1.2),IF(EGR!$D$3=25,('NOx Model (1)'!E17*1.25),IF(EGR!$D$3=30,('NOx Model (1)'!E17*1.3),IF(EGR!$D$3=35,('NOx Model (1)'!E17*1.35),IF(EGR!$D$3=40,('NOx Model (1)'!E17*1.4),IF(EGR!$D$3=45,('NOx Model (1)'!E17*1.45),IF(EGR!$D$3=50,('NOx Model (1)'!E17*1.5))))))))))))</f>
        <v>1.9043883348906732</v>
      </c>
      <c r="H11" s="130">
        <f>IF(EGR!$D$3=0,(EGR!AA81*1),IF(EGR!$D$3=5,(EGR!AA81*1.05),IF(EGR!$D$3=10,(EGR!AA81*1.1),IF(EGR!$D$3=15,(EGR!AA81*1.15),IF(EGR!$D$3=20,(EGR!AA81*1.2),IF(EGR!$D$3=25,(EGR!AA81*1.25),IF(EGR!$D$3=30,(EGR!AA81*1.3),IF(EGR!$D$3=35,(EGR!AA81*1.35),IF(EGR!$D$3=40,(EGR!AA81*1.4),IF(EGR!$D$3=45,(EGR!AA81*1.45),IF(EGR!$D$3=50,(EGR!AA81*1.5))))))))))))</f>
        <v>2.250000000000002E-2</v>
      </c>
      <c r="I11" s="33"/>
      <c r="J11" s="128">
        <f>IF(EGR!$D$3=0,('NOx Model (1)'!G17*1),IF(EGR!$D$3=5,('NOx Model (1)'!G17*1.05),IF(EGR!$D$3=10,('NOx Model (1)'!G17*1.1),IF(EGR!$D$3=15,('NOx Model (1)'!G17*1.15),IF(EGR!$D$3=20,('NOx Model (1)'!G17*1.2),IF(EGR!$D$3=25,('NOx Model (1)'!G17*1.25),IF(EGR!$D$3=30,('NOx Model (1)'!G17*1.3),IF(EGR!$D$3=35,('NOx Model (1)'!G17*1.35),IF(EGR!$D$3=40,('NOx Model (1)'!G17*1.4),IF(EGR!$D$3=45,('NOx Model (1)'!G17*1.45),IF(EGR!$D$3=50,('NOx Model (1)'!G17*1.5))))))))))))</f>
        <v>1.9433505134994098</v>
      </c>
      <c r="K11" s="130">
        <f>IF(EGR!$D$3=0,(EGR!AC81*1),IF(EGR!$D$3=5,(EGR!AC81*1.05),IF(EGR!$D$3=10,(EGR!AC81*1.1),IF(EGR!$D$3=15,(EGR!AC81*1.15),IF(EGR!$D$3=20,(EGR!AC81*1.2),IF(EGR!$D$3=25,(EGR!AC81*1.25),IF(EGR!$D$3=30,(EGR!AC81*1.3),IF(EGR!$D$3=35,(EGR!AC81*1.35),IF(EGR!$D$3=40,(EGR!AC81*1.4),IF(EGR!$D$3=45,(EGR!AC81*1.45),IF(EGR!$D$3=50,(EGR!AC81*1.5))))))))))))</f>
        <v>2.82</v>
      </c>
      <c r="L11" s="128">
        <f t="shared" si="0"/>
        <v>25.898077441277142</v>
      </c>
      <c r="M11" s="130">
        <f t="shared" si="1"/>
        <v>4.1228999999999996</v>
      </c>
      <c r="N11" s="242">
        <v>300</v>
      </c>
      <c r="P11" s="71"/>
      <c r="R11" s="415">
        <f>((($U$3-$R$8)/($R$7-$R$8))*($S$7-$S$8))+$S$8</f>
        <v>2033.9024048753352</v>
      </c>
      <c r="S11" s="416"/>
      <c r="T11" s="32"/>
      <c r="U11" s="32"/>
      <c r="Y11" s="421">
        <v>1800</v>
      </c>
      <c r="Z11" s="422"/>
      <c r="AA11" s="575">
        <v>3.76</v>
      </c>
      <c r="AB11" s="576"/>
    </row>
    <row r="12" spans="1:38" ht="15" customHeight="1" thickBot="1" x14ac:dyDescent="0.35">
      <c r="B12" s="128">
        <f>IF(EGR!$D$3=0,('NOx Model (1)'!A18*1),IF(EGR!$D$3=5,('NOx Model (1)'!A18*1.05),IF(EGR!$D$3=10,('NOx Model (1)'!A18*1.1),IF(EGR!$D$3=15,('NOx Model (1)'!A18*1.15),IF(EGR!$D$3=20,('NOx Model (1)'!A18*1.2),IF(EGR!$D$3=25,('NOx Model (1)'!A18*1.25),IF(EGR!$D$3=30,('NOx Model (1)'!A18*1.3),IF(EGR!$D$3=35,('NOx Model (1)'!A18*1.35),IF(EGR!$D$3=40,('NOx Model (1)'!A18*1.4),IF(EGR!$D$3=45,('NOx Model (1)'!A18*1.45),IF(EGR!$D$3=50,('NOx Model (1)'!A18*1.5))))))))))))</f>
        <v>3.6570568376062091</v>
      </c>
      <c r="C12" s="130">
        <f>IF(EGR!$D$3=0,(EGR!W82*1),IF(EGR!$D$3=5,(EGR!W82*1.05),IF(EGR!$D$3=10,(EGR!W82*1.1),IF(EGR!$D$3=15,(EGR!W82*1.15),IF(EGR!$D$3=20,(EGR!W82*1.2),IF(EGR!$D$3=25,(EGR!W82*1.25),IF(EGR!$D$3=30,(EGR!W82*1.3),IF(EGR!$D$3=35,(EGR!W82*1.35),IF(EGR!$D$3=40,(EGR!W82*1.4),IF(EGR!$D$3=45,(EGR!W82*1.45),IF(EGR!$D$3=50,(EGR!W82*1.5))))))))))))</f>
        <v>18.53088</v>
      </c>
      <c r="D12" s="132">
        <f>IF(EGR!$D$3=0,('NOx Model (1)'!C18*1),IF(EGR!$D$3=5,('NOx Model (1)'!C18*1.05),IF(EGR!$D$3=10,('NOx Model (1)'!C18*1.1),IF(EGR!$D$3=15,('NOx Model (1)'!C18*1.15),IF(EGR!$D$3=20,('NOx Model (1)'!C18*1.2),IF(EGR!$D$3=25,('NOx Model (1)'!C18*1.25),IF(EGR!$D$3=30,('NOx Model (1)'!C18*1.3),IF(EGR!$D$3=35,('NOx Model (1)'!C18*1.35),IF(EGR!$D$3=40,('NOx Model (1)'!C18*1.4),IF(EGR!$D$3=45,('NOx Model (1)'!C18*1.45),IF(EGR!$D$3=50,('NOx Model (1)'!C18*1.5))))))))))))</f>
        <v>29.30820988956804</v>
      </c>
      <c r="E12" s="130">
        <f>IF(EGR!$D$3=0,(EGR!Y82*1),IF(EGR!$D$3=5,(EGR!Y82*1.05),IF(EGR!$D$3=10,(EGR!Y82*1.1),IF(EGR!$D$3=15,(EGR!Y82*1.15),IF(EGR!$D$3=20,(EGR!Y82*1.2),IF(EGR!$D$3=25,(EGR!Y82*1.25),IF(EGR!$D$3=30,(EGR!Y82*1.3),IF(EGR!$D$3=35,(EGR!Y82*1.35),IF(EGR!$D$3=40,(EGR!Y82*1.4),IF(EGR!$D$3=45,(EGR!Y82*1.45),IF(EGR!$D$3=50,(EGR!Y82*1.5))))))))))))</f>
        <v>18.332999999999998</v>
      </c>
      <c r="F12" s="71"/>
      <c r="G12" s="128">
        <f>IF(EGR!$D$3=0,('NOx Model (1)'!E18*1),IF(EGR!$D$3=5,('NOx Model (1)'!E18*1.05),IF(EGR!$D$3=10,('NOx Model (1)'!E18*1.1),IF(EGR!$D$3=15,('NOx Model (1)'!E18*1.15),IF(EGR!$D$3=20,('NOx Model (1)'!E18*1.2),IF(EGR!$D$3=25,('NOx Model (1)'!E18*1.25),IF(EGR!$D$3=30,('NOx Model (1)'!E18*1.3),IF(EGR!$D$3=35,('NOx Model (1)'!E18*1.35),IF(EGR!$D$3=40,('NOx Model (1)'!E18*1.4),IF(EGR!$D$3=45,('NOx Model (1)'!E18*1.45),IF(EGR!$D$3=50,('NOx Model (1)'!E18*1.5))))))))))))</f>
        <v>2.8362816033257894</v>
      </c>
      <c r="H12" s="130">
        <f>IF(EGR!$D$3=0,(EGR!AA82*1),IF(EGR!$D$3=5,(EGR!AA82*1.05),IF(EGR!$D$3=10,(EGR!AA82*1.1),IF(EGR!$D$3=15,(EGR!AA82*1.15),IF(EGR!$D$3=20,(EGR!AA82*1.2),IF(EGR!$D$3=25,(EGR!AA82*1.25),IF(EGR!$D$3=30,(EGR!AA82*1.3),IF(EGR!$D$3=35,(EGR!AA82*1.35),IF(EGR!$D$3=40,(EGR!AA82*1.4),IF(EGR!$D$3=45,(EGR!AA82*1.45),IF(EGR!$D$3=50,(EGR!AA82*1.5))))))))))))</f>
        <v>0.68850000000000067</v>
      </c>
      <c r="I12" s="33"/>
      <c r="J12" s="128">
        <f>IF(EGR!$D$3=0,('NOx Model (1)'!G18*1),IF(EGR!$D$3=5,('NOx Model (1)'!G18*1.05),IF(EGR!$D$3=10,('NOx Model (1)'!G18*1.1),IF(EGR!$D$3=15,('NOx Model (1)'!G18*1.15),IF(EGR!$D$3=20,('NOx Model (1)'!G18*1.2),IF(EGR!$D$3=25,('NOx Model (1)'!G18*1.25),IF(EGR!$D$3=30,('NOx Model (1)'!G18*1.3),IF(EGR!$D$3=35,('NOx Model (1)'!G18*1.35),IF(EGR!$D$3=40,('NOx Model (1)'!G18*1.4),IF(EGR!$D$3=45,('NOx Model (1)'!G18*1.45),IF(EGR!$D$3=50,('NOx Model (1)'!G18*1.5))))))))))))</f>
        <v>2.8855423299890606</v>
      </c>
      <c r="K12" s="130">
        <f>IF(EGR!$D$3=0,(EGR!AC82*1),IF(EGR!$D$3=5,(EGR!AC82*1.05),IF(EGR!$D$3=10,(EGR!AC82*1.1),IF(EGR!$D$3=15,(EGR!AC82*1.15),IF(EGR!$D$3=20,(EGR!AC82*1.2),IF(EGR!$D$3=25,(EGR!AC82*1.25),IF(EGR!$D$3=30,(EGR!AC82*1.3),IF(EGR!$D$3=35,(EGR!AC82*1.35),IF(EGR!$D$3=40,(EGR!AC82*1.4),IF(EGR!$D$3=45,(EGR!AC82*1.45),IF(EGR!$D$3=50,(EGR!AC82*1.5))))))))))))</f>
        <v>85.164000000000001</v>
      </c>
      <c r="L12" s="128">
        <f t="shared" si="0"/>
        <v>38.687090660489098</v>
      </c>
      <c r="M12" s="130">
        <f t="shared" si="1"/>
        <v>122.71637999999999</v>
      </c>
      <c r="N12" s="242">
        <v>350</v>
      </c>
      <c r="P12" s="71"/>
      <c r="S12" s="32"/>
      <c r="T12" s="32"/>
      <c r="U12" s="32"/>
      <c r="AC12" s="351"/>
      <c r="AE12" s="24" t="s">
        <v>217</v>
      </c>
    </row>
    <row r="13" spans="1:38" ht="19.5" thickBot="1" x14ac:dyDescent="0.3">
      <c r="B13" s="128">
        <f>IF(EGR!$D$3=0,('NOx Model (1)'!A19*1),IF(EGR!$D$3=5,('NOx Model (1)'!A19*1.05),IF(EGR!$D$3=10,('NOx Model (1)'!A19*1.1),IF(EGR!$D$3=15,('NOx Model (1)'!A19*1.15),IF(EGR!$D$3=20,('NOx Model (1)'!A19*1.2),IF(EGR!$D$3=25,('NOx Model (1)'!A19*1.25),IF(EGR!$D$3=30,('NOx Model (1)'!A19*1.3),IF(EGR!$D$3=35,('NOx Model (1)'!A19*1.35),IF(EGR!$D$3=40,('NOx Model (1)'!A19*1.4),IF(EGR!$D$3=45,('NOx Model (1)'!A19*1.45),IF(EGR!$D$3=50,('NOx Model (1)'!A19*1.5))))))))))))</f>
        <v>5.3467624660702873</v>
      </c>
      <c r="C13" s="130">
        <f>IF(EGR!$D$3=0,(EGR!W83*1),IF(EGR!$D$3=5,(EGR!W83*1.05),IF(EGR!$D$3=10,(EGR!W83*1.1),IF(EGR!$D$3=15,(EGR!W83*1.15),IF(EGR!$D$3=20,(EGR!W83*1.2),IF(EGR!$D$3=25,(EGR!W83*1.25),IF(EGR!$D$3=30,(EGR!W83*1.3),IF(EGR!$D$3=35,(EGR!W83*1.35),IF(EGR!$D$3=40,(EGR!W83*1.4),IF(EGR!$D$3=45,(EGR!W83*1.45),IF(EGR!$D$3=50,(EGR!W83*1.5))))))))))))</f>
        <v>37.247999999999998</v>
      </c>
      <c r="D13" s="132">
        <f>IF(EGR!$D$3=0,('NOx Model (1)'!C19*1),IF(EGR!$D$3=5,('NOx Model (1)'!C19*1.05),IF(EGR!$D$3=10,('NOx Model (1)'!C19*1.1),IF(EGR!$D$3=15,('NOx Model (1)'!C19*1.15),IF(EGR!$D$3=20,('NOx Model (1)'!C19*1.2),IF(EGR!$D$3=25,('NOx Model (1)'!C19*1.25),IF(EGR!$D$3=30,('NOx Model (1)'!C19*1.3),IF(EGR!$D$3=35,('NOx Model (1)'!C19*1.35),IF(EGR!$D$3=40,('NOx Model (1)'!C19*1.4),IF(EGR!$D$3=45,('NOx Model (1)'!C19*1.45),IF(EGR!$D$3=50,('NOx Model (1)'!C19*1.5))))))))))))</f>
        <v>41.267945228594854</v>
      </c>
      <c r="E13" s="130">
        <f>IF(EGR!$D$3=0,(EGR!Y83*1),IF(EGR!$D$3=5,(EGR!Y83*1.05),IF(EGR!$D$3=10,(EGR!Y83*1.1),IF(EGR!$D$3=15,(EGR!Y83*1.15),IF(EGR!$D$3=20,(EGR!Y83*1.2),IF(EGR!$D$3=25,(EGR!Y83*1.25),IF(EGR!$D$3=30,(EGR!Y83*1.3),IF(EGR!$D$3=35,(EGR!Y83*1.35),IF(EGR!$D$3=40,(EGR!Y83*1.4),IF(EGR!$D$3=45,(EGR!Y83*1.45),IF(EGR!$D$3=50,(EGR!Y83*1.5))))))))))))</f>
        <v>36.246960000000001</v>
      </c>
      <c r="F13" s="71"/>
      <c r="G13" s="128">
        <f>IF(EGR!$D$3=0,('NOx Model (1)'!E19*1),IF(EGR!$D$3=5,('NOx Model (1)'!E19*1.05),IF(EGR!$D$3=10,('NOx Model (1)'!E19*1.1),IF(EGR!$D$3=15,('NOx Model (1)'!E19*1.15),IF(EGR!$D$3=20,('NOx Model (1)'!E19*1.2),IF(EGR!$D$3=25,('NOx Model (1)'!E19*1.25),IF(EGR!$D$3=30,('NOx Model (1)'!E19*1.3),IF(EGR!$D$3=35,('NOx Model (1)'!E19*1.35),IF(EGR!$D$3=40,('NOx Model (1)'!E19*1.4),IF(EGR!$D$3=45,('NOx Model (1)'!E19*1.45),IF(EGR!$D$3=50,('NOx Model (1)'!E19*1.5))))))))))))</f>
        <v>4.0168616488093756</v>
      </c>
      <c r="H13" s="130">
        <f>IF(EGR!$D$3=0,(EGR!AA83*1),IF(EGR!$D$3=5,(EGR!AA83*1.05),IF(EGR!$D$3=10,(EGR!AA83*1.1),IF(EGR!$D$3=15,(EGR!AA83*1.15),IF(EGR!$D$3=20,(EGR!AA83*1.2),IF(EGR!$D$3=25,(EGR!AA83*1.25),IF(EGR!$D$3=30,(EGR!AA83*1.3),IF(EGR!$D$3=35,(EGR!AA83*1.35),IF(EGR!$D$3=40,(EGR!AA83*1.4),IF(EGR!$D$3=45,(EGR!AA83*1.45),IF(EGR!$D$3=50,(EGR!AA83*1.5))))))))))))</f>
        <v>1.363500000000001</v>
      </c>
      <c r="I13" s="33"/>
      <c r="J13" s="128">
        <f>IF(EGR!$D$3=0,('NOx Model (1)'!G19*1),IF(EGR!$D$3=5,('NOx Model (1)'!G19*1.05),IF(EGR!$D$3=10,('NOx Model (1)'!G19*1.1),IF(EGR!$D$3=15,('NOx Model (1)'!G19*1.15),IF(EGR!$D$3=20,('NOx Model (1)'!G19*1.2),IF(EGR!$D$3=25,('NOx Model (1)'!G19*1.25),IF(EGR!$D$3=30,('NOx Model (1)'!G19*1.3),IF(EGR!$D$3=35,('NOx Model (1)'!G19*1.35),IF(EGR!$D$3=40,('NOx Model (1)'!G19*1.4),IF(EGR!$D$3=45,('NOx Model (1)'!G19*1.45),IF(EGR!$D$3=50,('NOx Model (1)'!G19*1.5))))))))))))</f>
        <v>4.0902706300753673</v>
      </c>
      <c r="K13" s="130">
        <f>IF(EGR!$D$3=0,(EGR!AC83*1),IF(EGR!$D$3=5,(EGR!AC83*1.05),IF(EGR!$D$3=10,(EGR!AC83*1.1),IF(EGR!$D$3=15,(EGR!AC83*1.15),IF(EGR!$D$3=20,(EGR!AC83*1.2),IF(EGR!$D$3=25,(EGR!AC83*1.25),IF(EGR!$D$3=30,(EGR!AC83*1.3),IF(EGR!$D$3=35,(EGR!AC83*1.35),IF(EGR!$D$3=40,(EGR!AC83*1.4),IF(EGR!$D$3=45,(EGR!AC83*1.45),IF(EGR!$D$3=50,(EGR!AC83*1.5))))))))))))</f>
        <v>167.50800000000001</v>
      </c>
      <c r="L13" s="128">
        <f t="shared" si="0"/>
        <v>54.721839973549883</v>
      </c>
      <c r="M13" s="130">
        <f t="shared" si="1"/>
        <v>242.36646000000002</v>
      </c>
      <c r="N13" s="242">
        <v>400</v>
      </c>
      <c r="P13" s="71"/>
      <c r="R13" s="246" t="s">
        <v>198</v>
      </c>
      <c r="S13" s="330" t="s">
        <v>179</v>
      </c>
      <c r="U13" s="566" t="s">
        <v>209</v>
      </c>
      <c r="V13" s="567"/>
      <c r="W13" s="567"/>
      <c r="X13" s="568"/>
      <c r="AC13" s="25"/>
    </row>
    <row r="14" spans="1:38" ht="15.75" thickBot="1" x14ac:dyDescent="0.3">
      <c r="B14" s="128">
        <f>IF(EGR!$D$3=0,('NOx Model (1)'!A20*1),IF(EGR!$D$3=5,('NOx Model (1)'!A20*1.05),IF(EGR!$D$3=10,('NOx Model (1)'!A20*1.1),IF(EGR!$D$3=15,('NOx Model (1)'!A20*1.15),IF(EGR!$D$3=20,('NOx Model (1)'!A20*1.2),IF(EGR!$D$3=25,('NOx Model (1)'!A20*1.25),IF(EGR!$D$3=30,('NOx Model (1)'!A20*1.3),IF(EGR!$D$3=35,('NOx Model (1)'!A20*1.35),IF(EGR!$D$3=40,('NOx Model (1)'!A20*1.4),IF(EGR!$D$3=45,('NOx Model (1)'!A20*1.45),IF(EGR!$D$3=50,('NOx Model (1)'!A20*1.5))))))))))))</f>
        <v>7.3728507056498849</v>
      </c>
      <c r="C14" s="130">
        <f>IF(EGR!$D$3=0,(EGR!W84*1),IF(EGR!$D$3=5,(EGR!W84*1.05),IF(EGR!$D$3=10,(EGR!W84*1.1),IF(EGR!$D$3=15,(EGR!W84*1.15),IF(EGR!$D$3=20,(EGR!W84*1.2),IF(EGR!$D$3=25,(EGR!W84*1.25),IF(EGR!$D$3=30,(EGR!W84*1.3),IF(EGR!$D$3=35,(EGR!W84*1.35),IF(EGR!$D$3=40,(EGR!W84*1.4),IF(EGR!$D$3=45,(EGR!W84*1.45),IF(EGR!$D$3=50,(EGR!W84*1.5))))))))))))</f>
        <v>56.896320000000003</v>
      </c>
      <c r="D14" s="132">
        <f>IF(EGR!$D$3=0,('NOx Model (1)'!C20*1),IF(EGR!$D$3=5,('NOx Model (1)'!C20*1.05),IF(EGR!$D$3=10,('NOx Model (1)'!C20*1.1),IF(EGR!$D$3=15,('NOx Model (1)'!C20*1.15),IF(EGR!$D$3=20,('NOx Model (1)'!C20*1.2),IF(EGR!$D$3=25,('NOx Model (1)'!C20*1.25),IF(EGR!$D$3=30,('NOx Model (1)'!C20*1.3),IF(EGR!$D$3=35,('NOx Model (1)'!C20*1.35),IF(EGR!$D$3=40,('NOx Model (1)'!C20*1.4),IF(EGR!$D$3=45,('NOx Model (1)'!C20*1.45),IF(EGR!$D$3=50,('NOx Model (1)'!C20*1.5))))))))))))</f>
        <v>55.245178137931191</v>
      </c>
      <c r="E14" s="130">
        <f>IF(EGR!$D$3=0,(EGR!Y84*1),IF(EGR!$D$3=5,(EGR!Y84*1.05),IF(EGR!$D$3=10,(EGR!Y84*1.1),IF(EGR!$D$3=15,(EGR!Y84*1.15),IF(EGR!$D$3=20,(EGR!Y84*1.2),IF(EGR!$D$3=25,(EGR!Y84*1.25),IF(EGR!$D$3=30,(EGR!Y84*1.3),IF(EGR!$D$3=35,(EGR!Y84*1.35),IF(EGR!$D$3=40,(EGR!Y84*1.4),IF(EGR!$D$3=45,(EGR!Y84*1.45),IF(EGR!$D$3=50,(EGR!Y84*1.5))))))))))))</f>
        <v>54.370440000000009</v>
      </c>
      <c r="F14" s="71"/>
      <c r="G14" s="128">
        <f>IF(EGR!$D$3=0,('NOx Model (1)'!E20*1),IF(EGR!$D$3=5,('NOx Model (1)'!E20*1.05),IF(EGR!$D$3=10,('NOx Model (1)'!E20*1.1),IF(EGR!$D$3=15,('NOx Model (1)'!E20*1.15),IF(EGR!$D$3=20,('NOx Model (1)'!E20*1.2),IF(EGR!$D$3=25,('NOx Model (1)'!E20*1.25),IF(EGR!$D$3=30,('NOx Model (1)'!E20*1.3),IF(EGR!$D$3=35,('NOx Model (1)'!E20*1.35),IF(EGR!$D$3=40,('NOx Model (1)'!E20*1.4),IF(EGR!$D$3=45,('NOx Model (1)'!E20*1.45),IF(EGR!$D$3=50,('NOx Model (1)'!E20*1.5))))))))))))</f>
        <v>5.4071899856908221</v>
      </c>
      <c r="H14" s="130">
        <f>IF(EGR!$D$3=0,(EGR!AA84*1),IF(EGR!$D$3=5,(EGR!AA84*1.05),IF(EGR!$D$3=10,(EGR!AA84*1.1),IF(EGR!$D$3=15,(EGR!AA84*1.15),IF(EGR!$D$3=20,(EGR!AA84*1.2),IF(EGR!$D$3=25,(EGR!AA84*1.25),IF(EGR!$D$3=30,(EGR!AA84*1.3),IF(EGR!$D$3=35,(EGR!AA84*1.35),IF(EGR!$D$3=40,(EGR!AA84*1.4),IF(EGR!$D$3=45,(EGR!AA84*1.45),IF(EGR!$D$3=50,(EGR!AA84*1.5))))))))))))</f>
        <v>2.0475000000000017</v>
      </c>
      <c r="I14" s="33"/>
      <c r="J14" s="128">
        <f>IF(EGR!$D$3=0,('NOx Model (1)'!G20*1),IF(EGR!$D$3=5,('NOx Model (1)'!G20*1.05),IF(EGR!$D$3=10,('NOx Model (1)'!G20*1.1),IF(EGR!$D$3=15,('NOx Model (1)'!G20*1.15),IF(EGR!$D$3=20,('NOx Model (1)'!G20*1.2),IF(EGR!$D$3=25,('NOx Model (1)'!G20*1.25),IF(EGR!$D$3=30,('NOx Model (1)'!G20*1.3),IF(EGR!$D$3=35,('NOx Model (1)'!G20*1.35),IF(EGR!$D$3=40,('NOx Model (1)'!G20*1.4),IF(EGR!$D$3=45,('NOx Model (1)'!G20*1.45),IF(EGR!$D$3=50,('NOx Model (1)'!G20*1.5))))))))))))</f>
        <v>5.5495035323595294</v>
      </c>
      <c r="K14" s="130">
        <f>IF(EGR!$D$3=0,(EGR!AC84*1),IF(EGR!$D$3=5,(EGR!AC84*1.05),IF(EGR!$D$3=10,(EGR!AC84*1.1),IF(EGR!$D$3=15,(EGR!AC84*1.15),IF(EGR!$D$3=20,(EGR!AC84*1.2),IF(EGR!$D$3=25,(EGR!AC84*1.25),IF(EGR!$D$3=30,(EGR!AC84*1.3),IF(EGR!$D$3=35,(EGR!AC84*1.35),IF(EGR!$D$3=40,(EGR!AC84*1.4),IF(EGR!$D$3=45,(EGR!AC84*1.45),IF(EGR!$D$3=50,(EGR!AC84*1.5))))))))))))</f>
        <v>250.416</v>
      </c>
      <c r="L14" s="128">
        <f t="shared" si="0"/>
        <v>73.574722361631416</v>
      </c>
      <c r="M14" s="130">
        <f t="shared" si="1"/>
        <v>363.73025999999999</v>
      </c>
      <c r="N14" s="242">
        <v>450</v>
      </c>
      <c r="P14" s="71"/>
      <c r="R14" s="248" t="s">
        <v>201</v>
      </c>
      <c r="S14" s="331" t="s">
        <v>193</v>
      </c>
      <c r="U14" s="274" t="s">
        <v>207</v>
      </c>
      <c r="V14" s="274" t="s">
        <v>206</v>
      </c>
      <c r="W14" s="285" t="s">
        <v>208</v>
      </c>
      <c r="X14" s="352" t="s">
        <v>205</v>
      </c>
      <c r="AC14" s="25"/>
    </row>
    <row r="15" spans="1:38" ht="15.75" thickBot="1" x14ac:dyDescent="0.3">
      <c r="B15" s="128">
        <f>IF(EGR!$D$3=0,('NOx Model (1)'!A21*1),IF(EGR!$D$3=5,('NOx Model (1)'!A21*1.05),IF(EGR!$D$3=10,('NOx Model (1)'!A21*1.1),IF(EGR!$D$3=15,('NOx Model (1)'!A21*1.15),IF(EGR!$D$3=20,('NOx Model (1)'!A21*1.2),IF(EGR!$D$3=25,('NOx Model (1)'!A21*1.25),IF(EGR!$D$3=30,('NOx Model (1)'!A21*1.3),IF(EGR!$D$3=35,('NOx Model (1)'!A21*1.35),IF(EGR!$D$3=40,('NOx Model (1)'!A21*1.4),IF(EGR!$D$3=45,('NOx Model (1)'!A21*1.45),IF(EGR!$D$3=50,('NOx Model (1)'!A21*1.5))))))))))))</f>
        <v>9.6957342459592066</v>
      </c>
      <c r="C15" s="130">
        <f>IF(EGR!$D$3=0,(EGR!W85*1),IF(EGR!$D$3=5,(EGR!W85*1.05),IF(EGR!$D$3=10,(EGR!W85*1.1),IF(EGR!$D$3=15,(EGR!W85*1.15),IF(EGR!$D$3=20,(EGR!W85*1.2),IF(EGR!$D$3=25,(EGR!W85*1.25),IF(EGR!$D$3=30,(EGR!W85*1.3),IF(EGR!$D$3=35,(EGR!W85*1.35),IF(EGR!$D$3=40,(EGR!W85*1.4),IF(EGR!$D$3=45,(EGR!W85*1.45),IF(EGR!$D$3=50,(EGR!W85*1.5))))))))))))</f>
        <v>77.289599999999993</v>
      </c>
      <c r="D15" s="132">
        <f>IF(EGR!$D$3=0,('NOx Model (1)'!C21*1),IF(EGR!$D$3=5,('NOx Model (1)'!C21*1.05),IF(EGR!$D$3=10,('NOx Model (1)'!C21*1.1),IF(EGR!$D$3=15,('NOx Model (1)'!C21*1.15),IF(EGR!$D$3=20,('NOx Model (1)'!C21*1.2),IF(EGR!$D$3=25,('NOx Model (1)'!C21*1.25),IF(EGR!$D$3=30,('NOx Model (1)'!C21*1.3),IF(EGR!$D$3=35,('NOx Model (1)'!C21*1.35),IF(EGR!$D$3=40,('NOx Model (1)'!C21*1.4),IF(EGR!$D$3=45,('NOx Model (1)'!C21*1.45),IF(EGR!$D$3=50,('NOx Model (1)'!C21*1.5))))))))))))</f>
        <v>70.943408431697549</v>
      </c>
      <c r="E15" s="130">
        <f>IF(EGR!$D$3=0,(EGR!Y85*1),IF(EGR!$D$3=5,(EGR!Y85*1.05),IF(EGR!$D$3=10,(EGR!Y85*1.1),IF(EGR!$D$3=15,(EGR!Y85*1.15),IF(EGR!$D$3=20,(EGR!Y85*1.2),IF(EGR!$D$3=25,(EGR!Y85*1.25),IF(EGR!$D$3=30,(EGR!Y85*1.3),IF(EGR!$D$3=35,(EGR!Y85*1.35),IF(EGR!$D$3=40,(EGR!Y85*1.4),IF(EGR!$D$3=45,(EGR!Y85*1.45),IF(EGR!$D$3=50,(EGR!Y85*1.5))))))))))))</f>
        <v>72.808199999999999</v>
      </c>
      <c r="F15" s="71"/>
      <c r="G15" s="128">
        <f>IF(EGR!$D$3=0,('NOx Model (1)'!E21*1),IF(EGR!$D$3=5,('NOx Model (1)'!E21*1.05),IF(EGR!$D$3=10,('NOx Model (1)'!E21*1.1),IF(EGR!$D$3=15,('NOx Model (1)'!E21*1.15),IF(EGR!$D$3=20,('NOx Model (1)'!E21*1.2),IF(EGR!$D$3=25,('NOx Model (1)'!E21*1.25),IF(EGR!$D$3=30,('NOx Model (1)'!E21*1.3),IF(EGR!$D$3=35,('NOx Model (1)'!E21*1.35),IF(EGR!$D$3=40,('NOx Model (1)'!E21*1.4),IF(EGR!$D$3=45,('NOx Model (1)'!E21*1.45),IF(EGR!$D$3=50,('NOx Model (1)'!E21*1.5))))))))))))</f>
        <v>6.9722289806519324</v>
      </c>
      <c r="H15" s="130">
        <f>IF(EGR!$D$3=0,(EGR!AA85*1),IF(EGR!$D$3=5,(EGR!AA85*1.05),IF(EGR!$D$3=10,(EGR!AA85*1.1),IF(EGR!$D$3=15,(EGR!AA85*1.15),IF(EGR!$D$3=20,(EGR!AA85*1.2),IF(EGR!$D$3=25,(EGR!AA85*1.25),IF(EGR!$D$3=30,(EGR!AA85*1.3),IF(EGR!$D$3=35,(EGR!AA85*1.35),IF(EGR!$D$3=40,(EGR!AA85*1.4),IF(EGR!$D$3=45,(EGR!AA85*1.45),IF(EGR!$D$3=50,(EGR!AA85*1.5))))))))))))</f>
        <v>2.7450000000000023</v>
      </c>
      <c r="I15" s="33"/>
      <c r="J15" s="128">
        <f>IF(EGR!$D$3=0,('NOx Model (1)'!G21*1),IF(EGR!$D$3=5,('NOx Model (1)'!G21*1.05),IF(EGR!$D$3=10,('NOx Model (1)'!G21*1.1),IF(EGR!$D$3=15,('NOx Model (1)'!G21*1.15),IF(EGR!$D$3=20,('NOx Model (1)'!G21*1.2),IF(EGR!$D$3=25,('NOx Model (1)'!G21*1.25),IF(EGR!$D$3=30,('NOx Model (1)'!G21*1.3),IF(EGR!$D$3=35,('NOx Model (1)'!G21*1.35),IF(EGR!$D$3=40,('NOx Model (1)'!G21*1.4),IF(EGR!$D$3=45,('NOx Model (1)'!G21*1.45),IF(EGR!$D$3=50,('NOx Model (1)'!G21*1.5))))))))))))</f>
        <v>7.2707939912919377</v>
      </c>
      <c r="K15" s="130">
        <f>IF(EGR!$D$3=0,(EGR!AC85*1),IF(EGR!$D$3=5,(EGR!AC85*1.05),IF(EGR!$D$3=10,(EGR!AC85*1.1),IF(EGR!$D$3=15,(EGR!AC85*1.15),IF(EGR!$D$3=20,(EGR!AC85*1.2),IF(EGR!$D$3=25,(EGR!AC85*1.25),IF(EGR!$D$3=30,(EGR!AC85*1.3),IF(EGR!$D$3=35,(EGR!AC85*1.35),IF(EGR!$D$3=40,(EGR!AC85*1.4),IF(EGR!$D$3=45,(EGR!AC85*1.45),IF(EGR!$D$3=50,(EGR!AC85*1.5))))))))))))</f>
        <v>333.88799999999998</v>
      </c>
      <c r="L15" s="128">
        <f t="shared" si="0"/>
        <v>94.882165649600623</v>
      </c>
      <c r="M15" s="130">
        <f t="shared" si="1"/>
        <v>486.73079999999999</v>
      </c>
      <c r="N15" s="242">
        <v>500</v>
      </c>
      <c r="P15" s="71"/>
      <c r="Q15" s="245" t="s">
        <v>199</v>
      </c>
      <c r="R15" s="250">
        <v>10</v>
      </c>
      <c r="S15" s="280">
        <f>R11</f>
        <v>2033.9024048753352</v>
      </c>
      <c r="U15" s="270">
        <f t="shared" ref="U15:U30" si="2">(((4.7*10^13)*($Y$3)*(($X$3)^0.5)*EXP(-67837/S15)))/($Y$11*6)</f>
        <v>5.800604709551636E-8</v>
      </c>
      <c r="V15" s="276">
        <f t="shared" ref="V15:V30" si="3">U15*($Y$9*10^-6)</f>
        <v>2.3202418838206543E-12</v>
      </c>
      <c r="W15" s="283">
        <f>SUM(V15:V30)</f>
        <v>4.5399389017015461E-9</v>
      </c>
      <c r="X15" s="284">
        <f>(W15/Z3)*10^6</f>
        <v>654.4624263879324</v>
      </c>
      <c r="AC15" s="25"/>
    </row>
    <row r="16" spans="1:38" x14ac:dyDescent="0.25">
      <c r="B16" s="128">
        <f>IF(EGR!$D$3=0,('NOx Model (1)'!A22*1),IF(EGR!$D$3=5,('NOx Model (1)'!A22*1.05),IF(EGR!$D$3=10,('NOx Model (1)'!A22*1.1),IF(EGR!$D$3=15,('NOx Model (1)'!A22*1.15),IF(EGR!$D$3=20,('NOx Model (1)'!A22*1.2),IF(EGR!$D$3=25,('NOx Model (1)'!A22*1.25),IF(EGR!$D$3=30,('NOx Model (1)'!A22*1.3),IF(EGR!$D$3=35,('NOx Model (1)'!A22*1.35),IF(EGR!$D$3=40,('NOx Model (1)'!A22*1.4),IF(EGR!$D$3=45,('NOx Model (1)'!A22*1.45),IF(EGR!$D$3=50,('NOx Model (1)'!A22*1.5))))))))))))</f>
        <v>12.284297411741569</v>
      </c>
      <c r="C16" s="130">
        <f>IF(EGR!$D$3=0,(EGR!W86*1),IF(EGR!$D$3=5,(EGR!W86*1.05),IF(EGR!$D$3=10,(EGR!W86*1.1),IF(EGR!$D$3=15,(EGR!W86*1.15),IF(EGR!$D$3=20,(EGR!W86*1.2),IF(EGR!$D$3=25,(EGR!W86*1.25),IF(EGR!$D$3=30,(EGR!W86*1.3),IF(EGR!$D$3=35,(EGR!W86*1.35),IF(EGR!$D$3=40,(EGR!W86*1.4),IF(EGR!$D$3=45,(EGR!W86*1.45),IF(EGR!$D$3=50,(EGR!W86*1.5))))))))))))</f>
        <v>98.33471999999999</v>
      </c>
      <c r="D16" s="132">
        <f>IF(EGR!$D$3=0,('NOx Model (1)'!C22*1),IF(EGR!$D$3=5,('NOx Model (1)'!C22*1.05),IF(EGR!$D$3=10,('NOx Model (1)'!C22*1.1),IF(EGR!$D$3=15,('NOx Model (1)'!C22*1.15),IF(EGR!$D$3=20,('NOx Model (1)'!C22*1.2),IF(EGR!$D$3=25,('NOx Model (1)'!C22*1.25),IF(EGR!$D$3=30,('NOx Model (1)'!C22*1.3),IF(EGR!$D$3=35,('NOx Model (1)'!C22*1.35),IF(EGR!$D$3=40,('NOx Model (1)'!C22*1.4),IF(EGR!$D$3=45,('NOx Model (1)'!C22*1.45),IF(EGR!$D$3=50,('NOx Model (1)'!C22*1.5))))))))))))</f>
        <v>88.100035174989145</v>
      </c>
      <c r="E16" s="130">
        <f>IF(EGR!$D$3=0,(EGR!Y86*1),IF(EGR!$D$3=5,(EGR!Y86*1.05),IF(EGR!$D$3=10,(EGR!Y86*1.1),IF(EGR!$D$3=15,(EGR!Y86*1.15),IF(EGR!$D$3=20,(EGR!Y86*1.2),IF(EGR!$D$3=25,(EGR!Y86*1.25),IF(EGR!$D$3=30,(EGR!Y86*1.3),IF(EGR!$D$3=35,(EGR!Y86*1.35),IF(EGR!$D$3=40,(EGR!Y86*1.4),IF(EGR!$D$3=45,(EGR!Y86*1.45),IF(EGR!$D$3=50,(EGR!Y86*1.5))))))))))))</f>
        <v>91.455480000000009</v>
      </c>
      <c r="F16" s="71"/>
      <c r="G16" s="128">
        <f>IF(EGR!$D$3=0,('NOx Model (1)'!E22*1),IF(EGR!$D$3=5,('NOx Model (1)'!E22*1.05),IF(EGR!$D$3=10,('NOx Model (1)'!E22*1.1),IF(EGR!$D$3=15,('NOx Model (1)'!E22*1.15),IF(EGR!$D$3=20,('NOx Model (1)'!E22*1.2),IF(EGR!$D$3=25,('NOx Model (1)'!E22*1.25),IF(EGR!$D$3=30,('NOx Model (1)'!E22*1.3),IF(EGR!$D$3=35,('NOx Model (1)'!E22*1.35),IF(EGR!$D$3=40,('NOx Model (1)'!E22*1.4),IF(EGR!$D$3=45,('NOx Model (1)'!E22*1.45),IF(EGR!$D$3=50,('NOx Model (1)'!E22*1.5))))))))))))</f>
        <v>8.6804991597836523</v>
      </c>
      <c r="H16" s="130">
        <f>IF(EGR!$D$3=0,(EGR!AA86*1),IF(EGR!$D$3=5,(EGR!AA86*1.05),IF(EGR!$D$3=10,(EGR!AA86*1.1),IF(EGR!$D$3=15,(EGR!AA86*1.15),IF(EGR!$D$3=20,(EGR!AA86*1.2),IF(EGR!$D$3=25,(EGR!AA86*1.25),IF(EGR!$D$3=30,(EGR!AA86*1.3),IF(EGR!$D$3=35,(EGR!AA86*1.35),IF(EGR!$D$3=40,(EGR!AA86*1.4),IF(EGR!$D$3=45,(EGR!AA86*1.45),IF(EGR!$D$3=50,(EGR!AA86*1.5))))))))))))</f>
        <v>3.4470000000000032</v>
      </c>
      <c r="I16" s="33"/>
      <c r="J16" s="128">
        <f>IF(EGR!$D$3=0,('NOx Model (1)'!G22*1),IF(EGR!$D$3=5,('NOx Model (1)'!G22*1.05),IF(EGR!$D$3=10,('NOx Model (1)'!G22*1.1),IF(EGR!$D$3=15,('NOx Model (1)'!G22*1.15),IF(EGR!$D$3=20,('NOx Model (1)'!G22*1.2),IF(EGR!$D$3=25,('NOx Model (1)'!G22*1.25),IF(EGR!$D$3=30,('NOx Model (1)'!G22*1.3),IF(EGR!$D$3=35,('NOx Model (1)'!G22*1.35),IF(EGR!$D$3=40,('NOx Model (1)'!G22*1.4),IF(EGR!$D$3=45,('NOx Model (1)'!G22*1.45),IF(EGR!$D$3=50,('NOx Model (1)'!G22*1.5))))))))))))</f>
        <v>9.2801625336183022</v>
      </c>
      <c r="K16" s="130">
        <f>IF(EGR!$D$3=0,(EGR!AC86*1),IF(EGR!$D$3=5,(EGR!AC86*1.05),IF(EGR!$D$3=10,(EGR!AC86*1.1),IF(EGR!$D$3=15,(EGR!AC86*1.15),IF(EGR!$D$3=20,(EGR!AC86*1.2),IF(EGR!$D$3=25,(EGR!AC86*1.25),IF(EGR!$D$3=30,(EGR!AC86*1.3),IF(EGR!$D$3=35,(EGR!AC86*1.35),IF(EGR!$D$3=40,(EGR!AC86*1.4),IF(EGR!$D$3=45,(EGR!AC86*1.45),IF(EGR!$D$3=50,(EGR!AC86*1.5))))))))))))</f>
        <v>417.92399999999998</v>
      </c>
      <c r="L16" s="128">
        <f t="shared" si="0"/>
        <v>118.34499428013268</v>
      </c>
      <c r="M16" s="130">
        <f t="shared" si="1"/>
        <v>611.16120000000001</v>
      </c>
      <c r="N16" s="242">
        <v>550</v>
      </c>
      <c r="P16" s="71"/>
      <c r="R16" s="251">
        <f t="shared" ref="R16:R30" si="4">R15+2</f>
        <v>12</v>
      </c>
      <c r="S16" s="281">
        <f t="shared" ref="S16:S30" si="5">S15*((R16/R15)^((1.17-1)/1.17))</f>
        <v>2088.5028738225587</v>
      </c>
      <c r="U16" s="271">
        <f t="shared" si="2"/>
        <v>1.3872725181880786E-7</v>
      </c>
      <c r="V16" s="277">
        <f t="shared" si="3"/>
        <v>5.5490900727523138E-12</v>
      </c>
      <c r="X16" s="207"/>
      <c r="AC16" s="25"/>
      <c r="AD16" s="25"/>
      <c r="AE16" s="25"/>
      <c r="AF16" s="25"/>
      <c r="AG16" s="25"/>
      <c r="AH16" s="25"/>
      <c r="AI16" s="25"/>
      <c r="AJ16" s="25"/>
      <c r="AK16" s="25"/>
      <c r="AL16" s="25"/>
    </row>
    <row r="17" spans="2:38" x14ac:dyDescent="0.25">
      <c r="B17" s="128">
        <f>IF(EGR!$D$3=0,('NOx Model (1)'!A23*1),IF(EGR!$D$3=5,('NOx Model (1)'!A23*1.05),IF(EGR!$D$3=10,('NOx Model (1)'!A23*1.1),IF(EGR!$D$3=15,('NOx Model (1)'!A23*1.15),IF(EGR!$D$3=20,('NOx Model (1)'!A23*1.2),IF(EGR!$D$3=25,('NOx Model (1)'!A23*1.25),IF(EGR!$D$3=30,('NOx Model (1)'!A23*1.3),IF(EGR!$D$3=35,('NOx Model (1)'!A23*1.35),IF(EGR!$D$3=40,('NOx Model (1)'!A23*1.4),IF(EGR!$D$3=45,('NOx Model (1)'!A23*1.45),IF(EGR!$D$3=50,('NOx Model (1)'!A23*1.5))))))))))))</f>
        <v>15.11630049503211</v>
      </c>
      <c r="C17" s="130">
        <f>IF(EGR!$D$3=0,(EGR!W87*1),IF(EGR!$D$3=5,(EGR!W87*1.05),IF(EGR!$D$3=10,(EGR!W87*1.1),IF(EGR!$D$3=15,(EGR!W87*1.15),IF(EGR!$D$3=20,(EGR!W87*1.2),IF(EGR!$D$3=25,(EGR!W87*1.25),IF(EGR!$D$3=30,(EGR!W87*1.3),IF(EGR!$D$3=35,(EGR!W87*1.35),IF(EGR!$D$3=40,(EGR!W87*1.4),IF(EGR!$D$3=45,(EGR!W87*1.45),IF(EGR!$D$3=50,(EGR!W87*1.5))))))))))))</f>
        <v>120.12479999999999</v>
      </c>
      <c r="D17" s="132">
        <f>IF(EGR!$D$3=0,('NOx Model (1)'!C23*1),IF(EGR!$D$3=5,('NOx Model (1)'!C23*1.05),IF(EGR!$D$3=10,('NOx Model (1)'!C23*1.1),IF(EGR!$D$3=15,('NOx Model (1)'!C23*1.15),IF(EGR!$D$3=20,('NOx Model (1)'!C23*1.2),IF(EGR!$D$3=25,('NOx Model (1)'!C23*1.25),IF(EGR!$D$3=30,('NOx Model (1)'!C23*1.3),IF(EGR!$D$3=35,('NOx Model (1)'!C23*1.35),IF(EGR!$D$3=40,('NOx Model (1)'!C23*1.4),IF(EGR!$D$3=45,('NOx Model (1)'!C23*1.45),IF(EGR!$D$3=50,('NOx Model (1)'!C23*1.5))))))))))))</f>
        <v>106.48394978550726</v>
      </c>
      <c r="E17" s="130">
        <f>IF(EGR!$D$3=0,(EGR!Y87*1),IF(EGR!$D$3=5,(EGR!Y87*1.05),IF(EGR!$D$3=10,(EGR!Y87*1.1),IF(EGR!$D$3=15,(EGR!Y87*1.15),IF(EGR!$D$3=20,(EGR!Y87*1.2),IF(EGR!$D$3=25,(EGR!Y87*1.25),IF(EGR!$D$3=30,(EGR!Y87*1.3),IF(EGR!$D$3=35,(EGR!Y87*1.35),IF(EGR!$D$3=40,(EGR!Y87*1.4),IF(EGR!$D$3=45,(EGR!Y87*1.45),IF(EGR!$D$3=50,(EGR!Y87*1.5))))))))))))</f>
        <v>110.31228</v>
      </c>
      <c r="F17" s="71"/>
      <c r="G17" s="128">
        <f>IF(EGR!$D$3=0,('NOx Model (1)'!E23*1),IF(EGR!$D$3=5,('NOx Model (1)'!E23*1.05),IF(EGR!$D$3=10,('NOx Model (1)'!E23*1.1),IF(EGR!$D$3=15,('NOx Model (1)'!E23*1.15),IF(EGR!$D$3=20,('NOx Model (1)'!E23*1.2),IF(EGR!$D$3=25,('NOx Model (1)'!E23*1.25),IF(EGR!$D$3=30,('NOx Model (1)'!E23*1.3),IF(EGR!$D$3=35,('NOx Model (1)'!E23*1.35),IF(EGR!$D$3=40,('NOx Model (1)'!E23*1.4),IF(EGR!$D$3=45,('NOx Model (1)'!E23*1.45),IF(EGR!$D$3=50,('NOx Model (1)'!E23*1.5))))))))))))</f>
        <v>10.503737611833984</v>
      </c>
      <c r="H17" s="130">
        <f>IF(EGR!$D$3=0,(EGR!AA87*1),IF(EGR!$D$3=5,(EGR!AA87*1.05),IF(EGR!$D$3=10,(EGR!AA87*1.1),IF(EGR!$D$3=15,(EGR!AA87*1.15),IF(EGR!$D$3=20,(EGR!AA87*1.2),IF(EGR!$D$3=25,(EGR!AA87*1.25),IF(EGR!$D$3=30,(EGR!AA87*1.3),IF(EGR!$D$3=35,(EGR!AA87*1.35),IF(EGR!$D$3=40,(EGR!AA87*1.4),IF(EGR!$D$3=45,(EGR!AA87*1.45),IF(EGR!$D$3=50,(EGR!AA87*1.5))))))))))))</f>
        <v>4.1625000000000032</v>
      </c>
      <c r="I17" s="33"/>
      <c r="J17" s="128">
        <f>IF(EGR!$D$3=0,('NOx Model (1)'!G23*1),IF(EGR!$D$3=5,('NOx Model (1)'!G23*1.05),IF(EGR!$D$3=10,('NOx Model (1)'!G23*1.1),IF(EGR!$D$3=15,('NOx Model (1)'!G23*1.15),IF(EGR!$D$3=20,('NOx Model (1)'!G23*1.2),IF(EGR!$D$3=25,('NOx Model (1)'!G23*1.25),IF(EGR!$D$3=30,('NOx Model (1)'!G23*1.3),IF(EGR!$D$3=35,('NOx Model (1)'!G23*1.35),IF(EGR!$D$3=40,('NOx Model (1)'!G23*1.4),IF(EGR!$D$3=45,('NOx Model (1)'!G23*1.45),IF(EGR!$D$3=50,('NOx Model (1)'!G23*1.5))))))))))))</f>
        <v>11.625356739490268</v>
      </c>
      <c r="K17" s="130">
        <f>IF(EGR!$D$3=0,(EGR!AC87*1),IF(EGR!$D$3=5,(EGR!AC87*1.05),IF(EGR!$D$3=10,(EGR!AC87*1.1),IF(EGR!$D$3=15,(EGR!AC87*1.15),IF(EGR!$D$3=20,(EGR!AC87*1.2),IF(EGR!$D$3=25,(EGR!AC87*1.25),IF(EGR!$D$3=30,(EGR!AC87*1.3),IF(EGR!$D$3=35,(EGR!AC87*1.35),IF(EGR!$D$3=40,(EGR!AC87*1.4),IF(EGR!$D$3=45,(EGR!AC87*1.45),IF(EGR!$D$3=50,(EGR!AC87*1.5))))))))))))</f>
        <v>501.96</v>
      </c>
      <c r="L17" s="128">
        <f t="shared" si="0"/>
        <v>143.72934463186363</v>
      </c>
      <c r="M17" s="130">
        <f t="shared" si="1"/>
        <v>736.55957999999998</v>
      </c>
      <c r="N17" s="242">
        <v>600</v>
      </c>
      <c r="P17" s="71"/>
      <c r="R17" s="251">
        <f t="shared" si="4"/>
        <v>14</v>
      </c>
      <c r="S17" s="281">
        <f t="shared" si="5"/>
        <v>2135.8088833388874</v>
      </c>
      <c r="U17" s="271">
        <f t="shared" si="2"/>
        <v>2.8484202190232088E-7</v>
      </c>
      <c r="V17" s="277">
        <f t="shared" si="3"/>
        <v>1.1393680876092835E-11</v>
      </c>
      <c r="X17" s="24"/>
      <c r="AC17" s="25"/>
      <c r="AD17" s="25"/>
      <c r="AE17" s="25"/>
      <c r="AF17" s="25"/>
      <c r="AG17" s="25"/>
      <c r="AH17" s="25"/>
      <c r="AI17" s="25"/>
      <c r="AJ17" s="25"/>
      <c r="AK17" s="25"/>
      <c r="AL17" s="25"/>
    </row>
    <row r="18" spans="2:38" x14ac:dyDescent="0.25">
      <c r="B18" s="128">
        <f>IF(EGR!$D$3=0,('NOx Model (1)'!A24*1),IF(EGR!$D$3=5,('NOx Model (1)'!A24*1.05),IF(EGR!$D$3=10,('NOx Model (1)'!A24*1.1),IF(EGR!$D$3=15,('NOx Model (1)'!A24*1.15),IF(EGR!$D$3=20,('NOx Model (1)'!A24*1.2),IF(EGR!$D$3=25,('NOx Model (1)'!A24*1.25),IF(EGR!$D$3=30,('NOx Model (1)'!A24*1.3),IF(EGR!$D$3=35,('NOx Model (1)'!A24*1.35),IF(EGR!$D$3=40,('NOx Model (1)'!A24*1.4),IF(EGR!$D$3=45,('NOx Model (1)'!A24*1.45),IF(EGR!$D$3=50,('NOx Model (1)'!A24*1.5))))))))))))</f>
        <v>18.178875792748041</v>
      </c>
      <c r="C18" s="130">
        <f>IF(EGR!$D$3=0,(EGR!W88*1),IF(EGR!$D$3=5,(EGR!W88*1.05),IF(EGR!$D$3=10,(EGR!W88*1.1),IF(EGR!$D$3=15,(EGR!W88*1.15),IF(EGR!$D$3=20,(EGR!W88*1.2),IF(EGR!$D$3=25,(EGR!W88*1.25),IF(EGR!$D$3=30,(EGR!W88*1.3),IF(EGR!$D$3=35,(EGR!W88*1.35),IF(EGR!$D$3=40,(EGR!W88*1.4),IF(EGR!$D$3=45,(EGR!W88*1.45),IF(EGR!$D$3=50,(EGR!W88*1.5))))))))))))</f>
        <v>142.38047999999998</v>
      </c>
      <c r="D18" s="132">
        <f>IF(EGR!$D$3=0,('NOx Model (1)'!C24*1),IF(EGR!$D$3=5,('NOx Model (1)'!C24*1.05),IF(EGR!$D$3=10,('NOx Model (1)'!C24*1.1),IF(EGR!$D$3=15,('NOx Model (1)'!C24*1.15),IF(EGR!$D$3=20,('NOx Model (1)'!C24*1.2),IF(EGR!$D$3=25,('NOx Model (1)'!C24*1.25),IF(EGR!$D$3=30,('NOx Model (1)'!C24*1.3),IF(EGR!$D$3=35,('NOx Model (1)'!C24*1.35),IF(EGR!$D$3=40,('NOx Model (1)'!C24*1.4),IF(EGR!$D$3=45,('NOx Model (1)'!C24*1.45),IF(EGR!$D$3=50,('NOx Model (1)'!C24*1.5))))))))))))</f>
        <v>125.89320913296524</v>
      </c>
      <c r="E18" s="130">
        <f>IF(EGR!$D$3=0,(EGR!Y88*1),IF(EGR!$D$3=5,(EGR!Y88*1.05),IF(EGR!$D$3=10,(EGR!Y88*1.1),IF(EGR!$D$3=15,(EGR!Y88*1.15),IF(EGR!$D$3=20,(EGR!Y88*1.2),IF(EGR!$D$3=25,(EGR!Y88*1.25),IF(EGR!$D$3=30,(EGR!Y88*1.3),IF(EGR!$D$3=35,(EGR!Y88*1.35),IF(EGR!$D$3=40,(EGR!Y88*1.4),IF(EGR!$D$3=45,(EGR!Y88*1.45),IF(EGR!$D$3=50,(EGR!Y88*1.5))))))))))))</f>
        <v>129.37860000000001</v>
      </c>
      <c r="F18" s="71"/>
      <c r="G18" s="128">
        <f>IF(EGR!$D$3=0,('NOx Model (1)'!E24*1),IF(EGR!$D$3=5,('NOx Model (1)'!E24*1.05),IF(EGR!$D$3=10,('NOx Model (1)'!E24*1.1),IF(EGR!$D$3=15,('NOx Model (1)'!E24*1.15),IF(EGR!$D$3=20,('NOx Model (1)'!E24*1.2),IF(EGR!$D$3=25,('NOx Model (1)'!E24*1.25),IF(EGR!$D$3=30,('NOx Model (1)'!E24*1.3),IF(EGR!$D$3=35,('NOx Model (1)'!E24*1.35),IF(EGR!$D$3=40,('NOx Model (1)'!E24*1.4),IF(EGR!$D$3=45,('NOx Model (1)'!E24*1.45),IF(EGR!$D$3=50,('NOx Model (1)'!E24*1.5))))))))))))</f>
        <v>12.416557487627076</v>
      </c>
      <c r="H18" s="130">
        <f>IF(EGR!$D$3=0,(EGR!AA88*1),IF(EGR!$D$3=5,(EGR!AA88*1.05),IF(EGR!$D$3=10,(EGR!AA88*1.1),IF(EGR!$D$3=15,(EGR!AA88*1.15),IF(EGR!$D$3=20,(EGR!AA88*1.2),IF(EGR!$D$3=25,(EGR!AA88*1.25),IF(EGR!$D$3=30,(EGR!AA88*1.3),IF(EGR!$D$3=35,(EGR!AA88*1.35),IF(EGR!$D$3=40,(EGR!AA88*1.4),IF(EGR!$D$3=45,(EGR!AA88*1.45),IF(EGR!$D$3=50,(EGR!AA88*1.5))))))))))))</f>
        <v>4.8915000000000042</v>
      </c>
      <c r="I18" s="33"/>
      <c r="J18" s="128">
        <f>IF(EGR!$D$3=0,('NOx Model (1)'!G24*1),IF(EGR!$D$3=5,('NOx Model (1)'!G24*1.05),IF(EGR!$D$3=10,('NOx Model (1)'!G24*1.1),IF(EGR!$D$3=15,('NOx Model (1)'!G24*1.15),IF(EGR!$D$3=20,('NOx Model (1)'!G24*1.2),IF(EGR!$D$3=25,('NOx Model (1)'!G24*1.25),IF(EGR!$D$3=30,('NOx Model (1)'!G24*1.3),IF(EGR!$D$3=35,('NOx Model (1)'!G24*1.35),IF(EGR!$D$3=40,('NOx Model (1)'!G24*1.4),IF(EGR!$D$3=45,('NOx Model (1)'!G24*1.45),IF(EGR!$D$3=50,('NOx Model (1)'!G24*1.5))))))))))))</f>
        <v>14.379487468240548</v>
      </c>
      <c r="K18" s="130">
        <f>IF(EGR!$D$3=0,(EGR!AC88*1),IF(EGR!$D$3=5,(EGR!AC88*1.05),IF(EGR!$D$3=10,(EGR!AC88*1.1),IF(EGR!$D$3=15,(EGR!AC88*1.15),IF(EGR!$D$3=20,(EGR!AC88*1.2),IF(EGR!$D$3=25,(EGR!AC88*1.25),IF(EGR!$D$3=30,(EGR!AC88*1.3),IF(EGR!$D$3=35,(EGR!AC88*1.35),IF(EGR!$D$3=40,(EGR!AC88*1.4),IF(EGR!$D$3=45,(EGR!AC88*1.45),IF(EGR!$D$3=50,(EGR!AC88*1.5))))))))))))</f>
        <v>587.68799999999999</v>
      </c>
      <c r="L18" s="128">
        <f t="shared" si="0"/>
        <v>170.8681298815809</v>
      </c>
      <c r="M18" s="130">
        <f t="shared" si="1"/>
        <v>864.33857999999998</v>
      </c>
      <c r="N18" s="242">
        <v>650</v>
      </c>
      <c r="P18" s="71"/>
      <c r="R18" s="251">
        <f t="shared" si="4"/>
        <v>16</v>
      </c>
      <c r="S18" s="281">
        <f t="shared" si="5"/>
        <v>2177.6524531503701</v>
      </c>
      <c r="U18" s="271">
        <f t="shared" si="2"/>
        <v>5.2439025660069981E-7</v>
      </c>
      <c r="V18" s="277">
        <f t="shared" si="3"/>
        <v>2.097561026402799E-11</v>
      </c>
      <c r="X18" s="24"/>
      <c r="AC18" s="25"/>
      <c r="AD18" s="25"/>
      <c r="AE18" s="25"/>
      <c r="AF18" s="361"/>
      <c r="AG18" s="25"/>
      <c r="AH18" s="25"/>
      <c r="AI18" s="25"/>
      <c r="AJ18" s="25"/>
      <c r="AK18" s="25"/>
      <c r="AL18" s="25"/>
    </row>
    <row r="19" spans="2:38" x14ac:dyDescent="0.25">
      <c r="B19" s="128">
        <f>IF(EGR!$D$3=0,('NOx Model (1)'!A25*1),IF(EGR!$D$3=5,('NOx Model (1)'!A25*1.05),IF(EGR!$D$3=10,('NOx Model (1)'!A25*1.1),IF(EGR!$D$3=15,('NOx Model (1)'!A25*1.15),IF(EGR!$D$3=20,('NOx Model (1)'!A25*1.2),IF(EGR!$D$3=25,('NOx Model (1)'!A25*1.25),IF(EGR!$D$3=30,('NOx Model (1)'!A25*1.3),IF(EGR!$D$3=35,('NOx Model (1)'!A25*1.35),IF(EGR!$D$3=40,('NOx Model (1)'!A25*1.4),IF(EGR!$D$3=45,('NOx Model (1)'!A25*1.45),IF(EGR!$D$3=50,('NOx Model (1)'!A25*1.5))))))))))))</f>
        <v>21.469115349706644</v>
      </c>
      <c r="C19" s="130">
        <f>IF(EGR!$D$3=0,(EGR!W89*1),IF(EGR!$D$3=5,(EGR!W89*1.05),IF(EGR!$D$3=10,(EGR!W89*1.1),IF(EGR!$D$3=15,(EGR!W89*1.15),IF(EGR!$D$3=20,(EGR!W89*1.2),IF(EGR!$D$3=25,(EGR!W89*1.25),IF(EGR!$D$3=30,(EGR!W89*1.3),IF(EGR!$D$3=35,(EGR!W89*1.35),IF(EGR!$D$3=40,(EGR!W89*1.4),IF(EGR!$D$3=45,(EGR!W89*1.45),IF(EGR!$D$3=50,(EGR!W89*1.5))))))))))))</f>
        <v>165.28800000000001</v>
      </c>
      <c r="D19" s="132">
        <f>IF(EGR!$D$3=0,('NOx Model (1)'!C25*1),IF(EGR!$D$3=5,('NOx Model (1)'!C25*1.05),IF(EGR!$D$3=10,('NOx Model (1)'!C25*1.1),IF(EGR!$D$3=15,('NOx Model (1)'!C25*1.15),IF(EGR!$D$3=20,('NOx Model (1)'!C25*1.2),IF(EGR!$D$3=25,('NOx Model (1)'!C25*1.25),IF(EGR!$D$3=30,('NOx Model (1)'!C25*1.3),IF(EGR!$D$3=35,('NOx Model (1)'!C25*1.35),IF(EGR!$D$3=40,('NOx Model (1)'!C25*1.4),IF(EGR!$D$3=45,('NOx Model (1)'!C25*1.45),IF(EGR!$D$3=50,('NOx Model (1)'!C25*1.5))))))))))))</f>
        <v>146.15278863627148</v>
      </c>
      <c r="E19" s="130">
        <f>IF(EGR!$D$3=0,(EGR!Y89*1),IF(EGR!$D$3=5,(EGR!Y89*1.05),IF(EGR!$D$3=10,(EGR!Y89*1.1),IF(EGR!$D$3=15,(EGR!Y89*1.15),IF(EGR!$D$3=20,(EGR!Y89*1.2),IF(EGR!$D$3=25,(EGR!Y89*1.25),IF(EGR!$D$3=30,(EGR!Y89*1.3),IF(EGR!$D$3=35,(EGR!Y89*1.35),IF(EGR!$D$3=40,(EGR!Y89*1.4),IF(EGR!$D$3=45,(EGR!Y89*1.45),IF(EGR!$D$3=50,(EGR!Y89*1.5))))))))))))</f>
        <v>148.86395999999999</v>
      </c>
      <c r="F19" s="71"/>
      <c r="G19" s="128">
        <f>IF(EGR!$D$3=0,('NOx Model (1)'!E25*1),IF(EGR!$D$3=5,('NOx Model (1)'!E25*1.05),IF(EGR!$D$3=10,('NOx Model (1)'!E25*1.1),IF(EGR!$D$3=15,('NOx Model (1)'!E25*1.15),IF(EGR!$D$3=20,('NOx Model (1)'!E25*1.2),IF(EGR!$D$3=25,('NOx Model (1)'!E25*1.25),IF(EGR!$D$3=30,('NOx Model (1)'!E25*1.3),IF(EGR!$D$3=35,('NOx Model (1)'!E25*1.35),IF(EGR!$D$3=40,('NOx Model (1)'!E25*1.4),IF(EGR!$D$3=45,('NOx Model (1)'!E25*1.45),IF(EGR!$D$3=50,('NOx Model (1)'!E25*1.5))))))))))))</f>
        <v>14.396108595653432</v>
      </c>
      <c r="H19" s="130">
        <f>IF(EGR!$D$3=0,(EGR!AA89*1),IF(EGR!$D$3=5,(EGR!AA89*1.05),IF(EGR!$D$3=10,(EGR!AA89*1.1),IF(EGR!$D$3=15,(EGR!AA89*1.15),IF(EGR!$D$3=20,(EGR!AA89*1.2),IF(EGR!$D$3=25,(EGR!AA89*1.25),IF(EGR!$D$3=30,(EGR!AA89*1.3),IF(EGR!$D$3=35,(EGR!AA89*1.35),IF(EGR!$D$3=40,(EGR!AA89*1.4),IF(EGR!$D$3=45,(EGR!AA89*1.45),IF(EGR!$D$3=50,(EGR!AA89*1.5))))))))))))</f>
        <v>5.6250000000000053</v>
      </c>
      <c r="I19" s="33"/>
      <c r="J19" s="128">
        <f>IF(EGR!$D$3=0,('NOx Model (1)'!G25*1),IF(EGR!$D$3=5,('NOx Model (1)'!G25*1.05),IF(EGR!$D$3=10,('NOx Model (1)'!G25*1.1),IF(EGR!$D$3=15,('NOx Model (1)'!G25*1.15),IF(EGR!$D$3=20,('NOx Model (1)'!G25*1.2),IF(EGR!$D$3=25,('NOx Model (1)'!G25*1.25),IF(EGR!$D$3=30,('NOx Model (1)'!G25*1.3),IF(EGR!$D$3=35,('NOx Model (1)'!G25*1.35),IF(EGR!$D$3=40,('NOx Model (1)'!G25*1.4),IF(EGR!$D$3=45,('NOx Model (1)'!G25*1.45),IF(EGR!$D$3=50,('NOx Model (1)'!G25*1.5))))))))))))</f>
        <v>17.645041828822521</v>
      </c>
      <c r="K19" s="130">
        <f>IF(EGR!$D$3=0,(EGR!AC89*1),IF(EGR!$D$3=5,(EGR!AC89*1.05),IF(EGR!$D$3=10,(EGR!AC89*1.1),IF(EGR!$D$3=15,(EGR!AC89*1.15),IF(EGR!$D$3=20,(EGR!AC89*1.2),IF(EGR!$D$3=25,(EGR!AC89*1.25),IF(EGR!$D$3=30,(EGR!AC89*1.3),IF(EGR!$D$3=35,(EGR!AC89*1.35),IF(EGR!$D$3=40,(EGR!AC89*1.4),IF(EGR!$D$3=45,(EGR!AC89*1.45),IF(EGR!$D$3=50,(EGR!AC89*1.5))))))))))))</f>
        <v>673.41599999999994</v>
      </c>
      <c r="L19" s="128">
        <f t="shared" si="0"/>
        <v>199.66305441045407</v>
      </c>
      <c r="M19" s="130">
        <f t="shared" si="1"/>
        <v>993.19295999999997</v>
      </c>
      <c r="N19" s="242">
        <v>700</v>
      </c>
      <c r="P19" s="71"/>
      <c r="R19" s="251">
        <f t="shared" si="4"/>
        <v>18</v>
      </c>
      <c r="S19" s="281">
        <f t="shared" si="5"/>
        <v>2215.2410297795454</v>
      </c>
      <c r="U19" s="271">
        <f t="shared" si="2"/>
        <v>8.8964178083149282E-7</v>
      </c>
      <c r="V19" s="277">
        <f t="shared" si="3"/>
        <v>3.558567123325971E-11</v>
      </c>
      <c r="X19" s="24"/>
      <c r="AC19" s="25"/>
      <c r="AD19" s="25"/>
      <c r="AE19" s="25"/>
      <c r="AF19" s="25"/>
      <c r="AG19" s="25"/>
      <c r="AH19" s="25"/>
      <c r="AI19" s="25"/>
      <c r="AJ19" s="25"/>
      <c r="AK19" s="25"/>
      <c r="AL19" s="25"/>
    </row>
    <row r="20" spans="2:38" x14ac:dyDescent="0.25">
      <c r="B20" s="128">
        <f>IF(EGR!$D$3=0,('NOx Model (1)'!A26*1),IF(EGR!$D$3=5,('NOx Model (1)'!A26*1.05),IF(EGR!$D$3=10,('NOx Model (1)'!A26*1.1),IF(EGR!$D$3=15,('NOx Model (1)'!A26*1.15),IF(EGR!$D$3=20,('NOx Model (1)'!A26*1.2),IF(EGR!$D$3=25,('NOx Model (1)'!A26*1.25),IF(EGR!$D$3=30,('NOx Model (1)'!A26*1.3),IF(EGR!$D$3=35,('NOx Model (1)'!A26*1.35),IF(EGR!$D$3=40,('NOx Model (1)'!A26*1.4),IF(EGR!$D$3=45,('NOx Model (1)'!A26*1.45),IF(EGR!$D$3=50,('NOx Model (1)'!A26*1.5))))))))))))</f>
        <v>24.994750407070864</v>
      </c>
      <c r="C20" s="130">
        <f>IF(EGR!$D$3=0,(EGR!W90*1),IF(EGR!$D$3=5,(EGR!W90*1.05),IF(EGR!$D$3=10,(EGR!W90*1.1),IF(EGR!$D$3=15,(EGR!W90*1.15),IF(EGR!$D$3=20,(EGR!W90*1.2),IF(EGR!$D$3=25,(EGR!W90*1.25),IF(EGR!$D$3=30,(EGR!W90*1.3),IF(EGR!$D$3=35,(EGR!W90*1.35),IF(EGR!$D$3=40,(EGR!W90*1.4),IF(EGR!$D$3=45,(EGR!W90*1.45),IF(EGR!$D$3=50,(EGR!W90*1.5))))))))))))</f>
        <v>188.56799999999998</v>
      </c>
      <c r="D20" s="132">
        <f>IF(EGR!$D$3=0,('NOx Model (1)'!C26*1),IF(EGR!$D$3=5,('NOx Model (1)'!C26*1.05),IF(EGR!$D$3=10,('NOx Model (1)'!C26*1.1),IF(EGR!$D$3=15,('NOx Model (1)'!C26*1.15),IF(EGR!$D$3=20,('NOx Model (1)'!C26*1.2),IF(EGR!$D$3=25,('NOx Model (1)'!C26*1.25),IF(EGR!$D$3=30,('NOx Model (1)'!C26*1.3),IF(EGR!$D$3=35,('NOx Model (1)'!C26*1.35),IF(EGR!$D$3=40,('NOx Model (1)'!C26*1.4),IF(EGR!$D$3=45,('NOx Model (1)'!C26*1.45),IF(EGR!$D$3=50,('NOx Model (1)'!C26*1.5))))))))))))</f>
        <v>167.11241535848652</v>
      </c>
      <c r="E20" s="130">
        <f>IF(EGR!$D$3=0,(EGR!Y90*1),IF(EGR!$D$3=5,(EGR!Y90*1.05),IF(EGR!$D$3=10,(EGR!Y90*1.1),IF(EGR!$D$3=15,(EGR!Y90*1.15),IF(EGR!$D$3=20,(EGR!Y90*1.2),IF(EGR!$D$3=25,(EGR!Y90*1.25),IF(EGR!$D$3=30,(EGR!Y90*1.3),IF(EGR!$D$3=35,(EGR!Y90*1.35),IF(EGR!$D$3=40,(EGR!Y90*1.4),IF(EGR!$D$3=45,(EGR!Y90*1.45),IF(EGR!$D$3=50,(EGR!Y90*1.5))))))))))))</f>
        <v>168.55884</v>
      </c>
      <c r="F20" s="71"/>
      <c r="G20" s="128">
        <f>IF(EGR!$D$3=0,('NOx Model (1)'!E26*1),IF(EGR!$D$3=5,('NOx Model (1)'!E26*1.05),IF(EGR!$D$3=10,('NOx Model (1)'!E26*1.1),IF(EGR!$D$3=15,('NOx Model (1)'!E26*1.15),IF(EGR!$D$3=20,('NOx Model (1)'!E26*1.2),IF(EGR!$D$3=25,('NOx Model (1)'!E26*1.25),IF(EGR!$D$3=30,('NOx Model (1)'!E26*1.3),IF(EGR!$D$3=35,('NOx Model (1)'!E26*1.35),IF(EGR!$D$3=40,('NOx Model (1)'!E26*1.4),IF(EGR!$D$3=45,('NOx Model (1)'!E26*1.45),IF(EGR!$D$3=50,('NOx Model (1)'!E26*1.5))))))))))))</f>
        <v>16.421739093831338</v>
      </c>
      <c r="H20" s="130">
        <f>IF(EGR!$D$3=0,(EGR!AA90*1),IF(EGR!$D$3=5,(EGR!AA90*1.05),IF(EGR!$D$3=10,(EGR!AA90*1.1),IF(EGR!$D$3=15,(EGR!AA90*1.15),IF(EGR!$D$3=20,(EGR!AA90*1.2),IF(EGR!$D$3=25,(EGR!AA90*1.25),IF(EGR!$D$3=30,(EGR!AA90*1.3),IF(EGR!$D$3=35,(EGR!AA90*1.35),IF(EGR!$D$3=40,(EGR!AA90*1.4),IF(EGR!$D$3=45,(EGR!AA90*1.45),IF(EGR!$D$3=50,(EGR!AA90*1.5))))))))))))</f>
        <v>6.3720000000000061</v>
      </c>
      <c r="I20" s="33"/>
      <c r="J20" s="128">
        <f>IF(EGR!$D$3=0,('NOx Model (1)'!G26*1),IF(EGR!$D$3=5,('NOx Model (1)'!G26*1.05),IF(EGR!$D$3=10,('NOx Model (1)'!G26*1.1),IF(EGR!$D$3=15,('NOx Model (1)'!G26*1.15),IF(EGR!$D$3=20,('NOx Model (1)'!G26*1.2),IF(EGR!$D$3=25,('NOx Model (1)'!G26*1.25),IF(EGR!$D$3=30,('NOx Model (1)'!G26*1.3),IF(EGR!$D$3=35,('NOx Model (1)'!G26*1.35),IF(EGR!$D$3=40,('NOx Model (1)'!G26*1.4),IF(EGR!$D$3=45,('NOx Model (1)'!G26*1.45),IF(EGR!$D$3=50,('NOx Model (1)'!G26*1.5))))))))))))</f>
        <v>21.558272894914435</v>
      </c>
      <c r="K20" s="130">
        <f>IF(EGR!$D$3=0,(EGR!AC90*1),IF(EGR!$D$3=5,(EGR!AC90*1.05),IF(EGR!$D$3=10,(EGR!AC90*1.1),IF(EGR!$D$3=15,(EGR!AC90*1.15),IF(EGR!$D$3=20,(EGR!AC90*1.2),IF(EGR!$D$3=25,(EGR!AC90*1.25),IF(EGR!$D$3=30,(EGR!AC90*1.3),IF(EGR!$D$3=35,(EGR!AC90*1.35),IF(EGR!$D$3=40,(EGR!AC90*1.4),IF(EGR!$D$3=45,(EGR!AC90*1.45),IF(EGR!$D$3=50,(EGR!AC90*1.5))))))))))))</f>
        <v>760.27200000000005</v>
      </c>
      <c r="L20" s="128">
        <f t="shared" si="0"/>
        <v>230.08717775430316</v>
      </c>
      <c r="M20" s="130">
        <f t="shared" si="1"/>
        <v>1123.7708400000001</v>
      </c>
      <c r="N20" s="242">
        <v>750</v>
      </c>
      <c r="P20" s="71"/>
      <c r="R20" s="251">
        <f t="shared" si="4"/>
        <v>20</v>
      </c>
      <c r="S20" s="281">
        <f t="shared" si="5"/>
        <v>2249.4146065685131</v>
      </c>
      <c r="U20" s="271">
        <f t="shared" si="2"/>
        <v>1.4166464007547261E-6</v>
      </c>
      <c r="V20" s="277">
        <f t="shared" si="3"/>
        <v>5.6665856030189038E-11</v>
      </c>
      <c r="X20" s="24"/>
      <c r="AC20" s="25"/>
      <c r="AD20" s="25"/>
      <c r="AE20" s="25"/>
      <c r="AF20" s="25"/>
      <c r="AG20" s="25"/>
      <c r="AH20" s="25"/>
      <c r="AI20" s="25"/>
      <c r="AJ20" s="25"/>
      <c r="AK20" s="25"/>
      <c r="AL20" s="25"/>
    </row>
    <row r="21" spans="2:38" x14ac:dyDescent="0.25">
      <c r="B21" s="128">
        <f>IF(EGR!$D$3=0,('NOx Model (1)'!A27*1),IF(EGR!$D$3=5,('NOx Model (1)'!A27*1.05),IF(EGR!$D$3=10,('NOx Model (1)'!A27*1.1),IF(EGR!$D$3=15,('NOx Model (1)'!A27*1.15),IF(EGR!$D$3=20,('NOx Model (1)'!A27*1.2),IF(EGR!$D$3=25,('NOx Model (1)'!A27*1.25),IF(EGR!$D$3=30,('NOx Model (1)'!A27*1.3),IF(EGR!$D$3=35,('NOx Model (1)'!A27*1.35),IF(EGR!$D$3=40,('NOx Model (1)'!A27*1.4),IF(EGR!$D$3=45,('NOx Model (1)'!A27*1.45),IF(EGR!$D$3=50,('NOx Model (1)'!A27*1.5))))))))))))</f>
        <v>28.774922556222585</v>
      </c>
      <c r="C21" s="130">
        <f>IF(EGR!$D$3=0,(EGR!W91*1),IF(EGR!$D$3=5,(EGR!W91*1.05),IF(EGR!$D$3=10,(EGR!W91*1.1),IF(EGR!$D$3=15,(EGR!W91*1.15),IF(EGR!$D$3=20,(EGR!W91*1.2),IF(EGR!$D$3=25,(EGR!W91*1.25),IF(EGR!$D$3=30,(EGR!W91*1.3),IF(EGR!$D$3=35,(EGR!W91*1.35),IF(EGR!$D$3=40,(EGR!W91*1.4),IF(EGR!$D$3=45,(EGR!W91*1.45),IF(EGR!$D$3=50,(EGR!W91*1.5))))))))))))</f>
        <v>212.40671999999998</v>
      </c>
      <c r="D21" s="132">
        <f>IF(EGR!$D$3=0,('NOx Model (1)'!C27*1),IF(EGR!$D$3=5,('NOx Model (1)'!C27*1.05),IF(EGR!$D$3=10,('NOx Model (1)'!C27*1.1),IF(EGR!$D$3=15,('NOx Model (1)'!C27*1.15),IF(EGR!$D$3=20,('NOx Model (1)'!C27*1.2),IF(EGR!$D$3=25,('NOx Model (1)'!C27*1.25),IF(EGR!$D$3=30,('NOx Model (1)'!C27*1.3),IF(EGR!$D$3=35,('NOx Model (1)'!C27*1.35),IF(EGR!$D$3=40,('NOx Model (1)'!C27*1.4),IF(EGR!$D$3=45,('NOx Model (1)'!C27*1.45),IF(EGR!$D$3=50,('NOx Model (1)'!C27*1.5))))))))))))</f>
        <v>188.64448109955671</v>
      </c>
      <c r="E21" s="130">
        <f>IF(EGR!$D$3=0,(EGR!Y91*1),IF(EGR!$D$3=5,(EGR!Y91*1.05),IF(EGR!$D$3=10,(EGR!Y91*1.1),IF(EGR!$D$3=15,(EGR!Y91*1.15),IF(EGR!$D$3=20,(EGR!Y91*1.2),IF(EGR!$D$3=25,(EGR!Y91*1.25),IF(EGR!$D$3=30,(EGR!Y91*1.3),IF(EGR!$D$3=35,(EGR!Y91*1.35),IF(EGR!$D$3=40,(EGR!Y91*1.4),IF(EGR!$D$3=45,(EGR!Y91*1.45),IF(EGR!$D$3=50,(EGR!Y91*1.5))))))))))))</f>
        <v>188.56800000000001</v>
      </c>
      <c r="F21" s="71"/>
      <c r="G21" s="128">
        <f>IF(EGR!$D$3=0,('NOx Model (1)'!E27*1),IF(EGR!$D$3=5,('NOx Model (1)'!E27*1.05),IF(EGR!$D$3=10,('NOx Model (1)'!E27*1.1),IF(EGR!$D$3=15,('NOx Model (1)'!E27*1.15),IF(EGR!$D$3=20,('NOx Model (1)'!E27*1.2),IF(EGR!$D$3=25,('NOx Model (1)'!E27*1.25),IF(EGR!$D$3=30,('NOx Model (1)'!E27*1.3),IF(EGR!$D$3=35,('NOx Model (1)'!E27*1.35),IF(EGR!$D$3=40,('NOx Model (1)'!E27*1.4),IF(EGR!$D$3=45,('NOx Model (1)'!E27*1.45),IF(EGR!$D$3=50,('NOx Model (1)'!E27*1.5))))))))))))</f>
        <v>18.474658277439453</v>
      </c>
      <c r="H21" s="130">
        <f>IF(EGR!$D$3=0,(EGR!AA91*1),IF(EGR!$D$3=5,(EGR!AA91*1.05),IF(EGR!$D$3=10,(EGR!AA91*1.1),IF(EGR!$D$3=15,(EGR!AA91*1.15),IF(EGR!$D$3=20,(EGR!AA91*1.2),IF(EGR!$D$3=25,(EGR!AA91*1.25),IF(EGR!$D$3=30,(EGR!AA91*1.3),IF(EGR!$D$3=35,(EGR!AA91*1.35),IF(EGR!$D$3=40,(EGR!AA91*1.4),IF(EGR!$D$3=45,(EGR!AA91*1.45),IF(EGR!$D$3=50,(EGR!AA91*1.5))))))))))))</f>
        <v>7.1280000000000054</v>
      </c>
      <c r="I21" s="33"/>
      <c r="J21" s="128">
        <f>IF(EGR!$D$3=0,('NOx Model (1)'!G27*1),IF(EGR!$D$3=5,('NOx Model (1)'!G27*1.05),IF(EGR!$D$3=10,('NOx Model (1)'!G27*1.1),IF(EGR!$D$3=15,('NOx Model (1)'!G27*1.15),IF(EGR!$D$3=20,('NOx Model (1)'!G27*1.2),IF(EGR!$D$3=25,('NOx Model (1)'!G27*1.25),IF(EGR!$D$3=30,('NOx Model (1)'!G27*1.3),IF(EGR!$D$3=35,('NOx Model (1)'!G27*1.35),IF(EGR!$D$3=40,('NOx Model (1)'!G27*1.4),IF(EGR!$D$3=45,('NOx Model (1)'!G27*1.45),IF(EGR!$D$3=50,('NOx Model (1)'!G27*1.5))))))))))))</f>
        <v>26.293966164687934</v>
      </c>
      <c r="K21" s="130">
        <f>IF(EGR!$D$3=0,(EGR!AC91*1),IF(EGR!$D$3=5,(EGR!AC91*1.05),IF(EGR!$D$3=10,(EGR!AC91*1.1),IF(EGR!$D$3=15,(EGR!AC91*1.15),IF(EGR!$D$3=20,(EGR!AC91*1.2),IF(EGR!$D$3=25,(EGR!AC91*1.25),IF(EGR!$D$3=30,(EGR!AC91*1.3),IF(EGR!$D$3=35,(EGR!AC91*1.35),IF(EGR!$D$3=40,(EGR!AC91*1.4),IF(EGR!$D$3=45,(EGR!AC91*1.45),IF(EGR!$D$3=50,(EGR!AC91*1.5))))))))))))</f>
        <v>848.25599999999997</v>
      </c>
      <c r="L21" s="128">
        <f t="shared" si="0"/>
        <v>262.18802809790668</v>
      </c>
      <c r="M21" s="130">
        <f t="shared" si="1"/>
        <v>1256.3587199999999</v>
      </c>
      <c r="N21" s="242">
        <v>800</v>
      </c>
      <c r="P21" s="71"/>
      <c r="R21" s="251">
        <f t="shared" si="4"/>
        <v>22</v>
      </c>
      <c r="S21" s="281">
        <f t="shared" si="5"/>
        <v>2280.7822932013041</v>
      </c>
      <c r="U21" s="271">
        <f t="shared" si="2"/>
        <v>2.1448108195543803E-6</v>
      </c>
      <c r="V21" s="277">
        <f t="shared" si="3"/>
        <v>8.5792432782175205E-11</v>
      </c>
      <c r="X21" s="24"/>
      <c r="AC21" s="25"/>
      <c r="AD21" s="25"/>
      <c r="AE21" s="25"/>
      <c r="AF21" s="25"/>
      <c r="AG21" s="25"/>
      <c r="AH21" s="25"/>
      <c r="AI21" s="25"/>
      <c r="AJ21" s="25"/>
      <c r="AK21" s="25"/>
      <c r="AL21" s="25"/>
    </row>
    <row r="22" spans="2:38" x14ac:dyDescent="0.25">
      <c r="B22" s="128">
        <f>IF(EGR!$D$3=0,('NOx Model (1)'!A28*1),IF(EGR!$D$3=5,('NOx Model (1)'!A28*1.05),IF(EGR!$D$3=10,('NOx Model (1)'!A28*1.1),IF(EGR!$D$3=15,('NOx Model (1)'!A28*1.15),IF(EGR!$D$3=20,('NOx Model (1)'!A28*1.2),IF(EGR!$D$3=25,('NOx Model (1)'!A28*1.25),IF(EGR!$D$3=30,('NOx Model (1)'!A28*1.3),IF(EGR!$D$3=35,('NOx Model (1)'!A28*1.35),IF(EGR!$D$3=40,('NOx Model (1)'!A28*1.4),IF(EGR!$D$3=45,('NOx Model (1)'!A28*1.45),IF(EGR!$D$3=50,('NOx Model (1)'!A28*1.5))))))))))))</f>
        <v>32.841046598063485</v>
      </c>
      <c r="C22" s="130">
        <f>IF(EGR!$D$3=0,(EGR!W92*1),IF(EGR!$D$3=5,(EGR!W92*1.05),IF(EGR!$D$3=10,(EGR!W92*1.1),IF(EGR!$D$3=15,(EGR!W92*1.15),IF(EGR!$D$3=20,(EGR!W92*1.2),IF(EGR!$D$3=25,(EGR!W92*1.25),IF(EGR!$D$3=30,(EGR!W92*1.3),IF(EGR!$D$3=35,(EGR!W92*1.35),IF(EGR!$D$3=40,(EGR!W92*1.4),IF(EGR!$D$3=45,(EGR!W92*1.45),IF(EGR!$D$3=50,(EGR!W92*1.5))))))))))))</f>
        <v>236.61792</v>
      </c>
      <c r="D22" s="132">
        <f>IF(EGR!$D$3=0,('NOx Model (1)'!C28*1),IF(EGR!$D$3=5,('NOx Model (1)'!C28*1.05),IF(EGR!$D$3=10,('NOx Model (1)'!C28*1.1),IF(EGR!$D$3=15,('NOx Model (1)'!C28*1.15),IF(EGR!$D$3=20,('NOx Model (1)'!C28*1.2),IF(EGR!$D$3=25,('NOx Model (1)'!C28*1.25),IF(EGR!$D$3=30,('NOx Model (1)'!C28*1.3),IF(EGR!$D$3=35,('NOx Model (1)'!C28*1.35),IF(EGR!$D$3=40,('NOx Model (1)'!C28*1.4),IF(EGR!$D$3=45,('NOx Model (1)'!C28*1.45),IF(EGR!$D$3=50,('NOx Model (1)'!C28*1.5))))))))))))</f>
        <v>210.64203548682326</v>
      </c>
      <c r="E22" s="130">
        <f>IF(EGR!$D$3=0,(EGR!Y92*1),IF(EGR!$D$3=5,(EGR!Y92*1.05),IF(EGR!$D$3=10,(EGR!Y92*1.1),IF(EGR!$D$3=15,(EGR!Y92*1.15),IF(EGR!$D$3=20,(EGR!Y92*1.2),IF(EGR!$D$3=25,(EGR!Y92*1.25),IF(EGR!$D$3=30,(EGR!Y92*1.3),IF(EGR!$D$3=35,(EGR!Y92*1.35),IF(EGR!$D$3=40,(EGR!Y92*1.4),IF(EGR!$D$3=45,(EGR!Y92*1.45),IF(EGR!$D$3=50,(EGR!Y92*1.5))))))))))))</f>
        <v>208.99619999999999</v>
      </c>
      <c r="F22" s="71"/>
      <c r="G22" s="128">
        <f>IF(EGR!$D$3=0,('NOx Model (1)'!E28*1),IF(EGR!$D$3=5,('NOx Model (1)'!E28*1.05),IF(EGR!$D$3=10,('NOx Model (1)'!E28*1.1),IF(EGR!$D$3=15,('NOx Model (1)'!E28*1.15),IF(EGR!$D$3=20,('NOx Model (1)'!E28*1.2),IF(EGR!$D$3=25,('NOx Model (1)'!E28*1.25),IF(EGR!$D$3=30,('NOx Model (1)'!E28*1.3),IF(EGR!$D$3=35,('NOx Model (1)'!E28*1.35),IF(EGR!$D$3=40,('NOx Model (1)'!E28*1.4),IF(EGR!$D$3=45,('NOx Model (1)'!E28*1.45),IF(EGR!$D$3=50,('NOx Model (1)'!E28*1.5))))))))))))</f>
        <v>20.537600463220613</v>
      </c>
      <c r="H22" s="130">
        <f>IF(EGR!$D$3=0,(EGR!AA92*1),IF(EGR!$D$3=5,(EGR!AA92*1.05),IF(EGR!$D$3=10,(EGR!AA92*1.1),IF(EGR!$D$3=15,(EGR!AA92*1.15),IF(EGR!$D$3=20,(EGR!AA92*1.2),IF(EGR!$D$3=25,(EGR!AA92*1.25),IF(EGR!$D$3=30,(EGR!AA92*1.3),IF(EGR!$D$3=35,(EGR!AA92*1.35),IF(EGR!$D$3=40,(EGR!AA92*1.4),IF(EGR!$D$3=45,(EGR!AA92*1.45),IF(EGR!$D$3=50,(EGR!AA92*1.5))))))))))))</f>
        <v>7.8885000000000076</v>
      </c>
      <c r="I22" s="33"/>
      <c r="J22" s="128">
        <f>IF(EGR!$D$3=0,('NOx Model (1)'!G28*1),IF(EGR!$D$3=5,('NOx Model (1)'!G28*1.05),IF(EGR!$D$3=10,('NOx Model (1)'!G28*1.1),IF(EGR!$D$3=15,('NOx Model (1)'!G28*1.15),IF(EGR!$D$3=20,('NOx Model (1)'!G28*1.2),IF(EGR!$D$3=25,('NOx Model (1)'!G28*1.25),IF(EGR!$D$3=30,('NOx Model (1)'!G28*1.3),IF(EGR!$D$3=35,('NOx Model (1)'!G28*1.35),IF(EGR!$D$3=40,('NOx Model (1)'!G28*1.4),IF(EGR!$D$3=45,('NOx Model (1)'!G28*1.45),IF(EGR!$D$3=50,('NOx Model (1)'!G28*1.5))))))))))))</f>
        <v>32.070582765241298</v>
      </c>
      <c r="K22" s="130">
        <f>IF(EGR!$D$3=0,(EGR!AC92*1),IF(EGR!$D$3=5,(EGR!AC92*1.05),IF(EGR!$D$3=10,(EGR!AC92*1.1),IF(EGR!$D$3=15,(EGR!AC92*1.15),IF(EGR!$D$3=20,(EGR!AC92*1.2),IF(EGR!$D$3=25,(EGR!AC92*1.25),IF(EGR!$D$3=30,(EGR!AC92*1.3),IF(EGR!$D$3=35,(EGR!AC92*1.35),IF(EGR!$D$3=40,(EGR!AC92*1.4),IF(EGR!$D$3=45,(EGR!AC92*1.45),IF(EGR!$D$3=50,(EGR!AC92*1.5))))))))))))</f>
        <v>937.36800000000005</v>
      </c>
      <c r="L22" s="128">
        <f t="shared" si="0"/>
        <v>296.09126531334863</v>
      </c>
      <c r="M22" s="130">
        <f t="shared" si="1"/>
        <v>1390.8706200000001</v>
      </c>
      <c r="N22" s="242">
        <v>850</v>
      </c>
      <c r="P22" s="71"/>
      <c r="R22" s="251">
        <f t="shared" si="4"/>
        <v>24</v>
      </c>
      <c r="S22" s="281">
        <f t="shared" si="5"/>
        <v>2309.8005385979823</v>
      </c>
      <c r="U22" s="271">
        <f t="shared" si="2"/>
        <v>3.1165100906903311E-6</v>
      </c>
      <c r="V22" s="277">
        <f t="shared" si="3"/>
        <v>1.2466040362761323E-10</v>
      </c>
      <c r="X22" s="24"/>
      <c r="AC22" s="25"/>
      <c r="AD22" s="25"/>
      <c r="AE22" s="25"/>
      <c r="AF22" s="25"/>
      <c r="AG22" s="25"/>
      <c r="AH22" s="25"/>
      <c r="AI22" s="25"/>
      <c r="AJ22" s="25"/>
      <c r="AK22" s="25"/>
      <c r="AL22" s="25"/>
    </row>
    <row r="23" spans="2:38" ht="15.75" customHeight="1" x14ac:dyDescent="0.25">
      <c r="B23" s="128">
        <f>IF(EGR!$D$3=0,('NOx Model (1)'!A29*1),IF(EGR!$D$3=5,('NOx Model (1)'!A29*1.05),IF(EGR!$D$3=10,('NOx Model (1)'!A29*1.1),IF(EGR!$D$3=15,('NOx Model (1)'!A29*1.15),IF(EGR!$D$3=20,('NOx Model (1)'!A29*1.2),IF(EGR!$D$3=25,('NOx Model (1)'!A29*1.25),IF(EGR!$D$3=30,('NOx Model (1)'!A29*1.3),IF(EGR!$D$3=35,('NOx Model (1)'!A29*1.35),IF(EGR!$D$3=40,('NOx Model (1)'!A29*1.4),IF(EGR!$D$3=45,('NOx Model (1)'!A29*1.45),IF(EGR!$D$3=50,('NOx Model (1)'!A29*1.5))))))))))))</f>
        <v>37.237765107743677</v>
      </c>
      <c r="C23" s="130">
        <f>IF(EGR!$D$3=0,(EGR!W93*1),IF(EGR!$D$3=5,(EGR!W93*1.05),IF(EGR!$D$3=10,(EGR!W93*1.1),IF(EGR!$D$3=15,(EGR!W93*1.15),IF(EGR!$D$3=20,(EGR!W93*1.2),IF(EGR!$D$3=25,(EGR!W93*1.25),IF(EGR!$D$3=30,(EGR!W93*1.3),IF(EGR!$D$3=35,(EGR!W93*1.35),IF(EGR!$D$3=40,(EGR!W93*1.4),IF(EGR!$D$3=45,(EGR!W93*1.45),IF(EGR!$D$3=50,(EGR!W93*1.5))))))))))))</f>
        <v>261.20159999999998</v>
      </c>
      <c r="D23" s="132">
        <f>IF(EGR!$D$3=0,('NOx Model (1)'!C29*1),IF(EGR!$D$3=5,('NOx Model (1)'!C29*1.05),IF(EGR!$D$3=10,('NOx Model (1)'!C29*1.1),IF(EGR!$D$3=15,('NOx Model (1)'!C29*1.15),IF(EGR!$D$3=20,('NOx Model (1)'!C29*1.2),IF(EGR!$D$3=25,('NOx Model (1)'!C29*1.25),IF(EGR!$D$3=30,('NOx Model (1)'!C29*1.3),IF(EGR!$D$3=35,('NOx Model (1)'!C29*1.35),IF(EGR!$D$3=40,('NOx Model (1)'!C29*1.4),IF(EGR!$D$3=45,('NOx Model (1)'!C29*1.45),IF(EGR!$D$3=50,('NOx Model (1)'!C29*1.5))))))))))))</f>
        <v>233.01685906330596</v>
      </c>
      <c r="E23" s="130">
        <f>IF(EGR!$D$3=0,(EGR!Y93*1),IF(EGR!$D$3=5,(EGR!Y93*1.05),IF(EGR!$D$3=10,(EGR!Y93*1.1),IF(EGR!$D$3=15,(EGR!Y93*1.15),IF(EGR!$D$3=20,(EGR!Y93*1.2),IF(EGR!$D$3=25,(EGR!Y93*1.25),IF(EGR!$D$3=30,(EGR!Y93*1.3),IF(EGR!$D$3=35,(EGR!Y93*1.35),IF(EGR!$D$3=40,(EGR!Y93*1.4),IF(EGR!$D$3=45,(EGR!Y93*1.45),IF(EGR!$D$3=50,(EGR!Y93*1.5))))))))))))</f>
        <v>229.73868000000002</v>
      </c>
      <c r="F23" s="71"/>
      <c r="G23" s="128">
        <f>IF(EGR!$D$3=0,('NOx Model (1)'!E29*1),IF(EGR!$D$3=5,('NOx Model (1)'!E29*1.05),IF(EGR!$D$3=10,('NOx Model (1)'!E29*1.1),IF(EGR!$D$3=15,('NOx Model (1)'!E29*1.15),IF(EGR!$D$3=20,('NOx Model (1)'!E29*1.2),IF(EGR!$D$3=25,('NOx Model (1)'!E29*1.25),IF(EGR!$D$3=30,('NOx Model (1)'!E29*1.3),IF(EGR!$D$3=35,('NOx Model (1)'!E29*1.35),IF(EGR!$D$3=40,('NOx Model (1)'!E29*1.4),IF(EGR!$D$3=45,('NOx Model (1)'!E29*1.45),IF(EGR!$D$3=50,('NOx Model (1)'!E29*1.5))))))))))))</f>
        <v>22.594489969656596</v>
      </c>
      <c r="H23" s="130">
        <f>IF(EGR!$D$3=0,(EGR!AA93*1),IF(EGR!$D$3=5,(EGR!AA93*1.05),IF(EGR!$D$3=10,(EGR!AA93*1.1),IF(EGR!$D$3=15,(EGR!AA93*1.15),IF(EGR!$D$3=20,(EGR!AA93*1.2),IF(EGR!$D$3=25,(EGR!AA93*1.25),IF(EGR!$D$3=30,(EGR!AA93*1.3),IF(EGR!$D$3=35,(EGR!AA93*1.35),IF(EGR!$D$3=40,(EGR!AA93*1.4),IF(EGR!$D$3=45,(EGR!AA93*1.45),IF(EGR!$D$3=50,(EGR!AA93*1.5))))))))))))</f>
        <v>8.6625000000000068</v>
      </c>
      <c r="I23" s="33"/>
      <c r="J23" s="128">
        <f>IF(EGR!$D$3=0,('NOx Model (1)'!G29*1),IF(EGR!$D$3=5,('NOx Model (1)'!G29*1.05),IF(EGR!$D$3=10,('NOx Model (1)'!G29*1.1),IF(EGR!$D$3=15,('NOx Model (1)'!G29*1.15),IF(EGR!$D$3=20,('NOx Model (1)'!G29*1.2),IF(EGR!$D$3=25,('NOx Model (1)'!G29*1.25),IF(EGR!$D$3=30,('NOx Model (1)'!G29*1.3),IF(EGR!$D$3=35,('NOx Model (1)'!G29*1.35),IF(EGR!$D$3=40,('NOx Model (1)'!G29*1.4),IF(EGR!$D$3=45,('NOx Model (1)'!G29*1.45),IF(EGR!$D$3=50,('NOx Model (1)'!G29*1.5))))))))))))</f>
        <v>39.155779401697025</v>
      </c>
      <c r="K23" s="130">
        <f>IF(EGR!$D$3=0,(EGR!AC93*1),IF(EGR!$D$3=5,(EGR!AC93*1.05),IF(EGR!$D$3=10,(EGR!AC93*1.1),IF(EGR!$D$3=15,(EGR!AC93*1.15),IF(EGR!$D$3=20,(EGR!AC93*1.2),IF(EGR!$D$3=25,(EGR!AC93*1.25),IF(EGR!$D$3=30,(EGR!AC93*1.3),IF(EGR!$D$3=35,(EGR!AC93*1.35),IF(EGR!$D$3=40,(EGR!AC93*1.4),IF(EGR!$D$3=45,(EGR!AC93*1.45),IF(EGR!$D$3=50,(EGR!AC93*1.5))))))))))))</f>
        <v>1027.6079999999999</v>
      </c>
      <c r="L23" s="128">
        <f t="shared" si="0"/>
        <v>332.00489354240324</v>
      </c>
      <c r="M23" s="130">
        <f t="shared" si="1"/>
        <v>1527.2107799999999</v>
      </c>
      <c r="N23" s="242">
        <v>900</v>
      </c>
      <c r="P23" s="71"/>
      <c r="R23" s="251">
        <f t="shared" si="4"/>
        <v>26</v>
      </c>
      <c r="S23" s="281">
        <f t="shared" si="5"/>
        <v>2336.8206545975113</v>
      </c>
      <c r="U23" s="271">
        <f t="shared" si="2"/>
        <v>4.376735394026874E-6</v>
      </c>
      <c r="V23" s="277">
        <f t="shared" si="3"/>
        <v>1.7506941576107495E-10</v>
      </c>
      <c r="X23" s="24"/>
      <c r="AC23" s="25"/>
      <c r="AD23" s="25"/>
      <c r="AE23" s="25"/>
      <c r="AF23" s="25"/>
      <c r="AG23" s="25"/>
      <c r="AH23" s="25"/>
      <c r="AI23" s="25"/>
      <c r="AJ23" s="25"/>
      <c r="AK23" s="25"/>
      <c r="AL23" s="25"/>
    </row>
    <row r="24" spans="2:38" x14ac:dyDescent="0.25">
      <c r="B24" s="128">
        <f>IF(EGR!$D$3=0,('NOx Model (1)'!A30*1),IF(EGR!$D$3=5,('NOx Model (1)'!A30*1.05),IF(EGR!$D$3=10,('NOx Model (1)'!A30*1.1),IF(EGR!$D$3=15,('NOx Model (1)'!A30*1.15),IF(EGR!$D$3=20,('NOx Model (1)'!A30*1.2),IF(EGR!$D$3=25,('NOx Model (1)'!A30*1.25),IF(EGR!$D$3=30,('NOx Model (1)'!A30*1.3),IF(EGR!$D$3=35,('NOx Model (1)'!A30*1.35),IF(EGR!$D$3=40,('NOx Model (1)'!A30*1.4),IF(EGR!$D$3=45,('NOx Model (1)'!A30*1.45),IF(EGR!$D$3=50,('NOx Model (1)'!A30*1.5))))))))))))</f>
        <v>42.023994704817838</v>
      </c>
      <c r="C24" s="130">
        <f>IF(EGR!$D$3=0,(EGR!W94*1),IF(EGR!$D$3=5,(EGR!W94*1.05),IF(EGR!$D$3=10,(EGR!W94*1.1),IF(EGR!$D$3=15,(EGR!W94*1.15),IF(EGR!$D$3=20,(EGR!W94*1.2),IF(EGR!$D$3=25,(EGR!W94*1.25),IF(EGR!$D$3=30,(EGR!W94*1.3),IF(EGR!$D$3=35,(EGR!W94*1.35),IF(EGR!$D$3=40,(EGR!W94*1.4),IF(EGR!$D$3=45,(EGR!W94*1.45),IF(EGR!$D$3=50,(EGR!W94*1.5))))))))))))</f>
        <v>286.06463999999994</v>
      </c>
      <c r="D24" s="132">
        <f>IF(EGR!$D$3=0,('NOx Model (1)'!C30*1),IF(EGR!$D$3=5,('NOx Model (1)'!C30*1.05),IF(EGR!$D$3=10,('NOx Model (1)'!C30*1.1),IF(EGR!$D$3=15,('NOx Model (1)'!C30*1.15),IF(EGR!$D$3=20,('NOx Model (1)'!C30*1.2),IF(EGR!$D$3=25,('NOx Model (1)'!C30*1.25),IF(EGR!$D$3=30,('NOx Model (1)'!C30*1.3),IF(EGR!$D$3=35,('NOx Model (1)'!C30*1.35),IF(EGR!$D$3=40,('NOx Model (1)'!C30*1.4),IF(EGR!$D$3=45,('NOx Model (1)'!C30*1.45),IF(EGR!$D$3=50,('NOx Model (1)'!C30*1.5))))))))))))</f>
        <v>255.69761637376425</v>
      </c>
      <c r="E24" s="130">
        <f>IF(EGR!$D$3=0,(EGR!Y94*1),IF(EGR!$D$3=5,(EGR!Y94*1.05),IF(EGR!$D$3=10,(EGR!Y94*1.1),IF(EGR!$D$3=15,(EGR!Y94*1.15),IF(EGR!$D$3=20,(EGR!Y94*1.2),IF(EGR!$D$3=25,(EGR!Y94*1.25),IF(EGR!$D$3=30,(EGR!Y94*1.3),IF(EGR!$D$3=35,(EGR!Y94*1.35),IF(EGR!$D$3=40,(EGR!Y94*1.4),IF(EGR!$D$3=45,(EGR!Y94*1.45),IF(EGR!$D$3=50,(EGR!Y94*1.5))))))))))))</f>
        <v>250.79544000000001</v>
      </c>
      <c r="F24" s="71"/>
      <c r="G24" s="128">
        <f>IF(EGR!$D$3=0,('NOx Model (1)'!E30*1),IF(EGR!$D$3=5,('NOx Model (1)'!E30*1.05),IF(EGR!$D$3=10,('NOx Model (1)'!E30*1.1),IF(EGR!$D$3=15,('NOx Model (1)'!E30*1.15),IF(EGR!$D$3=20,('NOx Model (1)'!E30*1.2),IF(EGR!$D$3=25,('NOx Model (1)'!E30*1.25),IF(EGR!$D$3=30,('NOx Model (1)'!E30*1.3),IF(EGR!$D$3=35,('NOx Model (1)'!E30*1.35),IF(EGR!$D$3=40,('NOx Model (1)'!E30*1.4),IF(EGR!$D$3=45,('NOx Model (1)'!E30*1.45),IF(EGR!$D$3=50,('NOx Model (1)'!E30*1.5))))))))))))</f>
        <v>24.630107193414446</v>
      </c>
      <c r="H24" s="130">
        <f>IF(EGR!$D$3=0,(EGR!AA94*1),IF(EGR!$D$3=5,(EGR!AA94*1.05),IF(EGR!$D$3=10,(EGR!AA94*1.1),IF(EGR!$D$3=15,(EGR!AA94*1.15),IF(EGR!$D$3=20,(EGR!AA94*1.2),IF(EGR!$D$3=25,(EGR!AA94*1.25),IF(EGR!$D$3=30,(EGR!AA94*1.3),IF(EGR!$D$3=35,(EGR!AA94*1.35),IF(EGR!$D$3=40,(EGR!AA94*1.4),IF(EGR!$D$3=45,(EGR!AA94*1.45),IF(EGR!$D$3=50,(EGR!AA94*1.5))))))))))))</f>
        <v>9.4410000000000078</v>
      </c>
      <c r="I24" s="33"/>
      <c r="J24" s="128">
        <f>IF(EGR!$D$3=0,('NOx Model (1)'!G30*1),IF(EGR!$D$3=5,('NOx Model (1)'!G30*1.05),IF(EGR!$D$3=10,('NOx Model (1)'!G30*1.1),IF(EGR!$D$3=15,('NOx Model (1)'!G30*1.15),IF(EGR!$D$3=20,('NOx Model (1)'!G30*1.2),IF(EGR!$D$3=25,('NOx Model (1)'!G30*1.25),IF(EGR!$D$3=30,('NOx Model (1)'!G30*1.3),IF(EGR!$D$3=35,('NOx Model (1)'!G30*1.35),IF(EGR!$D$3=40,('NOx Model (1)'!G30*1.4),IF(EGR!$D$3=45,('NOx Model (1)'!G30*1.45),IF(EGR!$D$3=50,('NOx Model (1)'!G30*1.5))))))))))))</f>
        <v>47.872305050963959</v>
      </c>
      <c r="K24" s="130">
        <f>IF(EGR!$D$3=0,(EGR!AC94*1),IF(EGR!$D$3=5,(EGR!AC94*1.05),IF(EGR!$D$3=10,(EGR!AC94*1.1),IF(EGR!$D$3=15,(EGR!AC94*1.15),IF(EGR!$D$3=20,(EGR!AC94*1.2),IF(EGR!$D$3=25,(EGR!AC94*1.25),IF(EGR!$D$3=30,(EGR!AC94*1.3),IF(EGR!$D$3=35,(EGR!AC94*1.35),IF(EGR!$D$3=40,(EGR!AC94*1.4),IF(EGR!$D$3=45,(EGR!AC94*1.45),IF(EGR!$D$3=50,(EGR!AC94*1.5))))))))))))</f>
        <v>1118.9759999999999</v>
      </c>
      <c r="L24" s="128">
        <f t="shared" si="0"/>
        <v>370.22402332296053</v>
      </c>
      <c r="M24" s="130">
        <f t="shared" si="1"/>
        <v>1665.2770799999998</v>
      </c>
      <c r="N24" s="242">
        <v>950</v>
      </c>
      <c r="P24" s="71"/>
      <c r="R24" s="251">
        <f t="shared" si="4"/>
        <v>28</v>
      </c>
      <c r="S24" s="281">
        <f t="shared" si="5"/>
        <v>2362.1190906236002</v>
      </c>
      <c r="U24" s="271">
        <f t="shared" si="2"/>
        <v>5.9727770622611892E-6</v>
      </c>
      <c r="V24" s="277">
        <f t="shared" si="3"/>
        <v>2.3891108249044753E-10</v>
      </c>
      <c r="X24" s="24"/>
      <c r="AC24" s="25"/>
      <c r="AD24" s="25"/>
      <c r="AE24" s="25"/>
      <c r="AF24" s="25"/>
      <c r="AG24" s="25"/>
      <c r="AH24" s="25"/>
      <c r="AI24" s="25"/>
      <c r="AJ24" s="25"/>
      <c r="AK24" s="25"/>
      <c r="AL24" s="25"/>
    </row>
    <row r="25" spans="2:38" x14ac:dyDescent="0.25">
      <c r="B25" s="128">
        <f>IF(EGR!$D$3=0,('NOx Model (1)'!A31*1),IF(EGR!$D$3=5,('NOx Model (1)'!A31*1.05),IF(EGR!$D$3=10,('NOx Model (1)'!A31*1.1),IF(EGR!$D$3=15,('NOx Model (1)'!A31*1.15),IF(EGR!$D$3=20,('NOx Model (1)'!A31*1.2),IF(EGR!$D$3=25,('NOx Model (1)'!A31*1.25),IF(EGR!$D$3=30,('NOx Model (1)'!A31*1.3),IF(EGR!$D$3=35,('NOx Model (1)'!A31*1.35),IF(EGR!$D$3=40,('NOx Model (1)'!A31*1.4),IF(EGR!$D$3=45,('NOx Model (1)'!A31*1.45),IF(EGR!$D$3=50,('NOx Model (1)'!A31*1.5))))))))))))</f>
        <v>47.27406402882913</v>
      </c>
      <c r="C25" s="130">
        <f>IF(EGR!$D$3=0,(EGR!W95*1),IF(EGR!$D$3=5,(EGR!W95*1.05),IF(EGR!$D$3=10,(EGR!W95*1.1),IF(EGR!$D$3=15,(EGR!W95*1.15),IF(EGR!$D$3=20,(EGR!W95*1.2),IF(EGR!$D$3=25,(EGR!W95*1.25),IF(EGR!$D$3=30,(EGR!W95*1.3),IF(EGR!$D$3=35,(EGR!W95*1.35),IF(EGR!$D$3=40,(EGR!W95*1.4),IF(EGR!$D$3=45,(EGR!W95*1.45),IF(EGR!$D$3=50,(EGR!W95*1.5))))))))))))</f>
        <v>311.20704000000001</v>
      </c>
      <c r="D25" s="132">
        <f>IF(EGR!$D$3=0,('NOx Model (1)'!C31*1),IF(EGR!$D$3=5,('NOx Model (1)'!C31*1.05),IF(EGR!$D$3=10,('NOx Model (1)'!C31*1.1),IF(EGR!$D$3=15,('NOx Model (1)'!C31*1.15),IF(EGR!$D$3=20,('NOx Model (1)'!C31*1.2),IF(EGR!$D$3=25,('NOx Model (1)'!C31*1.25),IF(EGR!$D$3=30,('NOx Model (1)'!C31*1.3),IF(EGR!$D$3=35,('NOx Model (1)'!C31*1.35),IF(EGR!$D$3=40,('NOx Model (1)'!C31*1.4),IF(EGR!$D$3=45,('NOx Model (1)'!C31*1.45),IF(EGR!$D$3=50,('NOx Model (1)'!C31*1.5))))))))))))</f>
        <v>278.62808904853176</v>
      </c>
      <c r="E25" s="130">
        <f>IF(EGR!$D$3=0,(EGR!Y95*1),IF(EGR!$D$3=5,(EGR!Y95*1.05),IF(EGR!$D$3=10,(EGR!Y95*1.1),IF(EGR!$D$3=15,(EGR!Y95*1.15),IF(EGR!$D$3=20,(EGR!Y95*1.2),IF(EGR!$D$3=25,(EGR!Y95*1.25),IF(EGR!$D$3=30,(EGR!Y95*1.3),IF(EGR!$D$3=35,(EGR!Y95*1.35),IF(EGR!$D$3=40,(EGR!Y95*1.4),IF(EGR!$D$3=45,(EGR!Y95*1.45),IF(EGR!$D$3=50,(EGR!Y95*1.5))))))))))))</f>
        <v>272.27123999999998</v>
      </c>
      <c r="F25" s="71"/>
      <c r="G25" s="128">
        <f>IF(EGR!$D$3=0,('NOx Model (1)'!E31*1),IF(EGR!$D$3=5,('NOx Model (1)'!E31*1.05),IF(EGR!$D$3=10,('NOx Model (1)'!E31*1.1),IF(EGR!$D$3=15,('NOx Model (1)'!E31*1.15),IF(EGR!$D$3=20,('NOx Model (1)'!E31*1.2),IF(EGR!$D$3=25,('NOx Model (1)'!E31*1.25),IF(EGR!$D$3=30,('NOx Model (1)'!E31*1.3),IF(EGR!$D$3=35,('NOx Model (1)'!E31*1.35),IF(EGR!$D$3=40,('NOx Model (1)'!E31*1.4),IF(EGR!$D$3=45,('NOx Model (1)'!E31*1.45),IF(EGR!$D$3=50,('NOx Model (1)'!E31*1.5))))))))))))</f>
        <v>26.629755781963503</v>
      </c>
      <c r="H25" s="130">
        <f>IF(EGR!$D$3=0,(EGR!AA95*1),IF(EGR!$D$3=5,(EGR!AA95*1.05),IF(EGR!$D$3=10,(EGR!AA95*1.1),IF(EGR!$D$3=15,(EGR!AA95*1.15),IF(EGR!$D$3=20,(EGR!AA95*1.2),IF(EGR!$D$3=25,(EGR!AA95*1.25),IF(EGR!$D$3=30,(EGR!AA95*1.3),IF(EGR!$D$3=35,(EGR!AA95*1.35),IF(EGR!$D$3=40,(EGR!AA95*1.4),IF(EGR!$D$3=45,(EGR!AA95*1.45),IF(EGR!$D$3=50,(EGR!AA95*1.5))))))))))))</f>
        <v>10.224000000000007</v>
      </c>
      <c r="I25" s="33"/>
      <c r="J25" s="128">
        <f>IF(EGR!$D$3=0,('NOx Model (1)'!G31*1),IF(EGR!$D$3=5,('NOx Model (1)'!G31*1.05),IF(EGR!$D$3=10,('NOx Model (1)'!G31*1.1),IF(EGR!$D$3=15,('NOx Model (1)'!G31*1.15),IF(EGR!$D$3=20,('NOx Model (1)'!G31*1.2),IF(EGR!$D$3=25,('NOx Model (1)'!G31*1.25),IF(EGR!$D$3=30,('NOx Model (1)'!G31*1.3),IF(EGR!$D$3=35,('NOx Model (1)'!G31*1.35),IF(EGR!$D$3=40,('NOx Model (1)'!G31*1.4),IF(EGR!$D$3=45,('NOx Model (1)'!G31*1.45),IF(EGR!$D$3=50,('NOx Model (1)'!G31*1.5))))))))))))</f>
        <v>58.604274400163995</v>
      </c>
      <c r="K25" s="130">
        <f>IF(EGR!$D$3=0,(EGR!AC95*1),IF(EGR!$D$3=5,(EGR!AC95*1.05),IF(EGR!$D$3=10,(EGR!AC95*1.1),IF(EGR!$D$3=15,(EGR!AC95*1.15),IF(EGR!$D$3=20,(EGR!AC95*1.2),IF(EGR!$D$3=25,(EGR!AC95*1.25),IF(EGR!$D$3=30,(EGR!AC95*1.3),IF(EGR!$D$3=35,(EGR!AC95*1.35),IF(EGR!$D$3=40,(EGR!AC95*1.4),IF(EGR!$D$3=45,(EGR!AC95*1.45),IF(EGR!$D$3=50,(EGR!AC95*1.5))))))))))))</f>
        <v>1210.9079999999999</v>
      </c>
      <c r="L25" s="128">
        <f t="shared" si="0"/>
        <v>411.1361832594884</v>
      </c>
      <c r="M25" s="130">
        <f t="shared" si="1"/>
        <v>1804.6102799999999</v>
      </c>
      <c r="N25" s="243">
        <v>1000</v>
      </c>
      <c r="P25" s="71"/>
      <c r="R25" s="251">
        <f t="shared" si="4"/>
        <v>30</v>
      </c>
      <c r="S25" s="281">
        <f t="shared" si="5"/>
        <v>2385.9174875520644</v>
      </c>
      <c r="U25" s="271">
        <f t="shared" si="2"/>
        <v>7.9539404811554542E-6</v>
      </c>
      <c r="V25" s="277">
        <f t="shared" si="3"/>
        <v>3.1815761924621813E-10</v>
      </c>
      <c r="X25" s="24"/>
      <c r="AC25" s="25"/>
      <c r="AD25" s="25"/>
      <c r="AE25" s="25"/>
      <c r="AF25" s="25"/>
      <c r="AG25" s="25"/>
      <c r="AH25" s="25"/>
      <c r="AI25" s="25"/>
      <c r="AJ25" s="25"/>
      <c r="AK25" s="25"/>
      <c r="AL25" s="25"/>
    </row>
    <row r="26" spans="2:38" x14ac:dyDescent="0.25">
      <c r="B26" s="128">
        <f>IF(EGR!$D$3=0,('NOx Model (1)'!A32*1),IF(EGR!$D$3=5,('NOx Model (1)'!A32*1.05),IF(EGR!$D$3=10,('NOx Model (1)'!A32*1.1),IF(EGR!$D$3=15,('NOx Model (1)'!A32*1.15),IF(EGR!$D$3=20,('NOx Model (1)'!A32*1.2),IF(EGR!$D$3=25,('NOx Model (1)'!A32*1.25),IF(EGR!$D$3=30,('NOx Model (1)'!A32*1.3),IF(EGR!$D$3=35,('NOx Model (1)'!A32*1.35),IF(EGR!$D$3=40,('NOx Model (1)'!A32*1.4),IF(EGR!$D$3=45,('NOx Model (1)'!A32*1.45),IF(EGR!$D$3=50,('NOx Model (1)'!A32*1.5))))))))))))</f>
        <v>53.078943420320684</v>
      </c>
      <c r="C26" s="130">
        <f>IF(EGR!$D$3=0,(EGR!W96*1),IF(EGR!$D$3=5,(EGR!W96*1.05),IF(EGR!$D$3=10,(EGR!W96*1.1),IF(EGR!$D$3=15,(EGR!W96*1.15),IF(EGR!$D$3=20,(EGR!W96*1.2),IF(EGR!$D$3=25,(EGR!W96*1.25),IF(EGR!$D$3=30,(EGR!W96*1.3),IF(EGR!$D$3=35,(EGR!W96*1.35),IF(EGR!$D$3=40,(EGR!W96*1.4),IF(EGR!$D$3=45,(EGR!W96*1.45),IF(EGR!$D$3=50,(EGR!W96*1.5))))))))))))</f>
        <v>336.62880000000001</v>
      </c>
      <c r="D26" s="132">
        <f>IF(EGR!$D$3=0,('NOx Model (1)'!C32*1),IF(EGR!$D$3=5,('NOx Model (1)'!C32*1.05),IF(EGR!$D$3=10,('NOx Model (1)'!C32*1.1),IF(EGR!$D$3=15,('NOx Model (1)'!C32*1.15),IF(EGR!$D$3=20,('NOx Model (1)'!C32*1.2),IF(EGR!$D$3=25,('NOx Model (1)'!C32*1.25),IF(EGR!$D$3=30,('NOx Model (1)'!C32*1.3),IF(EGR!$D$3=35,('NOx Model (1)'!C32*1.35),IF(EGR!$D$3=40,('NOx Model (1)'!C32*1.4),IF(EGR!$D$3=45,('NOx Model (1)'!C32*1.45),IF(EGR!$D$3=50,('NOx Model (1)'!C32*1.5))))))))))))</f>
        <v>301.76548888512804</v>
      </c>
      <c r="E26" s="130">
        <f>IF(EGR!$D$3=0,(EGR!Y96*1),IF(EGR!$D$3=5,(EGR!Y96*1.05),IF(EGR!$D$3=10,(EGR!Y96*1.1),IF(EGR!$D$3=15,(EGR!Y96*1.15),IF(EGR!$D$3=20,(EGR!Y96*1.2),IF(EGR!$D$3=25,(EGR!Y96*1.25),IF(EGR!$D$3=30,(EGR!Y96*1.3),IF(EGR!$D$3=35,(EGR!Y96*1.35),IF(EGR!$D$3=40,(EGR!Y96*1.4),IF(EGR!$D$3=45,(EGR!Y96*1.45),IF(EGR!$D$3=50,(EGR!Y96*1.5))))))))))))</f>
        <v>294.06132000000002</v>
      </c>
      <c r="F26" s="71"/>
      <c r="G26" s="128">
        <f>IF(EGR!$D$3=0,('NOx Model (1)'!E32*1),IF(EGR!$D$3=5,('NOx Model (1)'!E32*1.05),IF(EGR!$D$3=10,('NOx Model (1)'!E32*1.1),IF(EGR!$D$3=15,('NOx Model (1)'!E32*1.15),IF(EGR!$D$3=20,('NOx Model (1)'!E32*1.2),IF(EGR!$D$3=25,('NOx Model (1)'!E32*1.25),IF(EGR!$D$3=30,('NOx Model (1)'!E32*1.3),IF(EGR!$D$3=35,('NOx Model (1)'!E32*1.35),IF(EGR!$D$3=40,('NOx Model (1)'!E32*1.4),IF(EGR!$D$3=45,('NOx Model (1)'!E32*1.45),IF(EGR!$D$3=50,('NOx Model (1)'!E32*1.5))))))))))))</f>
        <v>28.578930902364014</v>
      </c>
      <c r="H26" s="130">
        <f>IF(EGR!$D$3=0,(EGR!AA96*1),IF(EGR!$D$3=5,(EGR!AA96*1.05),IF(EGR!$D$3=10,(EGR!AA96*1.1),IF(EGR!$D$3=15,(EGR!AA96*1.15),IF(EGR!$D$3=20,(EGR!AA96*1.2),IF(EGR!$D$3=25,(EGR!AA96*1.25),IF(EGR!$D$3=30,(EGR!AA96*1.3),IF(EGR!$D$3=35,(EGR!AA96*1.35),IF(EGR!$D$3=40,(EGR!AA96*1.4),IF(EGR!$D$3=45,(EGR!AA96*1.45),IF(EGR!$D$3=50,(EGR!AA96*1.5))))))))))))</f>
        <v>11.011500000000011</v>
      </c>
      <c r="I26" s="33"/>
      <c r="J26" s="128">
        <f>IF(EGR!$D$3=0,('NOx Model (1)'!G32*1),IF(EGR!$D$3=5,('NOx Model (1)'!G32*1.05),IF(EGR!$D$3=10,('NOx Model (1)'!G32*1.1),IF(EGR!$D$3=15,('NOx Model (1)'!G32*1.15),IF(EGR!$D$3=20,('NOx Model (1)'!G32*1.2),IF(EGR!$D$3=25,('NOx Model (1)'!G32*1.25),IF(EGR!$D$3=30,('NOx Model (1)'!G32*1.3),IF(EGR!$D$3=35,('NOx Model (1)'!G32*1.35),IF(EGR!$D$3=40,('NOx Model (1)'!G32*1.4),IF(EGR!$D$3=45,('NOx Model (1)'!G32*1.45),IF(EGR!$D$3=50,('NOx Model (1)'!G32*1.5))))))))))))</f>
        <v>71.803818029723146</v>
      </c>
      <c r="K26" s="130">
        <f>IF(EGR!$D$3=0,(EGR!AC96*1),IF(EGR!$D$3=5,(EGR!AC96*1.05),IF(EGR!$D$3=10,(EGR!AC96*1.1),IF(EGR!$D$3=15,(EGR!AC96*1.15),IF(EGR!$D$3=20,(EGR!AC96*1.2),IF(EGR!$D$3=25,(EGR!AC96*1.25),IF(EGR!$D$3=30,(EGR!AC96*1.3),IF(EGR!$D$3=35,(EGR!AC96*1.35),IF(EGR!$D$3=40,(EGR!AC96*1.4),IF(EGR!$D$3=45,(EGR!AC96*1.45),IF(EGR!$D$3=50,(EGR!AC96*1.5))))))))))))</f>
        <v>1303.404</v>
      </c>
      <c r="L26" s="128">
        <f t="shared" si="0"/>
        <v>455.22718123753589</v>
      </c>
      <c r="M26" s="130">
        <f t="shared" si="1"/>
        <v>1945.1056199999998</v>
      </c>
      <c r="N26" s="243">
        <v>1050</v>
      </c>
      <c r="P26" s="71"/>
      <c r="R26" s="251">
        <f t="shared" si="4"/>
        <v>32</v>
      </c>
      <c r="S26" s="281">
        <f t="shared" si="5"/>
        <v>2408.3964030941006</v>
      </c>
      <c r="U26" s="271">
        <f t="shared" si="2"/>
        <v>1.037129198665224E-5</v>
      </c>
      <c r="V26" s="277">
        <f t="shared" si="3"/>
        <v>4.1485167946608956E-10</v>
      </c>
      <c r="X26" s="24"/>
      <c r="AC26" s="25"/>
      <c r="AD26" s="25"/>
      <c r="AE26" s="25"/>
      <c r="AF26" s="25"/>
      <c r="AG26" s="25"/>
      <c r="AH26" s="25"/>
      <c r="AI26" s="25"/>
      <c r="AJ26" s="25"/>
      <c r="AK26" s="25"/>
      <c r="AL26" s="25"/>
    </row>
    <row r="27" spans="2:38" x14ac:dyDescent="0.25">
      <c r="B27" s="128">
        <f>IF(EGR!$D$3=0,('NOx Model (1)'!A33*1),IF(EGR!$D$3=5,('NOx Model (1)'!A33*1.05),IF(EGR!$D$3=10,('NOx Model (1)'!A33*1.1),IF(EGR!$D$3=15,('NOx Model (1)'!A33*1.15),IF(EGR!$D$3=20,('NOx Model (1)'!A33*1.2),IF(EGR!$D$3=25,('NOx Model (1)'!A33*1.25),IF(EGR!$D$3=30,('NOx Model (1)'!A33*1.3),IF(EGR!$D$3=35,('NOx Model (1)'!A33*1.35),IF(EGR!$D$3=40,('NOx Model (1)'!A33*1.4),IF(EGR!$D$3=45,('NOx Model (1)'!A33*1.45),IF(EGR!$D$3=50,('NOx Model (1)'!A33*1.5))))))))))))</f>
        <v>59.547566307274678</v>
      </c>
      <c r="C27" s="130">
        <f>IF(EGR!$D$3=0,(EGR!W97*1),IF(EGR!$D$3=5,(EGR!W97*1.05),IF(EGR!$D$3=10,(EGR!W97*1.1),IF(EGR!$D$3=15,(EGR!W97*1.15),IF(EGR!$D$3=20,(EGR!W97*1.2),IF(EGR!$D$3=25,(EGR!W97*1.25),IF(EGR!$D$3=30,(EGR!W97*1.3),IF(EGR!$D$3=35,(EGR!W97*1.35),IF(EGR!$D$3=40,(EGR!W97*1.4),IF(EGR!$D$3=45,(EGR!W97*1.45),IF(EGR!$D$3=50,(EGR!W97*1.5))))))))))))</f>
        <v>362.3299199999999</v>
      </c>
      <c r="D27" s="132">
        <f>IF(EGR!$D$3=0,('NOx Model (1)'!C33*1),IF(EGR!$D$3=5,('NOx Model (1)'!C33*1.05),IF(EGR!$D$3=10,('NOx Model (1)'!C33*1.1),IF(EGR!$D$3=15,('NOx Model (1)'!C33*1.15),IF(EGR!$D$3=20,('NOx Model (1)'!C33*1.2),IF(EGR!$D$3=25,('NOx Model (1)'!C33*1.25),IF(EGR!$D$3=30,('NOx Model (1)'!C33*1.3),IF(EGR!$D$3=35,('NOx Model (1)'!C33*1.35),IF(EGR!$D$3=40,('NOx Model (1)'!C33*1.4),IF(EGR!$D$3=45,('NOx Model (1)'!C33*1.45),IF(EGR!$D$3=50,('NOx Model (1)'!C33*1.5))))))))))))</f>
        <v>325.07885092764474</v>
      </c>
      <c r="E27" s="130">
        <f>IF(EGR!$D$3=0,(EGR!Y97*1),IF(EGR!$D$3=5,(EGR!Y97*1.05),IF(EGR!$D$3=10,(EGR!Y97*1.1),IF(EGR!$D$3=15,(EGR!Y97*1.15),IF(EGR!$D$3=20,(EGR!Y97*1.2),IF(EGR!$D$3=25,(EGR!Y97*1.25),IF(EGR!$D$3=30,(EGR!Y97*1.3),IF(EGR!$D$3=35,(EGR!Y97*1.35),IF(EGR!$D$3=40,(EGR!Y97*1.4),IF(EGR!$D$3=45,(EGR!Y97*1.45),IF(EGR!$D$3=50,(EGR!Y97*1.5))))))))))))</f>
        <v>316.27044000000006</v>
      </c>
      <c r="F27" s="71"/>
      <c r="G27" s="128">
        <f>IF(EGR!$D$3=0,('NOx Model (1)'!E33*1),IF(EGR!$D$3=5,('NOx Model (1)'!E33*1.05),IF(EGR!$D$3=10,('NOx Model (1)'!E33*1.1),IF(EGR!$D$3=15,('NOx Model (1)'!E33*1.15),IF(EGR!$D$3=20,('NOx Model (1)'!E33*1.2),IF(EGR!$D$3=25,('NOx Model (1)'!E33*1.25),IF(EGR!$D$3=30,('NOx Model (1)'!E33*1.3),IF(EGR!$D$3=35,('NOx Model (1)'!E33*1.35),IF(EGR!$D$3=40,('NOx Model (1)'!E33*1.4),IF(EGR!$D$3=45,('NOx Model (1)'!E33*1.45),IF(EGR!$D$3=50,('NOx Model (1)'!E33*1.5))))))))))))</f>
        <v>30.462988606226652</v>
      </c>
      <c r="H27" s="130">
        <f>IF(EGR!$D$3=0,(EGR!AA97*1),IF(EGR!$D$3=5,(EGR!AA97*1.05),IF(EGR!$D$3=10,(EGR!AA97*1.1),IF(EGR!$D$3=15,(EGR!AA97*1.15),IF(EGR!$D$3=20,(EGR!AA97*1.2),IF(EGR!$D$3=25,(EGR!AA97*1.25),IF(EGR!$D$3=30,(EGR!AA97*1.3),IF(EGR!$D$3=35,(EGR!AA97*1.35),IF(EGR!$D$3=40,(EGR!AA97*1.4),IF(EGR!$D$3=45,(EGR!AA97*1.45),IF(EGR!$D$3=50,(EGR!AA97*1.5))))))))))))</f>
        <v>11.80350000000001</v>
      </c>
      <c r="I27" s="33"/>
      <c r="J27" s="128">
        <f>IF(EGR!$D$3=0,('NOx Model (1)'!G33*1),IF(EGR!$D$3=5,('NOx Model (1)'!G33*1.05),IF(EGR!$D$3=10,('NOx Model (1)'!G33*1.1),IF(EGR!$D$3=15,('NOx Model (1)'!G33*1.15),IF(EGR!$D$3=20,('NOx Model (1)'!G33*1.2),IF(EGR!$D$3=25,('NOx Model (1)'!G33*1.25),IF(EGR!$D$3=30,('NOx Model (1)'!G33*1.3),IF(EGR!$D$3=35,('NOx Model (1)'!G33*1.35),IF(EGR!$D$3=40,('NOx Model (1)'!G33*1.4),IF(EGR!$D$3=45,('NOx Model (1)'!G33*1.45),IF(EGR!$D$3=50,('NOx Model (1)'!G33*1.5))))))))))))</f>
        <v>87.998109341127247</v>
      </c>
      <c r="K27" s="130">
        <f>IF(EGR!$D$3=0,(EGR!AC97*1),IF(EGR!$D$3=5,(EGR!AC97*1.05),IF(EGR!$D$3=10,(EGR!AC97*1.1),IF(EGR!$D$3=15,(EGR!AC97*1.15),IF(EGR!$D$3=20,(EGR!AC97*1.2),IF(EGR!$D$3=25,(EGR!AC97*1.25),IF(EGR!$D$3=30,(EGR!AC97*1.3),IF(EGR!$D$3=35,(EGR!AC97*1.35),IF(EGR!$D$3=40,(EGR!AC97*1.4),IF(EGR!$D$3=45,(EGR!AC97*1.45),IF(EGR!$D$3=50,(EGR!AC97*1.5))))))))))))</f>
        <v>1397.028</v>
      </c>
      <c r="L27" s="128">
        <f t="shared" si="0"/>
        <v>503.08751518227331</v>
      </c>
      <c r="M27" s="130">
        <f t="shared" si="1"/>
        <v>2087.4318599999997</v>
      </c>
      <c r="N27" s="243">
        <v>1100</v>
      </c>
      <c r="P27" s="71"/>
      <c r="R27" s="251">
        <f t="shared" si="4"/>
        <v>34</v>
      </c>
      <c r="S27" s="281">
        <f t="shared" si="5"/>
        <v>2429.7049709684948</v>
      </c>
      <c r="U27" s="271">
        <f t="shared" si="2"/>
        <v>1.3277431794159181E-5</v>
      </c>
      <c r="V27" s="277">
        <f t="shared" si="3"/>
        <v>5.3109727176636716E-10</v>
      </c>
      <c r="X27" s="24"/>
      <c r="AC27" s="25"/>
      <c r="AD27" s="25"/>
      <c r="AE27" s="25"/>
      <c r="AF27" s="25"/>
      <c r="AG27" s="25"/>
      <c r="AH27" s="25"/>
      <c r="AI27" s="25"/>
      <c r="AJ27" s="25"/>
      <c r="AK27" s="25"/>
      <c r="AL27" s="25"/>
    </row>
    <row r="28" spans="2:38" x14ac:dyDescent="0.25">
      <c r="B28" s="128">
        <f>IF(EGR!$D$3=0,('NOx Model (1)'!A34*1),IF(EGR!$D$3=5,('NOx Model (1)'!A34*1.05),IF(EGR!$D$3=10,('NOx Model (1)'!A34*1.1),IF(EGR!$D$3=15,('NOx Model (1)'!A34*1.15),IF(EGR!$D$3=20,('NOx Model (1)'!A34*1.2),IF(EGR!$D$3=25,('NOx Model (1)'!A34*1.25),IF(EGR!$D$3=30,('NOx Model (1)'!A34*1.3),IF(EGR!$D$3=35,('NOx Model (1)'!A34*1.35),IF(EGR!$D$3=40,('NOx Model (1)'!A34*1.4),IF(EGR!$D$3=45,('NOx Model (1)'!A34*1.45),IF(EGR!$D$3=50,('NOx Model (1)'!A34*1.5))))))))))))</f>
        <v>66.808242296979444</v>
      </c>
      <c r="C28" s="130">
        <f>IF(EGR!$D$3=0,(EGR!W98*1),IF(EGR!$D$3=5,(EGR!W98*1.05),IF(EGR!$D$3=10,(EGR!W98*1.1),IF(EGR!$D$3=15,(EGR!W98*1.15),IF(EGR!$D$3=20,(EGR!W98*1.2),IF(EGR!$D$3=25,(EGR!W98*1.25),IF(EGR!$D$3=30,(EGR!W98*1.3),IF(EGR!$D$3=35,(EGR!W98*1.35),IF(EGR!$D$3=40,(EGR!W98*1.4),IF(EGR!$D$3=45,(EGR!W98*1.45),IF(EGR!$D$3=50,(EGR!W98*1.5))))))))))))</f>
        <v>388.21727999999996</v>
      </c>
      <c r="D28" s="132">
        <f>IF(EGR!$D$3=0,('NOx Model (1)'!C34*1),IF(EGR!$D$3=5,('NOx Model (1)'!C34*1.05),IF(EGR!$D$3=10,('NOx Model (1)'!C34*1.1),IF(EGR!$D$3=15,('NOx Model (1)'!C34*1.15),IF(EGR!$D$3=20,('NOx Model (1)'!C34*1.2),IF(EGR!$D$3=25,('NOx Model (1)'!C34*1.25),IF(EGR!$D$3=30,('NOx Model (1)'!C34*1.3),IF(EGR!$D$3=35,('NOx Model (1)'!C34*1.35),IF(EGR!$D$3=40,('NOx Model (1)'!C34*1.4),IF(EGR!$D$3=45,('NOx Model (1)'!C34*1.45),IF(EGR!$D$3=50,('NOx Model (1)'!C34*1.5))))))))))))</f>
        <v>348.54750654390915</v>
      </c>
      <c r="E28" s="130">
        <f>IF(EGR!$D$3=0,(EGR!Y98*1),IF(EGR!$D$3=5,(EGR!Y98*1.05),IF(EGR!$D$3=10,(EGR!Y98*1.1),IF(EGR!$D$3=15,(EGR!Y98*1.15),IF(EGR!$D$3=20,(EGR!Y98*1.2),IF(EGR!$D$3=25,(EGR!Y98*1.25),IF(EGR!$D$3=30,(EGR!Y98*1.3),IF(EGR!$D$3=35,(EGR!Y98*1.35),IF(EGR!$D$3=40,(EGR!Y98*1.4),IF(EGR!$D$3=45,(EGR!Y98*1.45),IF(EGR!$D$3=50,(EGR!Y98*1.5))))))))))))</f>
        <v>338.79384000000005</v>
      </c>
      <c r="F28" s="71"/>
      <c r="G28" s="128">
        <f>IF(EGR!$D$3=0,('NOx Model (1)'!E34*1),IF(EGR!$D$3=5,('NOx Model (1)'!E34*1.05),IF(EGR!$D$3=10,('NOx Model (1)'!E34*1.1),IF(EGR!$D$3=15,('NOx Model (1)'!E34*1.15),IF(EGR!$D$3=20,('NOx Model (1)'!E34*1.2),IF(EGR!$D$3=25,('NOx Model (1)'!E34*1.25),IF(EGR!$D$3=30,('NOx Model (1)'!E34*1.3),IF(EGR!$D$3=35,('NOx Model (1)'!E34*1.35),IF(EGR!$D$3=40,('NOx Model (1)'!E34*1.4),IF(EGR!$D$3=45,('NOx Model (1)'!E34*1.45),IF(EGR!$D$3=50,('NOx Model (1)'!E34*1.5))))))))))))</f>
        <v>32.266816290843337</v>
      </c>
      <c r="H28" s="130">
        <f>IF(EGR!$D$3=0,(EGR!AA98*1),IF(EGR!$D$3=5,(EGR!AA98*1.05),IF(EGR!$D$3=10,(EGR!AA98*1.1),IF(EGR!$D$3=15,(EGR!AA98*1.15),IF(EGR!$D$3=20,(EGR!AA98*1.2),IF(EGR!$D$3=25,(EGR!AA98*1.25),IF(EGR!$D$3=30,(EGR!AA98*1.3),IF(EGR!$D$3=35,(EGR!AA98*1.35),IF(EGR!$D$3=40,(EGR!AA98*1.4),IF(EGR!$D$3=45,(EGR!AA98*1.45),IF(EGR!$D$3=50,(EGR!AA98*1.5))))))))))))</f>
        <v>12.60000000000001</v>
      </c>
      <c r="I28" s="33"/>
      <c r="J28" s="128">
        <f>IF(EGR!$D$3=0,('NOx Model (1)'!G34*1),IF(EGR!$D$3=5,('NOx Model (1)'!G34*1.05),IF(EGR!$D$3=10,('NOx Model (1)'!G34*1.1),IF(EGR!$D$3=15,('NOx Model (1)'!G34*1.15),IF(EGR!$D$3=20,('NOx Model (1)'!G34*1.2),IF(EGR!$D$3=25,('NOx Model (1)'!G34*1.25),IF(EGR!$D$3=30,('NOx Model (1)'!G34*1.3),IF(EGR!$D$3=35,('NOx Model (1)'!G34*1.35),IF(EGR!$D$3=40,('NOx Model (1)'!G34*1.4),IF(EGR!$D$3=45,('NOx Model (1)'!G34*1.45),IF(EGR!$D$3=50,('NOx Model (1)'!G34*1.5))))))))))))</f>
        <v>107.79676822934213</v>
      </c>
      <c r="K28" s="130">
        <f>IF(EGR!$D$3=0,(EGR!AC98*1),IF(EGR!$D$3=5,(EGR!AC98*1.05),IF(EGR!$D$3=10,(EGR!AC98*1.1),IF(EGR!$D$3=15,(EGR!AC98*1.15),IF(EGR!$D$3=20,(EGR!AC98*1.2),IF(EGR!$D$3=25,(EGR!AC98*1.25),IF(EGR!$D$3=30,(EGR!AC98*1.3),IF(EGR!$D$3=35,(EGR!AC98*1.35),IF(EGR!$D$3=40,(EGR!AC98*1.4),IF(EGR!$D$3=45,(EGR!AC98*1.45),IF(EGR!$D$3=50,(EGR!AC98*1.5))))))))))))</f>
        <v>1491.2160000000001</v>
      </c>
      <c r="L28" s="128">
        <f t="shared" si="0"/>
        <v>555.41933336107411</v>
      </c>
      <c r="M28" s="130">
        <f t="shared" si="1"/>
        <v>2230.8271199999999</v>
      </c>
      <c r="N28" s="243">
        <v>1150</v>
      </c>
      <c r="P28" s="71"/>
      <c r="R28" s="251">
        <f t="shared" si="4"/>
        <v>36</v>
      </c>
      <c r="S28" s="281">
        <f t="shared" si="5"/>
        <v>2449.9678635078908</v>
      </c>
      <c r="U28" s="271">
        <f t="shared" si="2"/>
        <v>1.6726291112809577E-5</v>
      </c>
      <c r="V28" s="277">
        <f t="shared" si="3"/>
        <v>6.6905164451238299E-10</v>
      </c>
      <c r="X28" s="24"/>
      <c r="AC28" s="25"/>
      <c r="AD28" s="25"/>
      <c r="AE28" s="25"/>
      <c r="AF28" s="25"/>
      <c r="AG28" s="25"/>
      <c r="AH28" s="25"/>
      <c r="AI28" s="25"/>
      <c r="AK28" s="25"/>
      <c r="AL28" s="25"/>
    </row>
    <row r="29" spans="2:38" ht="15.75" thickBot="1" x14ac:dyDescent="0.3">
      <c r="B29" s="128">
        <f>IF(EGR!$D$3=0,('NOx Model (1)'!A35*1),IF(EGR!$D$3=5,('NOx Model (1)'!A35*1.05),IF(EGR!$D$3=10,('NOx Model (1)'!A35*1.1),IF(EGR!$D$3=15,('NOx Model (1)'!A35*1.15),IF(EGR!$D$3=20,('NOx Model (1)'!A35*1.2),IF(EGR!$D$3=25,('NOx Model (1)'!A35*1.25),IF(EGR!$D$3=30,('NOx Model (1)'!A35*1.3),IF(EGR!$D$3=35,('NOx Model (1)'!A35*1.35),IF(EGR!$D$3=40,('NOx Model (1)'!A35*1.4),IF(EGR!$D$3=45,('NOx Model (1)'!A35*1.45),IF(EGR!$D$3=50,('NOx Model (1)'!A35*1.5))))))))))))</f>
        <v>75.010161973323392</v>
      </c>
      <c r="C29" s="130">
        <f>IF(EGR!$D$3=0,(EGR!W99*1),IF(EGR!$D$3=5,(EGR!W99*1.05),IF(EGR!$D$3=10,(EGR!W99*1.1),IF(EGR!$D$3=15,(EGR!W99*1.15),IF(EGR!$D$3=20,(EGR!W99*1.2),IF(EGR!$D$3=25,(EGR!W99*1.25),IF(EGR!$D$3=30,(EGR!W99*1.3),IF(EGR!$D$3=35,(EGR!W99*1.35),IF(EGR!$D$3=40,(EGR!W99*1.4),IF(EGR!$D$3=45,(EGR!W99*1.45),IF(EGR!$D$3=50,(EGR!W99*1.5))))))))))))</f>
        <v>414.29088000000002</v>
      </c>
      <c r="D29" s="132">
        <f>IF(EGR!$D$3=0,('NOx Model (1)'!C35*1),IF(EGR!$D$3=5,('NOx Model (1)'!C35*1.05),IF(EGR!$D$3=10,('NOx Model (1)'!C35*1.1),IF(EGR!$D$3=15,('NOx Model (1)'!C35*1.15),IF(EGR!$D$3=20,('NOx Model (1)'!C35*1.2),IF(EGR!$D$3=25,('NOx Model (1)'!C35*1.25),IF(EGR!$D$3=30,('NOx Model (1)'!C35*1.3),IF(EGR!$D$3=35,('NOx Model (1)'!C35*1.35),IF(EGR!$D$3=40,('NOx Model (1)'!C35*1.4),IF(EGR!$D$3=45,('NOx Model (1)'!C35*1.45),IF(EGR!$D$3=50,('NOx Model (1)'!C35*1.5))))))))))))</f>
        <v>372.15963650042016</v>
      </c>
      <c r="E29" s="130">
        <f>IF(EGR!$D$3=0,(EGR!Y99*1),IF(EGR!$D$3=5,(EGR!Y99*1.05),IF(EGR!$D$3=10,(EGR!Y99*1.1),IF(EGR!$D$3=15,(EGR!Y99*1.15),IF(EGR!$D$3=20,(EGR!Y99*1.2),IF(EGR!$D$3=25,(EGR!Y99*1.25),IF(EGR!$D$3=30,(EGR!Y99*1.3),IF(EGR!$D$3=35,(EGR!Y99*1.35),IF(EGR!$D$3=40,(EGR!Y99*1.4),IF(EGR!$D$3=45,(EGR!Y99*1.45),IF(EGR!$D$3=50,(EGR!Y99*1.5))))))))))))</f>
        <v>361.63152000000008</v>
      </c>
      <c r="F29" s="71"/>
      <c r="G29" s="128">
        <f>IF(EGR!$D$3=0,('NOx Model (1)'!E35*1),IF(EGR!$D$3=5,('NOx Model (1)'!E35*1.05),IF(EGR!$D$3=10,('NOx Model (1)'!E35*1.1),IF(EGR!$D$3=15,('NOx Model (1)'!E35*1.15),IF(EGR!$D$3=20,('NOx Model (1)'!E35*1.2),IF(EGR!$D$3=25,('NOx Model (1)'!E35*1.25),IF(EGR!$D$3=30,('NOx Model (1)'!E35*1.3),IF(EGR!$D$3=35,('NOx Model (1)'!E35*1.35),IF(EGR!$D$3=40,('NOx Model (1)'!E35*1.4),IF(EGR!$D$3=45,('NOx Model (1)'!E35*1.45),IF(EGR!$D$3=50,('NOx Model (1)'!E35*1.5))))))))))))</f>
        <v>33.974504256488977</v>
      </c>
      <c r="H29" s="130">
        <f>IF(EGR!$D$3=0,(EGR!AA99*1),IF(EGR!$D$3=5,(EGR!AA99*1.05),IF(EGR!$D$3=10,(EGR!AA99*1.1),IF(EGR!$D$3=15,(EGR!AA99*1.15),IF(EGR!$D$3=20,(EGR!AA99*1.2),IF(EGR!$D$3=25,(EGR!AA99*1.25),IF(EGR!$D$3=30,(EGR!AA99*1.3),IF(EGR!$D$3=35,(EGR!AA99*1.35),IF(EGR!$D$3=40,(EGR!AA99*1.4),IF(EGR!$D$3=45,(EGR!AA99*1.45),IF(EGR!$D$3=50,(EGR!AA99*1.5))))))))))))</f>
        <v>13.39650000000001</v>
      </c>
      <c r="I29" s="33"/>
      <c r="J29" s="128">
        <f>IF(EGR!$D$3=0,('NOx Model (1)'!G35*1),IF(EGR!$D$3=5,('NOx Model (1)'!G35*1.05),IF(EGR!$D$3=10,('NOx Model (1)'!G35*1.1),IF(EGR!$D$3=15,('NOx Model (1)'!G35*1.15),IF(EGR!$D$3=20,('NOx Model (1)'!G35*1.2),IF(EGR!$D$3=25,('NOx Model (1)'!G35*1.25),IF(EGR!$D$3=30,('NOx Model (1)'!G35*1.3),IF(EGR!$D$3=35,('NOx Model (1)'!G35*1.35),IF(EGR!$D$3=40,('NOx Model (1)'!G35*1.4),IF(EGR!$D$3=45,('NOx Model (1)'!G35*1.45),IF(EGR!$D$3=50,('NOx Model (1)'!G35*1.5))))))))))))</f>
        <v>131.89964149989817</v>
      </c>
      <c r="K29" s="130">
        <f>IF(EGR!$D$3=0,(EGR!AC99*1),IF(EGR!$D$3=5,(EGR!AC99*1.05),IF(EGR!$D$3=10,(EGR!AC99*1.1),IF(EGR!$D$3=15,(EGR!AC99*1.15),IF(EGR!$D$3=20,(EGR!AC99*1.2),IF(EGR!$D$3=25,(EGR!AC99*1.25),IF(EGR!$D$3=30,(EGR!AC99*1.3),IF(EGR!$D$3=35,(EGR!AC99*1.35),IF(EGR!$D$3=40,(EGR!AC99*1.4),IF(EGR!$D$3=45,(EGR!AC99*1.45),IF(EGR!$D$3=50,(EGR!AC99*1.5))))))))))))</f>
        <v>1585.9680000000001</v>
      </c>
      <c r="L29" s="128">
        <f t="shared" si="0"/>
        <v>613.04394423013059</v>
      </c>
      <c r="M29" s="130">
        <f t="shared" si="1"/>
        <v>2375.2869000000001</v>
      </c>
      <c r="N29" s="243">
        <v>1200</v>
      </c>
      <c r="P29" s="71"/>
      <c r="R29" s="251">
        <f t="shared" si="4"/>
        <v>38</v>
      </c>
      <c r="S29" s="281">
        <f t="shared" si="5"/>
        <v>2469.2904164424504</v>
      </c>
      <c r="U29" s="271">
        <f t="shared" si="2"/>
        <v>2.0772950809328569E-5</v>
      </c>
      <c r="V29" s="277">
        <f t="shared" si="3"/>
        <v>8.3091803237314269E-10</v>
      </c>
      <c r="X29" s="362"/>
      <c r="AC29" s="25"/>
      <c r="AD29" s="25"/>
      <c r="AE29" s="25"/>
      <c r="AF29" s="25"/>
      <c r="AG29" s="25"/>
      <c r="AH29" s="25"/>
      <c r="AI29" s="25"/>
      <c r="AJ29" s="362"/>
      <c r="AK29" s="25"/>
      <c r="AL29" s="25"/>
    </row>
    <row r="30" spans="2:38" ht="15.75" thickBot="1" x14ac:dyDescent="0.3">
      <c r="B30" s="128">
        <f>IF(EGR!$D$3=0,('NOx Model (1)'!A36*1),IF(EGR!$D$3=5,('NOx Model (1)'!A36*1.05),IF(EGR!$D$3=10,('NOx Model (1)'!A36*1.1),IF(EGR!$D$3=15,('NOx Model (1)'!A36*1.15),IF(EGR!$D$3=20,('NOx Model (1)'!A36*1.2),IF(EGR!$D$3=25,('NOx Model (1)'!A36*1.25),IF(EGR!$D$3=30,('NOx Model (1)'!A36*1.3),IF(EGR!$D$3=35,('NOx Model (1)'!A36*1.35),IF(EGR!$D$3=40,('NOx Model (1)'!A36*1.4),IF(EGR!$D$3=45,('NOx Model (1)'!A36*1.45),IF(EGR!$D$3=50,('NOx Model (1)'!A36*1.5))))))))))))</f>
        <v>84.324993399517709</v>
      </c>
      <c r="C30" s="130">
        <f>IF(EGR!$D$3=0,(EGR!W100*1),IF(EGR!$D$3=5,(EGR!W100*1.05),IF(EGR!$D$3=10,(EGR!W100*1.1),IF(EGR!$D$3=15,(EGR!W100*1.15),IF(EGR!$D$3=20,(EGR!W100*1.2),IF(EGR!$D$3=25,(EGR!W100*1.25),IF(EGR!$D$3=30,(EGR!W100*1.3),IF(EGR!$D$3=35,(EGR!W100*1.35),IF(EGR!$D$3=40,(EGR!W100*1.4),IF(EGR!$D$3=45,(EGR!W100*1.45),IF(EGR!$D$3=50,(EGR!W100*1.5))))))))))))</f>
        <v>440.55072000000001</v>
      </c>
      <c r="D30" s="132">
        <f>IF(EGR!$D$3=0,('NOx Model (1)'!C36*1),IF(EGR!$D$3=5,('NOx Model (1)'!C36*1.05),IF(EGR!$D$3=10,('NOx Model (1)'!C36*1.1),IF(EGR!$D$3=15,('NOx Model (1)'!C36*1.15),IF(EGR!$D$3=20,('NOx Model (1)'!C36*1.2),IF(EGR!$D$3=25,('NOx Model (1)'!C36*1.25),IF(EGR!$D$3=30,('NOx Model (1)'!C36*1.3),IF(EGR!$D$3=35,('NOx Model (1)'!C36*1.35),IF(EGR!$D$3=40,('NOx Model (1)'!C36*1.4),IF(EGR!$D$3=45,('NOx Model (1)'!C36*1.45),IF(EGR!$D$3=50,('NOx Model (1)'!C36*1.5))))))))))))</f>
        <v>395.91090403506286</v>
      </c>
      <c r="E30" s="130">
        <f>IF(EGR!$D$3=0,(EGR!Y100*1),IF(EGR!$D$3=5,(EGR!Y100*1.05),IF(EGR!$D$3=10,(EGR!Y100*1.1),IF(EGR!$D$3=15,(EGR!Y100*1.15),IF(EGR!$D$3=20,(EGR!Y100*1.2),IF(EGR!$D$3=25,(EGR!Y100*1.25),IF(EGR!$D$3=30,(EGR!Y100*1.3),IF(EGR!$D$3=35,(EGR!Y100*1.35),IF(EGR!$D$3=40,(EGR!Y100*1.4),IF(EGR!$D$3=45,(EGR!Y100*1.45),IF(EGR!$D$3=50,(EGR!Y100*1.5))))))))))))</f>
        <v>384.67872</v>
      </c>
      <c r="F30" s="71"/>
      <c r="G30" s="128">
        <f>IF(EGR!$D$3=0,('NOx Model (1)'!E36*1),IF(EGR!$D$3=5,('NOx Model (1)'!E36*1.05),IF(EGR!$D$3=10,('NOx Model (1)'!E36*1.1),IF(EGR!$D$3=15,('NOx Model (1)'!E36*1.15),IF(EGR!$D$3=20,('NOx Model (1)'!E36*1.2),IF(EGR!$D$3=25,('NOx Model (1)'!E36*1.25),IF(EGR!$D$3=30,('NOx Model (1)'!E36*1.3),IF(EGR!$D$3=35,('NOx Model (1)'!E36*1.35),IF(EGR!$D$3=40,('NOx Model (1)'!E36*1.4),IF(EGR!$D$3=45,('NOx Model (1)'!E36*1.45),IF(EGR!$D$3=50,('NOx Model (1)'!E36*1.5))))))))))))</f>
        <v>35.569018359895068</v>
      </c>
      <c r="H30" s="130">
        <f>IF(EGR!$D$3=0,(EGR!AA100*1),IF(EGR!$D$3=5,(EGR!AA100*1.05),IF(EGR!$D$3=10,(EGR!AA100*1.1),IF(EGR!$D$3=15,(EGR!AA100*1.15),IF(EGR!$D$3=20,(EGR!AA100*1.2),IF(EGR!$D$3=25,(EGR!AA100*1.25),IF(EGR!$D$3=30,(EGR!AA100*1.3),IF(EGR!$D$3=35,(EGR!AA100*1.35),IF(EGR!$D$3=40,(EGR!AA100*1.4),IF(EGR!$D$3=45,(EGR!AA100*1.45),IF(EGR!$D$3=50,(EGR!AA100*1.5))))))))))))</f>
        <v>14.202000000000011</v>
      </c>
      <c r="I30" s="33"/>
      <c r="J30" s="128">
        <f>IF(EGR!$D$3=0,('NOx Model (1)'!G36*1),IF(EGR!$D$3=5,('NOx Model (1)'!G36*1.05),IF(EGR!$D$3=10,('NOx Model (1)'!G36*1.1),IF(EGR!$D$3=15,('NOx Model (1)'!G36*1.15),IF(EGR!$D$3=20,('NOx Model (1)'!G36*1.2),IF(EGR!$D$3=25,('NOx Model (1)'!G36*1.25),IF(EGR!$D$3=30,('NOx Model (1)'!G36*1.3),IF(EGR!$D$3=35,('NOx Model (1)'!G36*1.35),IF(EGR!$D$3=40,('NOx Model (1)'!G36*1.4),IF(EGR!$D$3=45,('NOx Model (1)'!G36*1.45),IF(EGR!$D$3=50,('NOx Model (1)'!G36*1.5))))))))))))</f>
        <v>161.10496003063955</v>
      </c>
      <c r="K30" s="130">
        <f>IF(EGR!$D$3=0,(EGR!AC100*1),IF(EGR!$D$3=5,(EGR!AC100*1.05),IF(EGR!$D$3=10,(EGR!AC100*1.1),IF(EGR!$D$3=15,(EGR!AC100*1.15),IF(EGR!$D$3=20,(EGR!AC100*1.2),IF(EGR!$D$3=25,(EGR!AC100*1.25),IF(EGR!$D$3=30,(EGR!AC100*1.3),IF(EGR!$D$3=35,(EGR!AC100*1.35),IF(EGR!$D$3=40,(EGR!AC100*1.4),IF(EGR!$D$3=45,(EGR!AC100*1.45),IF(EGR!$D$3=50,(EGR!AC100*1.5))))))))))))</f>
        <v>1681.2839999999999</v>
      </c>
      <c r="L30" s="128">
        <f t="shared" si="0"/>
        <v>676.90987582511514</v>
      </c>
      <c r="M30" s="130">
        <f t="shared" si="1"/>
        <v>2520.7154399999999</v>
      </c>
      <c r="N30" s="243">
        <v>1250</v>
      </c>
      <c r="P30" s="71"/>
      <c r="Q30" s="245" t="s">
        <v>200</v>
      </c>
      <c r="R30" s="252">
        <f t="shared" si="4"/>
        <v>40</v>
      </c>
      <c r="S30" s="282">
        <f t="shared" si="5"/>
        <v>2487.7624708614853</v>
      </c>
      <c r="U30" s="272">
        <f t="shared" si="2"/>
        <v>2.5473479232897315E-5</v>
      </c>
      <c r="V30" s="279">
        <f t="shared" si="3"/>
        <v>1.0189391693158925E-9</v>
      </c>
      <c r="X30" s="362"/>
      <c r="AC30" s="25"/>
      <c r="AD30" s="25"/>
      <c r="AE30" s="25"/>
      <c r="AF30" s="25"/>
      <c r="AG30" s="25"/>
      <c r="AH30" s="25"/>
      <c r="AI30" s="25"/>
      <c r="AJ30" s="25"/>
      <c r="AK30" s="25"/>
      <c r="AL30" s="25"/>
    </row>
    <row r="31" spans="2:38" x14ac:dyDescent="0.25">
      <c r="B31" s="128">
        <f>IF(EGR!$D$3=0,('NOx Model (1)'!A37*1),IF(EGR!$D$3=5,('NOx Model (1)'!A37*1.05),IF(EGR!$D$3=10,('NOx Model (1)'!A37*1.1),IF(EGR!$D$3=15,('NOx Model (1)'!A37*1.15),IF(EGR!$D$3=20,('NOx Model (1)'!A37*1.2),IF(EGR!$D$3=25,('NOx Model (1)'!A37*1.25),IF(EGR!$D$3=30,('NOx Model (1)'!A37*1.3),IF(EGR!$D$3=35,('NOx Model (1)'!A37*1.35),IF(EGR!$D$3=40,('NOx Model (1)'!A37*1.4),IF(EGR!$D$3=45,('NOx Model (1)'!A37*1.45),IF(EGR!$D$3=50,('NOx Model (1)'!A37*1.5))))))))))))</f>
        <v>94.948570326245729</v>
      </c>
      <c r="C31" s="130">
        <f>IF(EGR!$D$3=0,(EGR!W101*1),IF(EGR!$D$3=5,(EGR!W101*1.05),IF(EGR!$D$3=10,(EGR!W101*1.1),IF(EGR!$D$3=15,(EGR!W101*1.15),IF(EGR!$D$3=20,(EGR!W101*1.2),IF(EGR!$D$3=25,(EGR!W101*1.25),IF(EGR!$D$3=30,(EGR!W101*1.3),IF(EGR!$D$3=35,(EGR!W101*1.35),IF(EGR!$D$3=40,(EGR!W101*1.4),IF(EGR!$D$3=45,(EGR!W101*1.45),IF(EGR!$D$3=50,(EGR!W101*1.5))))))))))))</f>
        <v>466.99679999999995</v>
      </c>
      <c r="D31" s="132">
        <f>IF(EGR!$D$3=0,('NOx Model (1)'!C37*1),IF(EGR!$D$3=5,('NOx Model (1)'!C37*1.05),IF(EGR!$D$3=10,('NOx Model (1)'!C37*1.1),IF(EGR!$D$3=15,('NOx Model (1)'!C37*1.15),IF(EGR!$D$3=20,('NOx Model (1)'!C37*1.2),IF(EGR!$D$3=25,('NOx Model (1)'!C37*1.25),IF(EGR!$D$3=30,('NOx Model (1)'!C37*1.3),IF(EGR!$D$3=35,('NOx Model (1)'!C37*1.35),IF(EGR!$D$3=40,('NOx Model (1)'!C37*1.4),IF(EGR!$D$3=45,('NOx Model (1)'!C37*1.45),IF(EGR!$D$3=50,('NOx Model (1)'!C37*1.5))))))))))))</f>
        <v>419.80316792759623</v>
      </c>
      <c r="E31" s="130">
        <f>IF(EGR!$D$3=0,(EGR!Y101*1),IF(EGR!$D$3=5,(EGR!Y101*1.05),IF(EGR!$D$3=10,(EGR!Y101*1.1),IF(EGR!$D$3=15,(EGR!Y101*1.15),IF(EGR!$D$3=20,(EGR!Y101*1.2),IF(EGR!$D$3=25,(EGR!Y101*1.25),IF(EGR!$D$3=30,(EGR!Y101*1.3),IF(EGR!$D$3=35,(EGR!Y101*1.35),IF(EGR!$D$3=40,(EGR!Y101*1.4),IF(EGR!$D$3=45,(EGR!Y101*1.45),IF(EGR!$D$3=50,(EGR!Y101*1.5))))))))))))</f>
        <v>408.14496000000003</v>
      </c>
      <c r="F31" s="71"/>
      <c r="G31" s="128">
        <f>IF(EGR!$D$3=0,('NOx Model (1)'!E37*1),IF(EGR!$D$3=5,('NOx Model (1)'!E37*1.05),IF(EGR!$D$3=10,('NOx Model (1)'!E37*1.1),IF(EGR!$D$3=15,('NOx Model (1)'!E37*1.15),IF(EGR!$D$3=20,('NOx Model (1)'!E37*1.2),IF(EGR!$D$3=25,('NOx Model (1)'!E37*1.25),IF(EGR!$D$3=30,('NOx Model (1)'!E37*1.3),IF(EGR!$D$3=35,('NOx Model (1)'!E37*1.35),IF(EGR!$D$3=40,('NOx Model (1)'!E37*1.4),IF(EGR!$D$3=45,('NOx Model (1)'!E37*1.45),IF(EGR!$D$3=50,('NOx Model (1)'!E37*1.5))))))))))))</f>
        <v>37.031873763893401</v>
      </c>
      <c r="H31" s="130">
        <f>IF(EGR!$D$3=0,(EGR!AA101*1),IF(EGR!$D$3=5,(EGR!AA101*1.05),IF(EGR!$D$3=10,(EGR!AA101*1.1),IF(EGR!$D$3=15,(EGR!AA101*1.15),IF(EGR!$D$3=20,(EGR!AA101*1.2),IF(EGR!$D$3=25,(EGR!AA101*1.25),IF(EGR!$D$3=30,(EGR!AA101*1.3),IF(EGR!$D$3=35,(EGR!AA101*1.35),IF(EGR!$D$3=40,(EGR!AA101*1.4),IF(EGR!$D$3=45,(EGR!AA101*1.45),IF(EGR!$D$3=50,(EGR!AA101*1.5))))))))))))</f>
        <v>15.007500000000014</v>
      </c>
      <c r="I31" s="33"/>
      <c r="J31" s="128">
        <f>IF(EGR!$D$3=0,('NOx Model (1)'!G37*1),IF(EGR!$D$3=5,('NOx Model (1)'!G37*1.05),IF(EGR!$D$3=10,('NOx Model (1)'!G37*1.1),IF(EGR!$D$3=15,('NOx Model (1)'!G37*1.15),IF(EGR!$D$3=20,('NOx Model (1)'!G37*1.2),IF(EGR!$D$3=25,('NOx Model (1)'!G37*1.25),IF(EGR!$D$3=30,('NOx Model (1)'!G37*1.3),IF(EGR!$D$3=35,('NOx Model (1)'!G37*1.35),IF(EGR!$D$3=40,('NOx Model (1)'!G37*1.4),IF(EGR!$D$3=45,('NOx Model (1)'!G37*1.45),IF(EGR!$D$3=50,('NOx Model (1)'!G37*1.5))))))))))))</f>
        <v>196.31787267813777</v>
      </c>
      <c r="K31" s="130">
        <f>IF(EGR!$D$3=0,(EGR!AC101*1),IF(EGR!$D$3=5,(EGR!AC101*1.05),IF(EGR!$D$3=10,(EGR!AC101*1.1),IF(EGR!$D$3=15,(EGR!AC101*1.15),IF(EGR!$D$3=20,(EGR!AC101*1.2),IF(EGR!$D$3=25,(EGR!AC101*1.25),IF(EGR!$D$3=30,(EGR!AC101*1.3),IF(EGR!$D$3=35,(EGR!AC101*1.35),IF(EGR!$D$3=40,(EGR!AC101*1.4),IF(EGR!$D$3=45,(EGR!AC101*1.45),IF(EGR!$D$3=50,(EGR!AC101*1.5))))))))))))</f>
        <v>1777.164</v>
      </c>
      <c r="L31" s="128">
        <f t="shared" si="0"/>
        <v>748.10148469587307</v>
      </c>
      <c r="M31" s="130">
        <f t="shared" si="1"/>
        <v>2667.3132599999999</v>
      </c>
      <c r="N31" s="243">
        <v>1300</v>
      </c>
      <c r="P31" s="71"/>
      <c r="AC31" s="25"/>
      <c r="AD31" s="25"/>
      <c r="AE31" s="25"/>
      <c r="AF31" s="25"/>
      <c r="AG31" s="25"/>
      <c r="AH31" s="25"/>
      <c r="AI31" s="25"/>
      <c r="AJ31" s="362"/>
      <c r="AK31" s="25"/>
      <c r="AL31" s="25"/>
    </row>
    <row r="32" spans="2:38" x14ac:dyDescent="0.25">
      <c r="B32" s="128">
        <f>IF(EGR!$D$3=0,('NOx Model (1)'!A38*1),IF(EGR!$D$3=5,('NOx Model (1)'!A38*1.05),IF(EGR!$D$3=10,('NOx Model (1)'!A38*1.1),IF(EGR!$D$3=15,('NOx Model (1)'!A38*1.15),IF(EGR!$D$3=20,('NOx Model (1)'!A38*1.2),IF(EGR!$D$3=25,('NOx Model (1)'!A38*1.25),IF(EGR!$D$3=30,('NOx Model (1)'!A38*1.3),IF(EGR!$D$3=35,('NOx Model (1)'!A38*1.35),IF(EGR!$D$3=40,('NOx Model (1)'!A38*1.4),IF(EGR!$D$3=45,('NOx Model (1)'!A38*1.45),IF(EGR!$D$3=50,('NOx Model (1)'!A38*1.5))))))))))))</f>
        <v>107.10267210524049</v>
      </c>
      <c r="C32" s="130">
        <f>IF(EGR!$D$3=0,(EGR!W102*1),IF(EGR!$D$3=5,(EGR!W102*1.05),IF(EGR!$D$3=10,(EGR!W102*1.1),IF(EGR!$D$3=15,(EGR!W102*1.15),IF(EGR!$D$3=20,(EGR!W102*1.2),IF(EGR!$D$3=25,(EGR!W102*1.25),IF(EGR!$D$3=30,(EGR!W102*1.3),IF(EGR!$D$3=35,(EGR!W102*1.35),IF(EGR!$D$3=40,(EGR!W102*1.4),IF(EGR!$D$3=45,(EGR!W102*1.45),IF(EGR!$D$3=50,(EGR!W102*1.5))))))))))))</f>
        <v>493.53599999999994</v>
      </c>
      <c r="D32" s="132">
        <f>IF(EGR!$D$3=0,('NOx Model (1)'!C38*1),IF(EGR!$D$3=5,('NOx Model (1)'!C38*1.05),IF(EGR!$D$3=10,('NOx Model (1)'!C38*1.1),IF(EGR!$D$3=15,('NOx Model (1)'!C38*1.15),IF(EGR!$D$3=20,('NOx Model (1)'!C38*1.2),IF(EGR!$D$3=25,('NOx Model (1)'!C38*1.25),IF(EGR!$D$3=30,('NOx Model (1)'!C38*1.3),IF(EGR!$D$3=35,('NOx Model (1)'!C38*1.35),IF(EGR!$D$3=40,('NOx Model (1)'!C38*1.4),IF(EGR!$D$3=45,('NOx Model (1)'!C38*1.45),IF(EGR!$D$3=50,('NOx Model (1)'!C38*1.5))))))))))))</f>
        <v>443.84327556792022</v>
      </c>
      <c r="E32" s="130">
        <f>IF(EGR!$D$3=0,(EGR!Y102*1),IF(EGR!$D$3=5,(EGR!Y102*1.05),IF(EGR!$D$3=10,(EGR!Y102*1.1),IF(EGR!$D$3=15,(EGR!Y102*1.15),IF(EGR!$D$3=20,(EGR!Y102*1.2),IF(EGR!$D$3=25,(EGR!Y102*1.25),IF(EGR!$D$3=30,(EGR!Y102*1.3),IF(EGR!$D$3=35,(EGR!Y102*1.35),IF(EGR!$D$3=40,(EGR!Y102*1.4),IF(EGR!$D$3=45,(EGR!Y102*1.45),IF(EGR!$D$3=50,(EGR!Y102*1.5))))))))))))</f>
        <v>431.92547999999999</v>
      </c>
      <c r="F32" s="71"/>
      <c r="G32" s="128">
        <f>IF(EGR!$D$3=0,('NOx Model (1)'!E38*1),IF(EGR!$D$3=5,('NOx Model (1)'!E38*1.05),IF(EGR!$D$3=10,('NOx Model (1)'!E38*1.1),IF(EGR!$D$3=15,('NOx Model (1)'!E38*1.15),IF(EGR!$D$3=20,('NOx Model (1)'!E38*1.2),IF(EGR!$D$3=25,('NOx Model (1)'!E38*1.25),IF(EGR!$D$3=30,('NOx Model (1)'!E38*1.3),IF(EGR!$D$3=35,('NOx Model (1)'!E38*1.35),IF(EGR!$D$3=40,('NOx Model (1)'!E38*1.4),IF(EGR!$D$3=45,('NOx Model (1)'!E38*1.45),IF(EGR!$D$3=50,('NOx Model (1)'!E38*1.5))))))))))))</f>
        <v>38.342809783231857</v>
      </c>
      <c r="H32" s="130">
        <f>IF(EGR!$D$3=0,(EGR!AA102*1),IF(EGR!$D$3=5,(EGR!AA102*1.05),IF(EGR!$D$3=10,(EGR!AA102*1.1),IF(EGR!$D$3=15,(EGR!AA102*1.15),IF(EGR!$D$3=20,(EGR!AA102*1.2),IF(EGR!$D$3=25,(EGR!AA102*1.25),IF(EGR!$D$3=30,(EGR!AA102*1.3),IF(EGR!$D$3=35,(EGR!AA102*1.35),IF(EGR!$D$3=40,(EGR!AA102*1.4),IF(EGR!$D$3=45,(EGR!AA102*1.45),IF(EGR!$D$3=50,(EGR!AA102*1.5))))))))))))</f>
        <v>15.817500000000013</v>
      </c>
      <c r="I32" s="33"/>
      <c r="J32" s="128">
        <f>IF(EGR!$D$3=0,('NOx Model (1)'!G38*1),IF(EGR!$D$3=5,('NOx Model (1)'!G38*1.05),IF(EGR!$D$3=10,('NOx Model (1)'!G38*1.1),IF(EGR!$D$3=15,('NOx Model (1)'!G38*1.15),IF(EGR!$D$3=20,('NOx Model (1)'!G38*1.2),IF(EGR!$D$3=25,('NOx Model (1)'!G38*1.25),IF(EGR!$D$3=30,('NOx Model (1)'!G38*1.3),IF(EGR!$D$3=35,('NOx Model (1)'!G38*1.35),IF(EGR!$D$3=40,('NOx Model (1)'!G38*1.4),IF(EGR!$D$3=45,('NOx Model (1)'!G38*1.45),IF(EGR!$D$3=50,('NOx Model (1)'!G38*1.5))))))))))))</f>
        <v>238.55935692877023</v>
      </c>
      <c r="K32" s="130">
        <f>IF(EGR!$D$3=0,(EGR!AC102*1),IF(EGR!$D$3=5,(EGR!AC102*1.05),IF(EGR!$D$3=10,(EGR!AC102*1.1),IF(EGR!$D$3=15,(EGR!AC102*1.15),IF(EGR!$D$3=20,(EGR!AC102*1.2),IF(EGR!$D$3=25,(EGR!AC102*1.25),IF(EGR!$D$3=30,(EGR!AC102*1.3),IF(EGR!$D$3=35,(EGR!AC102*1.35),IF(EGR!$D$3=40,(EGR!AC102*1.4),IF(EGR!$D$3=45,(EGR!AC102*1.45),IF(EGR!$D$3=50,(EGR!AC102*1.5))))))))))))</f>
        <v>1873.6079999999997</v>
      </c>
      <c r="L32" s="128">
        <f t="shared" si="0"/>
        <v>827.84811438516272</v>
      </c>
      <c r="M32" s="130">
        <f t="shared" si="1"/>
        <v>2814.8869799999998</v>
      </c>
      <c r="N32" s="243">
        <v>1350</v>
      </c>
      <c r="P32" s="71"/>
      <c r="AC32" s="25"/>
      <c r="AD32" s="25"/>
      <c r="AE32" s="25"/>
      <c r="AF32" s="25"/>
      <c r="AG32" s="25"/>
      <c r="AH32" s="25"/>
      <c r="AI32" s="25"/>
      <c r="AJ32" s="25"/>
      <c r="AK32" s="25"/>
      <c r="AL32" s="25"/>
    </row>
    <row r="33" spans="2:38" x14ac:dyDescent="0.25">
      <c r="B33" s="128">
        <f>IF(EGR!$D$3=0,('NOx Model (1)'!A39*1),IF(EGR!$D$3=5,('NOx Model (1)'!A39*1.05),IF(EGR!$D$3=10,('NOx Model (1)'!A39*1.1),IF(EGR!$D$3=15,('NOx Model (1)'!A39*1.15),IF(EGR!$D$3=20,('NOx Model (1)'!A39*1.2),IF(EGR!$D$3=25,('NOx Model (1)'!A39*1.25),IF(EGR!$D$3=30,('NOx Model (1)'!A39*1.3),IF(EGR!$D$3=35,('NOx Model (1)'!A39*1.35),IF(EGR!$D$3=40,('NOx Model (1)'!A39*1.4),IF(EGR!$D$3=45,('NOx Model (1)'!A39*1.45),IF(EGR!$D$3=50,('NOx Model (1)'!A39*1.5))))))))))))</f>
        <v>121.0368953082897</v>
      </c>
      <c r="C33" s="130">
        <f>IF(EGR!$D$3=0,(EGR!W103*1),IF(EGR!$D$3=5,(EGR!W103*1.05),IF(EGR!$D$3=10,(EGR!W103*1.1),IF(EGR!$D$3=15,(EGR!W103*1.15),IF(EGR!$D$3=20,(EGR!W103*1.2),IF(EGR!$D$3=25,(EGR!W103*1.25),IF(EGR!$D$3=30,(EGR!W103*1.3),IF(EGR!$D$3=35,(EGR!W103*1.35),IF(EGR!$D$3=40,(EGR!W103*1.4),IF(EGR!$D$3=45,(EGR!W103*1.45),IF(EGR!$D$3=50,(EGR!W103*1.5))))))))))))</f>
        <v>520.35455999999999</v>
      </c>
      <c r="D33" s="132">
        <f>IF(EGR!$D$3=0,('NOx Model (1)'!C39*1),IF(EGR!$D$3=5,('NOx Model (1)'!C39*1.05),IF(EGR!$D$3=10,('NOx Model (1)'!C39*1.1),IF(EGR!$D$3=15,('NOx Model (1)'!C39*1.15),IF(EGR!$D$3=20,('NOx Model (1)'!C39*1.2),IF(EGR!$D$3=25,('NOx Model (1)'!C39*1.25),IF(EGR!$D$3=30,('NOx Model (1)'!C39*1.3),IF(EGR!$D$3=35,('NOx Model (1)'!C39*1.35),IF(EGR!$D$3=40,('NOx Model (1)'!C39*1.4),IF(EGR!$D$3=45,('NOx Model (1)'!C39*1.45),IF(EGR!$D$3=50,('NOx Model (1)'!C39*1.5))))))))))))</f>
        <v>468.0419360221133</v>
      </c>
      <c r="E33" s="130">
        <f>IF(EGR!$D$3=0,(EGR!Y103*1),IF(EGR!$D$3=5,(EGR!Y103*1.05),IF(EGR!$D$3=10,(EGR!Y103*1.1),IF(EGR!$D$3=15,(EGR!Y103*1.15),IF(EGR!$D$3=20,(EGR!Y103*1.2),IF(EGR!$D$3=25,(EGR!Y103*1.25),IF(EGR!$D$3=30,(EGR!Y103*1.3),IF(EGR!$D$3=35,(EGR!Y103*1.35),IF(EGR!$D$3=40,(EGR!Y103*1.4),IF(EGR!$D$3=45,(EGR!Y103*1.45),IF(EGR!$D$3=50,(EGR!Y103*1.5))))))))))))</f>
        <v>455.91552000000007</v>
      </c>
      <c r="F33" s="71"/>
      <c r="G33" s="128">
        <f>IF(EGR!$D$3=0,('NOx Model (1)'!E39*1),IF(EGR!$D$3=5,('NOx Model (1)'!E39*1.05),IF(EGR!$D$3=10,('NOx Model (1)'!E39*1.1),IF(EGR!$D$3=15,('NOx Model (1)'!E39*1.15),IF(EGR!$D$3=20,('NOx Model (1)'!E39*1.2),IF(EGR!$D$3=25,('NOx Model (1)'!E39*1.25),IF(EGR!$D$3=30,('NOx Model (1)'!E39*1.3),IF(EGR!$D$3=35,('NOx Model (1)'!E39*1.35),IF(EGR!$D$3=40,('NOx Model (1)'!E39*1.4),IF(EGR!$D$3=45,('NOx Model (1)'!E39*1.45),IF(EGR!$D$3=50,('NOx Model (1)'!E39*1.5))))))))))))</f>
        <v>39.479465826560997</v>
      </c>
      <c r="H33" s="130">
        <f>IF(EGR!$D$3=0,(EGR!AA103*1),IF(EGR!$D$3=5,(EGR!AA103*1.05),IF(EGR!$D$3=10,(EGR!AA103*1.1),IF(EGR!$D$3=15,(EGR!AA103*1.15),IF(EGR!$D$3=20,(EGR!AA103*1.2),IF(EGR!$D$3=25,(EGR!AA103*1.25),IF(EGR!$D$3=30,(EGR!AA103*1.3),IF(EGR!$D$3=35,(EGR!AA103*1.35),IF(EGR!$D$3=40,(EGR!AA103*1.4),IF(EGR!$D$3=45,(EGR!AA103*1.45),IF(EGR!$D$3=50,(EGR!AA103*1.5))))))))))))</f>
        <v>16.627500000000015</v>
      </c>
      <c r="I33" s="33"/>
      <c r="J33" s="128">
        <f>IF(EGR!$D$3=0,('NOx Model (1)'!G39*1),IF(EGR!$D$3=5,('NOx Model (1)'!G39*1.05),IF(EGR!$D$3=10,('NOx Model (1)'!G39*1.1),IF(EGR!$D$3=15,('NOx Model (1)'!G39*1.15),IF(EGR!$D$3=20,('NOx Model (1)'!G39*1.2),IF(EGR!$D$3=25,('NOx Model (1)'!G39*1.25),IF(EGR!$D$3=30,('NOx Model (1)'!G39*1.3),IF(EGR!$D$3=35,('NOx Model (1)'!G39*1.35),IF(EGR!$D$3=40,('NOx Model (1)'!G39*1.4),IF(EGR!$D$3=45,('NOx Model (1)'!G39*1.45),IF(EGR!$D$3=50,('NOx Model (1)'!G39*1.5))))))))))))</f>
        <v>288.97550629446209</v>
      </c>
      <c r="K33" s="130">
        <f>IF(EGR!$D$3=0,(EGR!AC103*1),IF(EGR!$D$3=5,(EGR!AC103*1.05),IF(EGR!$D$3=10,(EGR!AC103*1.1),IF(EGR!$D$3=15,(EGR!AC103*1.15),IF(EGR!$D$3=20,(EGR!AC103*1.2),IF(EGR!$D$3=25,(EGR!AC103*1.25),IF(EGR!$D$3=30,(EGR!AC103*1.3),IF(EGR!$D$3=35,(EGR!AC103*1.35),IF(EGR!$D$3=40,(EGR!AC103*1.4),IF(EGR!$D$3=45,(EGR!AC103*1.45),IF(EGR!$D$3=50,(EGR!AC103*1.5))))))))))))</f>
        <v>1970.6159999999998</v>
      </c>
      <c r="L33" s="128">
        <f t="shared" si="0"/>
        <v>917.53380345142602</v>
      </c>
      <c r="M33" s="130">
        <f t="shared" si="1"/>
        <v>2963.5135799999998</v>
      </c>
      <c r="N33" s="243">
        <v>1400</v>
      </c>
      <c r="P33" s="71"/>
      <c r="AC33" s="25"/>
      <c r="AD33" s="25"/>
      <c r="AE33" s="25"/>
      <c r="AF33" s="25"/>
      <c r="AG33" s="25"/>
      <c r="AH33" s="361"/>
      <c r="AI33" s="25"/>
      <c r="AJ33" s="362"/>
      <c r="AK33" s="25"/>
      <c r="AL33" s="25"/>
    </row>
    <row r="34" spans="2:38" x14ac:dyDescent="0.25">
      <c r="B34" s="128">
        <f>IF(EGR!$D$3=0,('NOx Model (1)'!A40*1),IF(EGR!$D$3=5,('NOx Model (1)'!A40*1.05),IF(EGR!$D$3=10,('NOx Model (1)'!A40*1.1),IF(EGR!$D$3=15,('NOx Model (1)'!A40*1.15),IF(EGR!$D$3=20,('NOx Model (1)'!A40*1.2),IF(EGR!$D$3=25,('NOx Model (1)'!A40*1.25),IF(EGR!$D$3=30,('NOx Model (1)'!A40*1.3),IF(EGR!$D$3=35,('NOx Model (1)'!A40*1.35),IF(EGR!$D$3=40,('NOx Model (1)'!A40*1.4),IF(EGR!$D$3=45,('NOx Model (1)'!A40*1.45),IF(EGR!$D$3=50,('NOx Model (1)'!A40*1.5))))))))))))</f>
        <v>137.03061705166877</v>
      </c>
      <c r="C34" s="130">
        <f>IF(EGR!$D$3=0,(EGR!W104*1),IF(EGR!$D$3=5,(EGR!W104*1.05),IF(EGR!$D$3=10,(EGR!W104*1.1),IF(EGR!$D$3=15,(EGR!W104*1.15),IF(EGR!$D$3=20,(EGR!W104*1.2),IF(EGR!$D$3=25,(EGR!W104*1.25),IF(EGR!$D$3=30,(EGR!W104*1.3),IF(EGR!$D$3=35,(EGR!W104*1.35),IF(EGR!$D$3=40,(EGR!W104*1.4),IF(EGR!$D$3=45,(EGR!W104*1.45),IF(EGR!$D$3=50,(EGR!W104*1.5))))))))))))</f>
        <v>547.26624000000004</v>
      </c>
      <c r="D34" s="132">
        <f>IF(EGR!$D$3=0,('NOx Model (1)'!C40*1),IF(EGR!$D$3=5,('NOx Model (1)'!C40*1.05),IF(EGR!$D$3=10,('NOx Model (1)'!C40*1.1),IF(EGR!$D$3=15,('NOx Model (1)'!C40*1.15),IF(EGR!$D$3=20,('NOx Model (1)'!C40*1.2),IF(EGR!$D$3=25,('NOx Model (1)'!C40*1.25),IF(EGR!$D$3=30,('NOx Model (1)'!C40*1.3),IF(EGR!$D$3=35,('NOx Model (1)'!C40*1.35),IF(EGR!$D$3=40,('NOx Model (1)'!C40*1.4),IF(EGR!$D$3=45,('NOx Model (1)'!C40*1.45),IF(EGR!$D$3=50,('NOx Model (1)'!C40*1.5))))))))))))</f>
        <v>492.41267309624834</v>
      </c>
      <c r="E34" s="130">
        <f>IF(EGR!$D$3=0,(EGR!Y104*1),IF(EGR!$D$3=5,(EGR!Y104*1.05),IF(EGR!$D$3=10,(EGR!Y104*1.1),IF(EGR!$D$3=15,(EGR!Y104*1.15),IF(EGR!$D$3=20,(EGR!Y104*1.2),IF(EGR!$D$3=25,(EGR!Y104*1.25),IF(EGR!$D$3=30,(EGR!Y104*1.3),IF(EGR!$D$3=35,(EGR!Y104*1.35),IF(EGR!$D$3=40,(EGR!Y104*1.4),IF(EGR!$D$3=45,(EGR!Y104*1.45),IF(EGR!$D$3=50,(EGR!Y104*1.5))))))))))))</f>
        <v>480.21984000000003</v>
      </c>
      <c r="F34" s="71"/>
      <c r="G34" s="128">
        <f>IF(EGR!$D$3=0,('NOx Model (1)'!E40*1),IF(EGR!$D$3=5,('NOx Model (1)'!E40*1.05),IF(EGR!$D$3=10,('NOx Model (1)'!E40*1.1),IF(EGR!$D$3=15,('NOx Model (1)'!E40*1.15),IF(EGR!$D$3=20,('NOx Model (1)'!E40*1.2),IF(EGR!$D$3=25,('NOx Model (1)'!E40*1.25),IF(EGR!$D$3=30,('NOx Model (1)'!E40*1.3),IF(EGR!$D$3=35,('NOx Model (1)'!E40*1.35),IF(EGR!$D$3=40,('NOx Model (1)'!E40*1.4),IF(EGR!$D$3=45,('NOx Model (1)'!E40*1.45),IF(EGR!$D$3=50,('NOx Model (1)'!E40*1.5))))))))))))</f>
        <v>40.417058434591638</v>
      </c>
      <c r="H34" s="130">
        <f>IF(EGR!$D$3=0,(EGR!AA104*1),IF(EGR!$D$3=5,(EGR!AA104*1.05),IF(EGR!$D$3=10,(EGR!AA104*1.1),IF(EGR!$D$3=15,(EGR!AA104*1.15),IF(EGR!$D$3=20,(EGR!AA104*1.2),IF(EGR!$D$3=25,(EGR!AA104*1.25),IF(EGR!$D$3=30,(EGR!AA104*1.3),IF(EGR!$D$3=35,(EGR!AA104*1.35),IF(EGR!$D$3=40,(EGR!AA104*1.4),IF(EGR!$D$3=45,(EGR!AA104*1.45),IF(EGR!$D$3=50,(EGR!AA104*1.5))))))))))))</f>
        <v>17.446500000000018</v>
      </c>
      <c r="I34" s="33"/>
      <c r="J34" s="128">
        <f>IF(EGR!$D$3=0,('NOx Model (1)'!G40*1),IF(EGR!$D$3=5,('NOx Model (1)'!G40*1.05),IF(EGR!$D$3=10,('NOx Model (1)'!G40*1.1),IF(EGR!$D$3=15,('NOx Model (1)'!G40*1.15),IF(EGR!$D$3=20,('NOx Model (1)'!G40*1.2),IF(EGR!$D$3=25,('NOx Model (1)'!G40*1.25),IF(EGR!$D$3=30,('NOx Model (1)'!G40*1.3),IF(EGR!$D$3=35,('NOx Model (1)'!G40*1.35),IF(EGR!$D$3=40,('NOx Model (1)'!G40*1.4),IF(EGR!$D$3=45,('NOx Model (1)'!G40*1.45),IF(EGR!$D$3=50,('NOx Model (1)'!G40*1.5))))))))))))</f>
        <v>348.84719445309429</v>
      </c>
      <c r="K34" s="130">
        <f>IF(EGR!$D$3=0,(EGR!AC104*1),IF(EGR!$D$3=5,(EGR!AC104*1.05),IF(EGR!$D$3=10,(EGR!AC104*1.1),IF(EGR!$D$3=15,(EGR!AC104*1.15),IF(EGR!$D$3=20,(EGR!AC104*1.2),IF(EGR!$D$3=25,(EGR!AC104*1.25),IF(EGR!$D$3=30,(EGR!AC104*1.3),IF(EGR!$D$3=35,(EGR!AC104*1.35),IF(EGR!$D$3=40,(EGR!AC104*1.4),IF(EGR!$D$3=45,(EGR!AC104*1.45),IF(EGR!$D$3=50,(EGR!AC104*1.5))))))))))))</f>
        <v>2068.1880000000001</v>
      </c>
      <c r="L34" s="128">
        <f t="shared" si="0"/>
        <v>1018.7075430356031</v>
      </c>
      <c r="M34" s="130">
        <f t="shared" si="1"/>
        <v>3113.1205800000002</v>
      </c>
      <c r="N34" s="243">
        <v>1450</v>
      </c>
      <c r="P34" s="71"/>
      <c r="AC34" s="25"/>
      <c r="AD34" s="25"/>
      <c r="AE34" s="25"/>
      <c r="AF34" s="25"/>
      <c r="AG34" s="25"/>
      <c r="AH34" s="25"/>
      <c r="AI34" s="25"/>
      <c r="AJ34" s="362"/>
      <c r="AK34" s="25"/>
      <c r="AL34" s="25"/>
    </row>
    <row r="35" spans="2:38" x14ac:dyDescent="0.25">
      <c r="B35" s="128">
        <f>IF(EGR!$D$3=0,('NOx Model (1)'!A41*1),IF(EGR!$D$3=5,('NOx Model (1)'!A41*1.05),IF(EGR!$D$3=10,('NOx Model (1)'!A41*1.1),IF(EGR!$D$3=15,('NOx Model (1)'!A41*1.15),IF(EGR!$D$3=20,('NOx Model (1)'!A41*1.2),IF(EGR!$D$3=25,('NOx Model (1)'!A41*1.25),IF(EGR!$D$3=30,('NOx Model (1)'!A41*1.3),IF(EGR!$D$3=35,('NOx Model (1)'!A41*1.35),IF(EGR!$D$3=40,('NOx Model (1)'!A41*1.4),IF(EGR!$D$3=45,('NOx Model (1)'!A41*1.45),IF(EGR!$D$3=50,('NOx Model (1)'!A41*1.5))))))))))))</f>
        <v>155.39505002600046</v>
      </c>
      <c r="C35" s="130">
        <f>IF(EGR!$D$3=0,(EGR!W105*1),IF(EGR!$D$3=5,(EGR!W105*1.05),IF(EGR!$D$3=10,(EGR!W105*1.1),IF(EGR!$D$3=15,(EGR!W105*1.15),IF(EGR!$D$3=20,(EGR!W105*1.2),IF(EGR!$D$3=25,(EGR!W105*1.25),IF(EGR!$D$3=30,(EGR!W105*1.3),IF(EGR!$D$3=35,(EGR!W105*1.35),IF(EGR!$D$3=40,(EGR!W105*1.4),IF(EGR!$D$3=45,(EGR!W105*1.45),IF(EGR!$D$3=50,(EGR!W105*1.5))))))))))))</f>
        <v>574.36415999999997</v>
      </c>
      <c r="D35" s="132">
        <f>IF(EGR!$D$3=0,('NOx Model (1)'!C41*1),IF(EGR!$D$3=5,('NOx Model (1)'!C41*1.05),IF(EGR!$D$3=10,('NOx Model (1)'!C41*1.1),IF(EGR!$D$3=15,('NOx Model (1)'!C41*1.15),IF(EGR!$D$3=20,('NOx Model (1)'!C41*1.2),IF(EGR!$D$3=25,('NOx Model (1)'!C41*1.25),IF(EGR!$D$3=30,('NOx Model (1)'!C41*1.3),IF(EGR!$D$3=35,('NOx Model (1)'!C41*1.35),IF(EGR!$D$3=40,('NOx Model (1)'!C41*1.4),IF(EGR!$D$3=45,('NOx Model (1)'!C41*1.45),IF(EGR!$D$3=50,('NOx Model (1)'!C41*1.5))))))))))))</f>
        <v>516.97085839798513</v>
      </c>
      <c r="E35" s="130">
        <f>IF(EGR!$D$3=0,(EGR!Y105*1),IF(EGR!$D$3=5,(EGR!Y105*1.05),IF(EGR!$D$3=10,(EGR!Y105*1.1),IF(EGR!$D$3=15,(EGR!Y105*1.15),IF(EGR!$D$3=20,(EGR!Y105*1.2),IF(EGR!$D$3=25,(EGR!Y105*1.25),IF(EGR!$D$3=30,(EGR!Y105*1.3),IF(EGR!$D$3=35,(EGR!Y105*1.35),IF(EGR!$D$3=40,(EGR!Y105*1.4),IF(EGR!$D$3=45,(EGR!Y105*1.45),IF(EGR!$D$3=50,(EGR!Y105*1.5))))))))))))</f>
        <v>504.73367999999999</v>
      </c>
      <c r="F35" s="71"/>
      <c r="G35" s="128">
        <f>IF(EGR!$D$3=0,('NOx Model (1)'!E41*1),IF(EGR!$D$3=5,('NOx Model (1)'!E41*1.05),IF(EGR!$D$3=10,('NOx Model (1)'!E41*1.1),IF(EGR!$D$3=15,('NOx Model (1)'!E41*1.15),IF(EGR!$D$3=20,('NOx Model (1)'!E41*1.2),IF(EGR!$D$3=25,('NOx Model (1)'!E41*1.25),IF(EGR!$D$3=30,('NOx Model (1)'!E41*1.3),IF(EGR!$D$3=35,('NOx Model (1)'!E41*1.35),IF(EGR!$D$3=40,('NOx Model (1)'!E41*1.4),IF(EGR!$D$3=45,('NOx Model (1)'!E41*1.45),IF(EGR!$D$3=50,('NOx Model (1)'!E41*1.5))))))))))))</f>
        <v>41.128059414424243</v>
      </c>
      <c r="H35" s="130">
        <f>IF(EGR!$D$3=0,(EGR!AA105*1),IF(EGR!$D$3=5,(EGR!AA105*1.05),IF(EGR!$D$3=10,(EGR!AA105*1.1),IF(EGR!$D$3=15,(EGR!AA105*1.15),IF(EGR!$D$3=20,(EGR!AA105*1.2),IF(EGR!$D$3=25,(EGR!AA105*1.25),IF(EGR!$D$3=30,(EGR!AA105*1.3),IF(EGR!$D$3=35,(EGR!AA105*1.35),IF(EGR!$D$3=40,(EGR!AA105*1.4),IF(EGR!$D$3=45,(EGR!AA105*1.45),IF(EGR!$D$3=50,(EGR!AA105*1.5))))))))))))</f>
        <v>18.265500000000017</v>
      </c>
      <c r="I35" s="33"/>
      <c r="J35" s="128">
        <f>IF(EGR!$D$3=0,('NOx Model (1)'!G41*1),IF(EGR!$D$3=5,('NOx Model (1)'!G41*1.05),IF(EGR!$D$3=10,('NOx Model (1)'!G41*1.1),IF(EGR!$D$3=15,('NOx Model (1)'!G41*1.15),IF(EGR!$D$3=20,('NOx Model (1)'!G41*1.2),IF(EGR!$D$3=25,('NOx Model (1)'!G41*1.25),IF(EGR!$D$3=30,('NOx Model (1)'!G41*1.3),IF(EGR!$D$3=35,('NOx Model (1)'!G41*1.35),IF(EGR!$D$3=40,('NOx Model (1)'!G41*1.4),IF(EGR!$D$3=45,('NOx Model (1)'!G41*1.45),IF(EGR!$D$3=50,('NOx Model (1)'!G41*1.5))))))))))))</f>
        <v>419.60011613357489</v>
      </c>
      <c r="K35" s="130">
        <f>IF(EGR!$D$3=0,(EGR!AC105*1),IF(EGR!$D$3=5,(EGR!AC105*1.05),IF(EGR!$D$3=10,(EGR!AC105*1.1),IF(EGR!$D$3=15,(EGR!AC105*1.15),IF(EGR!$D$3=20,(EGR!AC105*1.2),IF(EGR!$D$3=25,(EGR!AC105*1.25),IF(EGR!$D$3=30,(EGR!AC105*1.3),IF(EGR!$D$3=35,(EGR!AC105*1.35),IF(EGR!$D$3=40,(EGR!AC105*1.4),IF(EGR!$D$3=45,(EGR!AC105*1.45),IF(EGR!$D$3=50,(EGR!AC105*1.5))))))))))))</f>
        <v>2165.7599999999998</v>
      </c>
      <c r="L35" s="128">
        <f t="shared" si="0"/>
        <v>1133.0940839719847</v>
      </c>
      <c r="M35" s="130">
        <f t="shared" si="1"/>
        <v>3263.1233399999996</v>
      </c>
      <c r="N35" s="243">
        <v>1500</v>
      </c>
      <c r="P35" s="71"/>
      <c r="AC35" s="25"/>
      <c r="AD35" s="25"/>
      <c r="AE35" s="25"/>
      <c r="AF35" s="25"/>
      <c r="AG35" s="25"/>
      <c r="AH35" s="361"/>
      <c r="AI35" s="25"/>
      <c r="AJ35" s="362"/>
      <c r="AK35" s="25"/>
      <c r="AL35" s="25"/>
    </row>
    <row r="36" spans="2:38" x14ac:dyDescent="0.25">
      <c r="B36" s="128">
        <f>IF(EGR!$D$3=0,('NOx Model (1)'!A42*1),IF(EGR!$D$3=5,('NOx Model (1)'!A42*1.05),IF(EGR!$D$3=10,('NOx Model (1)'!A42*1.1),IF(EGR!$D$3=15,('NOx Model (1)'!A42*1.15),IF(EGR!$D$3=20,('NOx Model (1)'!A42*1.2),IF(EGR!$D$3=25,('NOx Model (1)'!A42*1.25),IF(EGR!$D$3=30,('NOx Model (1)'!A42*1.3),IF(EGR!$D$3=35,('NOx Model (1)'!A42*1.35),IF(EGR!$D$3=40,('NOx Model (1)'!A42*1.4),IF(EGR!$D$3=45,('NOx Model (1)'!A42*1.45),IF(EGR!$D$3=50,('NOx Model (1)'!A42*1.5))))))))))))</f>
        <v>176.47538923154391</v>
      </c>
      <c r="C36" s="130">
        <f>IF(EGR!$D$3=0,(EGR!W106*1),IF(EGR!$D$3=5,(EGR!W106*1.05),IF(EGR!$D$3=10,(EGR!W106*1.1),IF(EGR!$D$3=15,(EGR!W106*1.15),IF(EGR!$D$3=20,(EGR!W106*1.2),IF(EGR!$D$3=25,(EGR!W106*1.25),IF(EGR!$D$3=30,(EGR!W106*1.3),IF(EGR!$D$3=35,(EGR!W106*1.35),IF(EGR!$D$3=40,(EGR!W106*1.4),IF(EGR!$D$3=45,(EGR!W106*1.45),IF(EGR!$D$3=50,(EGR!W106*1.5))))))))))))</f>
        <v>601.5551999999999</v>
      </c>
      <c r="D36" s="132">
        <f>IF(EGR!$D$3=0,('NOx Model (1)'!C42*1),IF(EGR!$D$3=5,('NOx Model (1)'!C42*1.05),IF(EGR!$D$3=10,('NOx Model (1)'!C42*1.1),IF(EGR!$D$3=15,('NOx Model (1)'!C42*1.15),IF(EGR!$D$3=20,('NOx Model (1)'!C42*1.2),IF(EGR!$D$3=25,('NOx Model (1)'!C42*1.25),IF(EGR!$D$3=30,('NOx Model (1)'!C42*1.3),IF(EGR!$D$3=35,('NOx Model (1)'!C42*1.35),IF(EGR!$D$3=40,('NOx Model (1)'!C42*1.4),IF(EGR!$D$3=45,('NOx Model (1)'!C42*1.45),IF(EGR!$D$3=50,('NOx Model (1)'!C42*1.5))))))))))))</f>
        <v>541.73282439593561</v>
      </c>
      <c r="E36" s="130">
        <f>IF(EGR!$D$3=0,(EGR!Y106*1),IF(EGR!$D$3=5,(EGR!Y106*1.05),IF(EGR!$D$3=10,(EGR!Y106*1.1),IF(EGR!$D$3=15,(EGR!Y106*1.15),IF(EGR!$D$3=20,(EGR!Y106*1.2),IF(EGR!$D$3=25,(EGR!Y106*1.25),IF(EGR!$D$3=30,(EGR!Y106*1.3),IF(EGR!$D$3=35,(EGR!Y106*1.35),IF(EGR!$D$3=40,(EGR!Y106*1.4),IF(EGR!$D$3=45,(EGR!Y106*1.45),IF(EGR!$D$3=50,(EGR!Y106*1.5))))))))))))</f>
        <v>529.56179999999995</v>
      </c>
      <c r="F36" s="71"/>
      <c r="G36" s="128">
        <f>IF(EGR!$D$3=0,('NOx Model (1)'!E42*1),IF(EGR!$D$3=5,('NOx Model (1)'!E42*1.05),IF(EGR!$D$3=10,('NOx Model (1)'!E42*1.1),IF(EGR!$D$3=15,('NOx Model (1)'!E42*1.15),IF(EGR!$D$3=20,('NOx Model (1)'!E42*1.2),IF(EGR!$D$3=25,('NOx Model (1)'!E42*1.25),IF(EGR!$D$3=30,('NOx Model (1)'!E42*1.3),IF(EGR!$D$3=35,('NOx Model (1)'!E42*1.35),IF(EGR!$D$3=40,('NOx Model (1)'!E42*1.4),IF(EGR!$D$3=45,('NOx Model (1)'!E42*1.45),IF(EGR!$D$3=50,('NOx Model (1)'!E42*1.5))))))))))))</f>
        <v>41.581875070048532</v>
      </c>
      <c r="H36" s="130">
        <f>IF(EGR!$D$3=0,(EGR!AA106*1),IF(EGR!$D$3=5,(EGR!AA106*1.05),IF(EGR!$D$3=10,(EGR!AA106*1.1),IF(EGR!$D$3=15,(EGR!AA106*1.15),IF(EGR!$D$3=20,(EGR!AA106*1.2),IF(EGR!$D$3=25,(EGR!AA106*1.25),IF(EGR!$D$3=30,(EGR!AA106*1.3),IF(EGR!$D$3=35,(EGR!AA106*1.35),IF(EGR!$D$3=40,(EGR!AA106*1.4),IF(EGR!$D$3=45,(EGR!AA106*1.45),IF(EGR!$D$3=50,(EGR!AA106*1.5))))))))))))</f>
        <v>19.089000000000016</v>
      </c>
      <c r="I36" s="33"/>
      <c r="J36" s="128">
        <f>IF(EGR!$D$3=0,('NOx Model (1)'!G42*1),IF(EGR!$D$3=5,('NOx Model (1)'!G42*1.05),IF(EGR!$D$3=10,('NOx Model (1)'!G42*1.1),IF(EGR!$D$3=15,('NOx Model (1)'!G42*1.15),IF(EGR!$D$3=20,('NOx Model (1)'!G42*1.2),IF(EGR!$D$3=25,('NOx Model (1)'!G42*1.25),IF(EGR!$D$3=30,('NOx Model (1)'!G42*1.3),IF(EGR!$D$3=35,('NOx Model (1)'!G42*1.35),IF(EGR!$D$3=40,('NOx Model (1)'!G42*1.4),IF(EGR!$D$3=45,('NOx Model (1)'!G42*1.45),IF(EGR!$D$3=50,('NOx Model (1)'!G42*1.5))))))))))))</f>
        <v>502.81520474557499</v>
      </c>
      <c r="K36" s="130">
        <f>IF(EGR!$D$3=0,(EGR!AC106*1),IF(EGR!$D$3=5,(EGR!AC106*1.05),IF(EGR!$D$3=10,(EGR!AC106*1.1),IF(EGR!$D$3=15,(EGR!AC106*1.15),IF(EGR!$D$3=20,(EGR!AC106*1.2),IF(EGR!$D$3=25,(EGR!AC106*1.25),IF(EGR!$D$3=30,(EGR!AC106*1.3),IF(EGR!$D$3=35,(EGR!AC106*1.35),IF(EGR!$D$3=40,(EGR!AC106*1.4),IF(EGR!$D$3=45,(EGR!AC106*1.45),IF(EGR!$D$3=50,(EGR!AC106*1.5))))))))))))</f>
        <v>2264.46</v>
      </c>
      <c r="L36" s="128">
        <f t="shared" si="0"/>
        <v>1262.6052934431032</v>
      </c>
      <c r="M36" s="130">
        <f t="shared" si="1"/>
        <v>3414.6659999999997</v>
      </c>
      <c r="N36" s="243">
        <v>1550</v>
      </c>
      <c r="P36" s="71"/>
      <c r="AC36" s="25"/>
      <c r="AD36" s="25"/>
      <c r="AE36" s="25"/>
      <c r="AF36" s="25"/>
      <c r="AG36" s="25"/>
      <c r="AH36" s="361"/>
      <c r="AI36" s="25"/>
      <c r="AJ36" s="362"/>
      <c r="AK36" s="25"/>
      <c r="AL36" s="25"/>
    </row>
    <row r="37" spans="2:38" x14ac:dyDescent="0.25">
      <c r="B37" s="128">
        <f>IF(EGR!$D$3=0,('NOx Model (1)'!A43*1),IF(EGR!$D$3=5,('NOx Model (1)'!A43*1.05),IF(EGR!$D$3=10,('NOx Model (1)'!A43*1.1),IF(EGR!$D$3=15,('NOx Model (1)'!A43*1.15),IF(EGR!$D$3=20,('NOx Model (1)'!A43*1.2),IF(EGR!$D$3=25,('NOx Model (1)'!A43*1.25),IF(EGR!$D$3=30,('NOx Model (1)'!A43*1.3),IF(EGR!$D$3=35,('NOx Model (1)'!A43*1.35),IF(EGR!$D$3=40,('NOx Model (1)'!A43*1.4),IF(EGR!$D$3=45,('NOx Model (1)'!A43*1.45),IF(EGR!$D$3=50,('NOx Model (1)'!A43*1.5))))))))))))</f>
        <v>200.65305041890912</v>
      </c>
      <c r="C37" s="130">
        <f>IF(EGR!$D$3=0,(EGR!W107*1),IF(EGR!$D$3=5,(EGR!W107*1.05),IF(EGR!$D$3=10,(EGR!W107*1.1),IF(EGR!$D$3=15,(EGR!W107*1.15),IF(EGR!$D$3=20,(EGR!W107*1.2),IF(EGR!$D$3=25,(EGR!W107*1.25),IF(EGR!$D$3=30,(EGR!W107*1.3),IF(EGR!$D$3=35,(EGR!W107*1.35),IF(EGR!$D$3=40,(EGR!W107*1.4),IF(EGR!$D$3=45,(EGR!W107*1.45),IF(EGR!$D$3=50,(EGR!W107*1.5))))))))))))</f>
        <v>628.93248000000006</v>
      </c>
      <c r="D37" s="132">
        <f>IF(EGR!$D$3=0,('NOx Model (1)'!C43*1),IF(EGR!$D$3=5,('NOx Model (1)'!C43*1.05),IF(EGR!$D$3=10,('NOx Model (1)'!C43*1.1),IF(EGR!$D$3=15,('NOx Model (1)'!C43*1.15),IF(EGR!$D$3=20,('NOx Model (1)'!C43*1.2),IF(EGR!$D$3=25,('NOx Model (1)'!C43*1.25),IF(EGR!$D$3=30,('NOx Model (1)'!C43*1.3),IF(EGR!$D$3=35,('NOx Model (1)'!C43*1.35),IF(EGR!$D$3=40,('NOx Model (1)'!C43*1.4),IF(EGR!$D$3=45,('NOx Model (1)'!C43*1.45),IF(EGR!$D$3=50,('NOx Model (1)'!C43*1.5))))))))))))</f>
        <v>566.7150574768084</v>
      </c>
      <c r="E37" s="130">
        <f>IF(EGR!$D$3=0,(EGR!Y107*1),IF(EGR!$D$3=5,(EGR!Y107*1.05),IF(EGR!$D$3=10,(EGR!Y107*1.1),IF(EGR!$D$3=15,(EGR!Y107*1.15),IF(EGR!$D$3=20,(EGR!Y107*1.2),IF(EGR!$D$3=25,(EGR!Y107*1.25),IF(EGR!$D$3=30,(EGR!Y107*1.3),IF(EGR!$D$3=35,(EGR!Y107*1.35),IF(EGR!$D$3=40,(EGR!Y107*1.4),IF(EGR!$D$3=45,(EGR!Y107*1.45),IF(EGR!$D$3=50,(EGR!Y107*1.5))))))))))))</f>
        <v>554.59943999999996</v>
      </c>
      <c r="F37" s="71"/>
      <c r="G37" s="128">
        <f>IF(EGR!$D$3=0,('NOx Model (1)'!E43*1),IF(EGR!$D$3=5,('NOx Model (1)'!E43*1.05),IF(EGR!$D$3=10,('NOx Model (1)'!E43*1.1),IF(EGR!$D$3=15,('NOx Model (1)'!E43*1.15),IF(EGR!$D$3=20,('NOx Model (1)'!E43*1.2),IF(EGR!$D$3=25,('NOx Model (1)'!E43*1.25),IF(EGR!$D$3=30,('NOx Model (1)'!E43*1.3),IF(EGR!$D$3=35,('NOx Model (1)'!E43*1.35),IF(EGR!$D$3=40,('NOx Model (1)'!E43*1.4),IF(EGR!$D$3=45,('NOx Model (1)'!E43*1.45),IF(EGR!$D$3=50,('NOx Model (1)'!E43*1.5))))))))))))</f>
        <v>41.744526529015232</v>
      </c>
      <c r="H37" s="130">
        <f>IF(EGR!$D$3=0,(EGR!AA107*1),IF(EGR!$D$3=5,(EGR!AA107*1.05),IF(EGR!$D$3=10,(EGR!AA107*1.1),IF(EGR!$D$3=15,(EGR!AA107*1.15),IF(EGR!$D$3=20,(EGR!AA107*1.2),IF(EGR!$D$3=25,(EGR!AA107*1.25),IF(EGR!$D$3=30,(EGR!AA107*1.3),IF(EGR!$D$3=35,(EGR!AA107*1.35),IF(EGR!$D$3=40,(EGR!AA107*1.4),IF(EGR!$D$3=45,(EGR!AA107*1.45),IF(EGR!$D$3=50,(EGR!AA107*1.5))))))))))))</f>
        <v>19.912500000000016</v>
      </c>
      <c r="I37" s="33"/>
      <c r="J37" s="128">
        <f>IF(EGR!$D$3=0,('NOx Model (1)'!G43*1),IF(EGR!$D$3=5,('NOx Model (1)'!G43*1.05),IF(EGR!$D$3=10,('NOx Model (1)'!G43*1.1),IF(EGR!$D$3=15,('NOx Model (1)'!G43*1.15),IF(EGR!$D$3=20,('NOx Model (1)'!G43*1.2),IF(EGR!$D$3=25,('NOx Model (1)'!G43*1.25),IF(EGR!$D$3=30,('NOx Model (1)'!G43*1.3),IF(EGR!$D$3=35,('NOx Model (1)'!G43*1.35),IF(EGR!$D$3=40,('NOx Model (1)'!G43*1.4),IF(EGR!$D$3=45,('NOx Model (1)'!G43*1.45),IF(EGR!$D$3=50,('NOx Model (1)'!G43*1.5))))))))))))</f>
        <v>600.23942675392937</v>
      </c>
      <c r="K37" s="130">
        <f>IF(EGR!$D$3=0,(EGR!AC107*1),IF(EGR!$D$3=5,(EGR!AC107*1.05),IF(EGR!$D$3=10,(EGR!AC107*1.1),IF(EGR!$D$3=15,(EGR!AC107*1.15),IF(EGR!$D$3=20,(EGR!AC107*1.2),IF(EGR!$D$3=25,(EGR!AC107*1.25),IF(EGR!$D$3=30,(EGR!AC107*1.3),IF(EGR!$D$3=35,(EGR!AC107*1.35),IF(EGR!$D$3=40,(EGR!AC107*1.4),IF(EGR!$D$3=45,(EGR!AC107*1.45),IF(EGR!$D$3=50,(EGR!AC107*1.5))))))))))))</f>
        <v>2363.16</v>
      </c>
      <c r="L37" s="128">
        <f t="shared" si="0"/>
        <v>1409.3520611786621</v>
      </c>
      <c r="M37" s="130">
        <f t="shared" si="1"/>
        <v>3566.6044199999997</v>
      </c>
      <c r="N37" s="243">
        <v>1600</v>
      </c>
      <c r="P37" s="71"/>
      <c r="AC37" s="25"/>
      <c r="AD37" s="25"/>
      <c r="AE37" s="25"/>
      <c r="AF37" s="25"/>
      <c r="AG37" s="25"/>
      <c r="AH37" s="25"/>
      <c r="AI37" s="25"/>
      <c r="AJ37" s="362"/>
      <c r="AK37" s="25"/>
      <c r="AL37" s="25"/>
    </row>
    <row r="38" spans="2:38" x14ac:dyDescent="0.25">
      <c r="B38" s="128">
        <f>IF(EGR!$D$3=0,('NOx Model (1)'!A44*1),IF(EGR!$D$3=5,('NOx Model (1)'!A44*1.05),IF(EGR!$D$3=10,('NOx Model (1)'!A44*1.1),IF(EGR!$D$3=15,('NOx Model (1)'!A44*1.15),IF(EGR!$D$3=20,('NOx Model (1)'!A44*1.2),IF(EGR!$D$3=25,('NOx Model (1)'!A44*1.25),IF(EGR!$D$3=30,('NOx Model (1)'!A44*1.3),IF(EGR!$D$3=35,('NOx Model (1)'!A44*1.35),IF(EGR!$D$3=40,('NOx Model (1)'!A44*1.4),IF(EGR!$D$3=45,('NOx Model (1)'!A44*1.45),IF(EGR!$D$3=50,('NOx Model (1)'!A44*1.5))))))))))))</f>
        <v>228.3480002352016</v>
      </c>
      <c r="C38" s="130">
        <f>IF(EGR!$D$3=0,(EGR!W108*1),IF(EGR!$D$3=5,(EGR!W108*1.05),IF(EGR!$D$3=10,(EGR!W108*1.1),IF(EGR!$D$3=15,(EGR!W108*1.15),IF(EGR!$D$3=20,(EGR!W108*1.2),IF(EGR!$D$3=25,(EGR!W108*1.25),IF(EGR!$D$3=30,(EGR!W108*1.3),IF(EGR!$D$3=35,(EGR!W108*1.35),IF(EGR!$D$3=40,(EGR!W108*1.4),IF(EGR!$D$3=45,(EGR!W108*1.45),IF(EGR!$D$3=50,(EGR!W108*1.5))))))))))))</f>
        <v>656.30975999999998</v>
      </c>
      <c r="D38" s="132">
        <f>IF(EGR!$D$3=0,('NOx Model (1)'!C44*1),IF(EGR!$D$3=5,('NOx Model (1)'!C44*1.05),IF(EGR!$D$3=10,('NOx Model (1)'!C44*1.1),IF(EGR!$D$3=15,('NOx Model (1)'!C44*1.15),IF(EGR!$D$3=20,('NOx Model (1)'!C44*1.2),IF(EGR!$D$3=25,('NOx Model (1)'!C44*1.25),IF(EGR!$D$3=30,('NOx Model (1)'!C44*1.3),IF(EGR!$D$3=35,('NOx Model (1)'!C44*1.35),IF(EGR!$D$3=40,('NOx Model (1)'!C44*1.4),IF(EGR!$D$3=45,('NOx Model (1)'!C44*1.45),IF(EGR!$D$3=50,('NOx Model (1)'!C44*1.5))))))))))))</f>
        <v>591.93347100032224</v>
      </c>
      <c r="E38" s="130">
        <f>IF(EGR!$D$3=0,(EGR!Y108*1),IF(EGR!$D$3=5,(EGR!Y108*1.05),IF(EGR!$D$3=10,(EGR!Y108*1.1),IF(EGR!$D$3=15,(EGR!Y108*1.15),IF(EGR!$D$3=20,(EGR!Y108*1.2),IF(EGR!$D$3=25,(EGR!Y108*1.25),IF(EGR!$D$3=30,(EGR!Y108*1.3),IF(EGR!$D$3=35,(EGR!Y108*1.35),IF(EGR!$D$3=40,(EGR!Y108*1.4),IF(EGR!$D$3=45,(EGR!Y108*1.45),IF(EGR!$D$3=50,(EGR!Y108*1.5))))))))))))</f>
        <v>579.84659999999997</v>
      </c>
      <c r="F38" s="71"/>
      <c r="G38" s="128">
        <f>IF(EGR!$D$3=0,('NOx Model (1)'!E44*1),IF(EGR!$D$3=5,('NOx Model (1)'!E44*1.05),IF(EGR!$D$3=10,('NOx Model (1)'!E44*1.1),IF(EGR!$D$3=15,('NOx Model (1)'!E44*1.15),IF(EGR!$D$3=20,('NOx Model (1)'!E44*1.2),IF(EGR!$D$3=25,('NOx Model (1)'!E44*1.25),IF(EGR!$D$3=30,('NOx Model (1)'!E44*1.3),IF(EGR!$D$3=35,('NOx Model (1)'!E44*1.35),IF(EGR!$D$3=40,('NOx Model (1)'!E44*1.4),IF(EGR!$D$3=45,('NOx Model (1)'!E44*1.45),IF(EGR!$D$3=50,('NOx Model (1)'!E44*1.5))))))))))))</f>
        <v>41.578331165278307</v>
      </c>
      <c r="H38" s="130">
        <f>IF(EGR!$D$3=0,(EGR!AA108*1),IF(EGR!$D$3=5,(EGR!AA108*1.05),IF(EGR!$D$3=10,(EGR!AA108*1.1),IF(EGR!$D$3=15,(EGR!AA108*1.15),IF(EGR!$D$3=20,(EGR!AA108*1.2),IF(EGR!$D$3=25,(EGR!AA108*1.25),IF(EGR!$D$3=30,(EGR!AA108*1.3),IF(EGR!$D$3=35,(EGR!AA108*1.35),IF(EGR!$D$3=40,(EGR!AA108*1.4),IF(EGR!$D$3=45,(EGR!AA108*1.45),IF(EGR!$D$3=50,(EGR!AA108*1.5))))))))))))</f>
        <v>20.740500000000019</v>
      </c>
      <c r="I38" s="33"/>
      <c r="J38" s="128">
        <f>IF(EGR!$D$3=0,('NOx Model (1)'!G44*1),IF(EGR!$D$3=5,('NOx Model (1)'!G44*1.05),IF(EGR!$D$3=10,('NOx Model (1)'!G44*1.1),IF(EGR!$D$3=15,('NOx Model (1)'!G44*1.15),IF(EGR!$D$3=20,('NOx Model (1)'!G44*1.2),IF(EGR!$D$3=25,('NOx Model (1)'!G44*1.25),IF(EGR!$D$3=30,('NOx Model (1)'!G44*1.3),IF(EGR!$D$3=35,('NOx Model (1)'!G44*1.35),IF(EGR!$D$3=40,('NOx Model (1)'!G44*1.4),IF(EGR!$D$3=45,('NOx Model (1)'!G44*1.45),IF(EGR!$D$3=50,('NOx Model (1)'!G44*1.5))))))))))))</f>
        <v>713.79695279770272</v>
      </c>
      <c r="K38" s="130">
        <f>IF(EGR!$D$3=0,(EGR!AC108*1),IF(EGR!$D$3=5,(EGR!AC108*1.05),IF(EGR!$D$3=10,(EGR!AC108*1.1),IF(EGR!$D$3=15,(EGR!AC108*1.15),IF(EGR!$D$3=20,(EGR!AC108*1.2),IF(EGR!$D$3=25,(EGR!AC108*1.25),IF(EGR!$D$3=30,(EGR!AC108*1.3),IF(EGR!$D$3=35,(EGR!AC108*1.35),IF(EGR!$D$3=40,(EGR!AC108*1.4),IF(EGR!$D$3=45,(EGR!AC108*1.45),IF(EGR!$D$3=50,(EGR!AC108*1.5))))))))))))</f>
        <v>2462.424</v>
      </c>
      <c r="L38" s="128">
        <f t="shared" si="0"/>
        <v>1575.6567551985049</v>
      </c>
      <c r="M38" s="130">
        <f t="shared" si="1"/>
        <v>3719.3208599999998</v>
      </c>
      <c r="N38" s="243">
        <v>1650</v>
      </c>
      <c r="P38" s="71"/>
      <c r="AC38" s="25"/>
      <c r="AD38" s="25"/>
      <c r="AE38" s="25"/>
      <c r="AF38" s="25"/>
      <c r="AG38" s="25"/>
      <c r="AH38" s="25"/>
      <c r="AI38" s="25"/>
      <c r="AJ38" s="362"/>
      <c r="AK38" s="25"/>
      <c r="AL38" s="25"/>
    </row>
    <row r="39" spans="2:38" x14ac:dyDescent="0.25">
      <c r="B39" s="128">
        <f>IF(EGR!$D$3=0,('NOx Model (1)'!A45*1),IF(EGR!$D$3=5,('NOx Model (1)'!A45*1.05),IF(EGR!$D$3=10,('NOx Model (1)'!A45*1.1),IF(EGR!$D$3=15,('NOx Model (1)'!A45*1.15),IF(EGR!$D$3=20,('NOx Model (1)'!A45*1.2),IF(EGR!$D$3=25,('NOx Model (1)'!A45*1.25),IF(EGR!$D$3=30,('NOx Model (1)'!A45*1.3),IF(EGR!$D$3=35,('NOx Model (1)'!A45*1.35),IF(EGR!$D$3=40,('NOx Model (1)'!A45*1.4),IF(EGR!$D$3=45,('NOx Model (1)'!A45*1.45),IF(EGR!$D$3=50,('NOx Model (1)'!A45*1.5))))))))))))</f>
        <v>260.02117807559193</v>
      </c>
      <c r="C39" s="130">
        <f>IF(EGR!$D$3=0,(EGR!W109*1),IF(EGR!$D$3=5,(EGR!W109*1.05),IF(EGR!$D$3=10,(EGR!W109*1.1),IF(EGR!$D$3=15,(EGR!W109*1.15),IF(EGR!$D$3=20,(EGR!W109*1.2),IF(EGR!$D$3=25,(EGR!W109*1.25),IF(EGR!$D$3=30,(EGR!W109*1.3),IF(EGR!$D$3=35,(EGR!W109*1.35),IF(EGR!$D$3=40,(EGR!W109*1.4),IF(EGR!$D$3=45,(EGR!W109*1.45),IF(EGR!$D$3=50,(EGR!W109*1.5))))))))))))</f>
        <v>683.87328000000002</v>
      </c>
      <c r="D39" s="132">
        <f>IF(EGR!$D$3=0,('NOx Model (1)'!C45*1),IF(EGR!$D$3=5,('NOx Model (1)'!C45*1.05),IF(EGR!$D$3=10,('NOx Model (1)'!C45*1.1),IF(EGR!$D$3=15,('NOx Model (1)'!C45*1.15),IF(EGR!$D$3=20,('NOx Model (1)'!C45*1.2),IF(EGR!$D$3=25,('NOx Model (1)'!C45*1.25),IF(EGR!$D$3=30,('NOx Model (1)'!C45*1.3),IF(EGR!$D$3=35,('NOx Model (1)'!C45*1.35),IF(EGR!$D$3=40,('NOx Model (1)'!C45*1.4),IF(EGR!$D$3=45,('NOx Model (1)'!C45*1.45),IF(EGR!$D$3=50,('NOx Model (1)'!C45*1.5))))))))))))</f>
        <v>617.40275835190562</v>
      </c>
      <c r="E39" s="130">
        <f>IF(EGR!$D$3=0,(EGR!Y109*1),IF(EGR!$D$3=5,(EGR!Y109*1.05),IF(EGR!$D$3=10,(EGR!Y109*1.1),IF(EGR!$D$3=15,(EGR!Y109*1.15),IF(EGR!$D$3=20,(EGR!Y109*1.2),IF(EGR!$D$3=25,(EGR!Y109*1.25),IF(EGR!$D$3=30,(EGR!Y109*1.3),IF(EGR!$D$3=35,(EGR!Y109*1.35),IF(EGR!$D$3=40,(EGR!Y109*1.4),IF(EGR!$D$3=45,(EGR!Y109*1.45),IF(EGR!$D$3=50,(EGR!Y109*1.5))))))))))))</f>
        <v>605.30328000000009</v>
      </c>
      <c r="F39" s="71"/>
      <c r="G39" s="128">
        <f>IF(EGR!$D$3=0,('NOx Model (1)'!E45*1),IF(EGR!$D$3=5,('NOx Model (1)'!E45*1.05),IF(EGR!$D$3=10,('NOx Model (1)'!E45*1.1),IF(EGR!$D$3=15,('NOx Model (1)'!E45*1.15),IF(EGR!$D$3=20,('NOx Model (1)'!E45*1.2),IF(EGR!$D$3=25,('NOx Model (1)'!E45*1.25),IF(EGR!$D$3=30,('NOx Model (1)'!E45*1.3),IF(EGR!$D$3=35,('NOx Model (1)'!E45*1.35),IF(EGR!$D$3=40,('NOx Model (1)'!E45*1.4),IF(EGR!$D$3=45,('NOx Model (1)'!E45*1.45),IF(EGR!$D$3=50,('NOx Model (1)'!E45*1.5))))))))))))</f>
        <v>41.041585118208658</v>
      </c>
      <c r="H39" s="130">
        <f>IF(EGR!$D$3=0,(EGR!AA109*1),IF(EGR!$D$3=5,(EGR!AA109*1.05),IF(EGR!$D$3=10,(EGR!AA109*1.1),IF(EGR!$D$3=15,(EGR!AA109*1.15),IF(EGR!$D$3=20,(EGR!AA109*1.2),IF(EGR!$D$3=25,(EGR!AA109*1.25),IF(EGR!$D$3=30,(EGR!AA109*1.3),IF(EGR!$D$3=35,(EGR!AA109*1.35),IF(EGR!$D$3=40,(EGR!AA109*1.4),IF(EGR!$D$3=45,(EGR!AA109*1.45),IF(EGR!$D$3=50,(EGR!AA109*1.5))))))))))))</f>
        <v>21.573000000000015</v>
      </c>
      <c r="I39" s="33"/>
      <c r="J39" s="128">
        <f>IF(EGR!$D$3=0,('NOx Model (1)'!G45*1),IF(EGR!$D$3=5,('NOx Model (1)'!G45*1.05),IF(EGR!$D$3=10,('NOx Model (1)'!G45*1.1),IF(EGR!$D$3=15,('NOx Model (1)'!G45*1.15),IF(EGR!$D$3=20,('NOx Model (1)'!G45*1.2),IF(EGR!$D$3=25,('NOx Model (1)'!G45*1.25),IF(EGR!$D$3=30,('NOx Model (1)'!G45*1.3),IF(EGR!$D$3=35,('NOx Model (1)'!G45*1.35),IF(EGR!$D$3=40,('NOx Model (1)'!G45*1.4),IF(EGR!$D$3=45,('NOx Model (1)'!G45*1.45),IF(EGR!$D$3=50,('NOx Model (1)'!G45*1.5))))))))))))</f>
        <v>845.60070555391792</v>
      </c>
      <c r="K39" s="130">
        <f>IF(EGR!$D$3=0,(EGR!AC109*1),IF(EGR!$D$3=5,(EGR!AC109*1.05),IF(EGR!$D$3=10,(EGR!AC109*1.1),IF(EGR!$D$3=15,(EGR!AC109*1.15),IF(EGR!$D$3=20,(EGR!AC109*1.2),IF(EGR!$D$3=25,(EGR!AC109*1.25),IF(EGR!$D$3=30,(EGR!AC109*1.3),IF(EGR!$D$3=35,(EGR!AC109*1.35),IF(EGR!$D$3=40,(EGR!AC109*1.4),IF(EGR!$D$3=45,(EGR!AC109*1.45),IF(EGR!$D$3=50,(EGR!AC109*1.5))))))))))))</f>
        <v>2561.6880000000001</v>
      </c>
      <c r="L39" s="128">
        <f t="shared" si="0"/>
        <v>1764.066227099624</v>
      </c>
      <c r="M39" s="130">
        <f t="shared" si="1"/>
        <v>3872.4375600000003</v>
      </c>
      <c r="N39" s="243">
        <v>1700</v>
      </c>
      <c r="P39" s="71"/>
      <c r="AC39" s="25"/>
      <c r="AD39" s="25"/>
      <c r="AE39" s="25"/>
      <c r="AF39" s="25"/>
      <c r="AG39" s="25"/>
      <c r="AH39" s="25"/>
      <c r="AI39" s="25"/>
      <c r="AJ39" s="362"/>
      <c r="AK39" s="25"/>
      <c r="AL39" s="25"/>
    </row>
    <row r="40" spans="2:38" x14ac:dyDescent="0.25">
      <c r="B40" s="128">
        <f>IF(EGR!$D$3=0,('NOx Model (1)'!A46*1),IF(EGR!$D$3=5,('NOx Model (1)'!A46*1.05),IF(EGR!$D$3=10,('NOx Model (1)'!A46*1.1),IF(EGR!$D$3=15,('NOx Model (1)'!A46*1.15),IF(EGR!$D$3=20,('NOx Model (1)'!A46*1.2),IF(EGR!$D$3=25,('NOx Model (1)'!A46*1.25),IF(EGR!$D$3=30,('NOx Model (1)'!A46*1.3),IF(EGR!$D$3=35,('NOx Model (1)'!A46*1.35),IF(EGR!$D$3=40,('NOx Model (1)'!A46*1.4),IF(EGR!$D$3=45,('NOx Model (1)'!A46*1.45),IF(EGR!$D$3=50,('NOx Model (1)'!A46*1.5))))))))))))</f>
        <v>296.17700964031536</v>
      </c>
      <c r="C40" s="130">
        <f>IF(EGR!$D$3=0,(EGR!W110*1),IF(EGR!$D$3=5,(EGR!W110*1.05),IF(EGR!$D$3=10,(EGR!W110*1.1),IF(EGR!$D$3=15,(EGR!W110*1.15),IF(EGR!$D$3=20,(EGR!W110*1.2),IF(EGR!$D$3=25,(EGR!W110*1.25),IF(EGR!$D$3=30,(EGR!W110*1.3),IF(EGR!$D$3=35,(EGR!W110*1.35),IF(EGR!$D$3=40,(EGR!W110*1.4),IF(EGR!$D$3=45,(EGR!W110*1.45),IF(EGR!$D$3=50,(EGR!W110*1.5))))))))))))</f>
        <v>711.52991999999995</v>
      </c>
      <c r="D40" s="132">
        <f>IF(EGR!$D$3=0,('NOx Model (1)'!C46*1),IF(EGR!$D$3=5,('NOx Model (1)'!C46*1.05),IF(EGR!$D$3=10,('NOx Model (1)'!C46*1.1),IF(EGR!$D$3=15,('NOx Model (1)'!C46*1.15),IF(EGR!$D$3=20,('NOx Model (1)'!C46*1.2),IF(EGR!$D$3=25,('NOx Model (1)'!C46*1.25),IF(EGR!$D$3=30,('NOx Model (1)'!C46*1.3),IF(EGR!$D$3=35,('NOx Model (1)'!C46*1.35),IF(EGR!$D$3=40,('NOx Model (1)'!C46*1.4),IF(EGR!$D$3=45,('NOx Model (1)'!C46*1.45),IF(EGR!$D$3=50,('NOx Model (1)'!C46*1.5))))))))))))</f>
        <v>643.13582599316067</v>
      </c>
      <c r="E40" s="130">
        <f>IF(EGR!$D$3=0,(EGR!Y110*1),IF(EGR!$D$3=5,(EGR!Y110*1.05),IF(EGR!$D$3=10,(EGR!Y110*1.1),IF(EGR!$D$3=15,(EGR!Y110*1.15),IF(EGR!$D$3=20,(EGR!Y110*1.2),IF(EGR!$D$3=25,(EGR!Y110*1.25),IF(EGR!$D$3=30,(EGR!Y110*1.3),IF(EGR!$D$3=35,(EGR!Y110*1.35),IF(EGR!$D$3=40,(EGR!Y110*1.4),IF(EGR!$D$3=45,(EGR!Y110*1.45),IF(EGR!$D$3=50,(EGR!Y110*1.5))))))))))))</f>
        <v>631.07424000000003</v>
      </c>
      <c r="F40" s="71"/>
      <c r="G40" s="128">
        <f>IF(EGR!$D$3=0,('NOx Model (1)'!E46*1),IF(EGR!$D$3=5,('NOx Model (1)'!E46*1.05),IF(EGR!$D$3=10,('NOx Model (1)'!E46*1.1),IF(EGR!$D$3=15,('NOx Model (1)'!E46*1.15),IF(EGR!$D$3=20,('NOx Model (1)'!E46*1.2),IF(EGR!$D$3=25,('NOx Model (1)'!E46*1.25),IF(EGR!$D$3=30,('NOx Model (1)'!E46*1.3),IF(EGR!$D$3=35,('NOx Model (1)'!E46*1.35),IF(EGR!$D$3=40,('NOx Model (1)'!E46*1.4),IF(EGR!$D$3=45,('NOx Model (1)'!E46*1.45),IF(EGR!$D$3=50,('NOx Model (1)'!E46*1.5))))))))))))</f>
        <v>40.08824690777886</v>
      </c>
      <c r="H40" s="130">
        <f>IF(EGR!$D$3=0,(EGR!AA110*1),IF(EGR!$D$3=5,(EGR!AA110*1.05),IF(EGR!$D$3=10,(EGR!AA110*1.1),IF(EGR!$D$3=15,(EGR!AA110*1.15),IF(EGR!$D$3=20,(EGR!AA110*1.2),IF(EGR!$D$3=25,(EGR!AA110*1.25),IF(EGR!$D$3=30,(EGR!AA110*1.3),IF(EGR!$D$3=35,(EGR!AA110*1.35),IF(EGR!$D$3=40,(EGR!AA110*1.4),IF(EGR!$D$3=45,(EGR!AA110*1.45),IF(EGR!$D$3=50,(EGR!AA110*1.5))))))))))))</f>
        <v>22.410000000000018</v>
      </c>
      <c r="I40" s="33"/>
      <c r="J40" s="128">
        <f>IF(EGR!$D$3=0,('NOx Model (1)'!G46*1),IF(EGR!$D$3=5,('NOx Model (1)'!G46*1.05),IF(EGR!$D$3=10,('NOx Model (1)'!G46*1.1),IF(EGR!$D$3=15,('NOx Model (1)'!G46*1.15),IF(EGR!$D$3=20,('NOx Model (1)'!G46*1.2),IF(EGR!$D$3=25,('NOx Model (1)'!G46*1.25),IF(EGR!$D$3=30,('NOx Model (1)'!G46*1.3),IF(EGR!$D$3=35,('NOx Model (1)'!G46*1.35),IF(EGR!$D$3=40,('NOx Model (1)'!G46*1.4),IF(EGR!$D$3=45,('NOx Model (1)'!G46*1.45),IF(EGR!$D$3=50,('NOx Model (1)'!G46*1.5))))))))))))</f>
        <v>997.96428434595055</v>
      </c>
      <c r="K40" s="130">
        <f>IF(EGR!$D$3=0,(EGR!AC110*1),IF(EGR!$D$3=5,(EGR!AC110*1.05),IF(EGR!$D$3=10,(EGR!AC110*1.1),IF(EGR!$D$3=15,(EGR!AC110*1.15),IF(EGR!$D$3=20,(EGR!AC110*1.2),IF(EGR!$D$3=25,(EGR!AC110*1.25),IF(EGR!$D$3=30,(EGR!AC110*1.3),IF(EGR!$D$3=35,(EGR!AC110*1.35),IF(EGR!$D$3=40,(EGR!AC110*1.4),IF(EGR!$D$3=45,(EGR!AC110*1.45),IF(EGR!$D$3=50,(EGR!AC110*1.5))))))))))))</f>
        <v>2661.5159999999996</v>
      </c>
      <c r="L40" s="128">
        <f t="shared" ref="L40:L75" si="6">B40+D40+G40+J40</f>
        <v>1977.3653668872053</v>
      </c>
      <c r="M40" s="130">
        <f t="shared" ref="M40:M75" si="7">C40+E40+H40+K40</f>
        <v>4026.5301599999993</v>
      </c>
      <c r="N40" s="243">
        <v>1750</v>
      </c>
      <c r="P40" s="71"/>
      <c r="AC40" s="25"/>
      <c r="AD40" s="25"/>
      <c r="AE40" s="25"/>
      <c r="AF40" s="25"/>
      <c r="AG40" s="25"/>
      <c r="AH40" s="25"/>
      <c r="AI40" s="25"/>
      <c r="AJ40" s="362"/>
      <c r="AK40" s="25"/>
      <c r="AL40" s="25"/>
    </row>
    <row r="41" spans="2:38" x14ac:dyDescent="0.25">
      <c r="B41" s="128">
        <f>IF(EGR!$D$3=0,('NOx Model (1)'!A47*1),IF(EGR!$D$3=5,('NOx Model (1)'!A47*1.05),IF(EGR!$D$3=10,('NOx Model (1)'!A47*1.1),IF(EGR!$D$3=15,('NOx Model (1)'!A47*1.15),IF(EGR!$D$3=20,('NOx Model (1)'!A47*1.2),IF(EGR!$D$3=25,('NOx Model (1)'!A47*1.25),IF(EGR!$D$3=30,('NOx Model (1)'!A47*1.3),IF(EGR!$D$3=35,('NOx Model (1)'!A47*1.35),IF(EGR!$D$3=40,('NOx Model (1)'!A47*1.4),IF(EGR!$D$3=45,('NOx Model (1)'!A47*1.45),IF(EGR!$D$3=50,('NOx Model (1)'!A47*1.5))))))))))))</f>
        <v>337.3660121970982</v>
      </c>
      <c r="C41" s="130">
        <f>IF(EGR!$D$3=0,(EGR!W111*1),IF(EGR!$D$3=5,(EGR!W111*1.05),IF(EGR!$D$3=10,(EGR!W111*1.1),IF(EGR!$D$3=15,(EGR!W111*1.15),IF(EGR!$D$3=20,(EGR!W111*1.2),IF(EGR!$D$3=25,(EGR!W111*1.25),IF(EGR!$D$3=30,(EGR!W111*1.3),IF(EGR!$D$3=35,(EGR!W111*1.35),IF(EGR!$D$3=40,(EGR!W111*1.4),IF(EGR!$D$3=45,(EGR!W111*1.45),IF(EGR!$D$3=50,(EGR!W111*1.5))))))))))))</f>
        <v>739.37279999999998</v>
      </c>
      <c r="D41" s="132">
        <f>IF(EGR!$D$3=0,('NOx Model (1)'!C47*1),IF(EGR!$D$3=5,('NOx Model (1)'!C47*1.05),IF(EGR!$D$3=10,('NOx Model (1)'!C47*1.1),IF(EGR!$D$3=15,('NOx Model (1)'!C47*1.15),IF(EGR!$D$3=20,('NOx Model (1)'!C47*1.2),IF(EGR!$D$3=25,('NOx Model (1)'!C47*1.25),IF(EGR!$D$3=30,('NOx Model (1)'!C47*1.3),IF(EGR!$D$3=35,('NOx Model (1)'!C47*1.35),IF(EGR!$D$3=40,('NOx Model (1)'!C47*1.4),IF(EGR!$D$3=45,('NOx Model (1)'!C47*1.45),IF(EGR!$D$3=50,('NOx Model (1)'!C47*1.5))))))))))))</f>
        <v>669.14330651010846</v>
      </c>
      <c r="E41" s="130">
        <f>IF(EGR!$D$3=0,(EGR!Y111*1),IF(EGR!$D$3=5,(EGR!Y111*1.05),IF(EGR!$D$3=10,(EGR!Y111*1.1),IF(EGR!$D$3=15,(EGR!Y111*1.15),IF(EGR!$D$3=20,(EGR!Y111*1.2),IF(EGR!$D$3=25,(EGR!Y111*1.25),IF(EGR!$D$3=30,(EGR!Y111*1.3),IF(EGR!$D$3=35,(EGR!Y111*1.35),IF(EGR!$D$3=40,(EGR!Y111*1.4),IF(EGR!$D$3=45,(EGR!Y111*1.45),IF(EGR!$D$3=50,(EGR!Y111*1.5))))))))))))</f>
        <v>656.94996000000003</v>
      </c>
      <c r="F41" s="71"/>
      <c r="G41" s="128">
        <f>IF(EGR!$D$3=0,('NOx Model (1)'!E47*1),IF(EGR!$D$3=5,('NOx Model (1)'!E47*1.05),IF(EGR!$D$3=10,('NOx Model (1)'!E47*1.1),IF(EGR!$D$3=15,('NOx Model (1)'!E47*1.15),IF(EGR!$D$3=20,('NOx Model (1)'!E47*1.2),IF(EGR!$D$3=25,('NOx Model (1)'!E47*1.25),IF(EGR!$D$3=30,('NOx Model (1)'!E47*1.3),IF(EGR!$D$3=35,('NOx Model (1)'!E47*1.35),IF(EGR!$D$3=40,('NOx Model (1)'!E47*1.4),IF(EGR!$D$3=45,('NOx Model (1)'!E47*1.45),IF(EGR!$D$3=50,('NOx Model (1)'!E47*1.5))))))))))))</f>
        <v>38.667622145919069</v>
      </c>
      <c r="H41" s="130">
        <f>IF(EGR!$D$3=0,(EGR!AA111*1),IF(EGR!$D$3=5,(EGR!AA111*1.05),IF(EGR!$D$3=10,(EGR!AA111*1.1),IF(EGR!$D$3=15,(EGR!AA111*1.15),IF(EGR!$D$3=20,(EGR!AA111*1.2),IF(EGR!$D$3=25,(EGR!AA111*1.25),IF(EGR!$D$3=30,(EGR!AA111*1.3),IF(EGR!$D$3=35,(EGR!AA111*1.35),IF(EGR!$D$3=40,(EGR!AA111*1.4),IF(EGR!$D$3=45,(EGR!AA111*1.45),IF(EGR!$D$3=50,(EGR!AA111*1.5))))))))))))</f>
        <v>23.247000000000018</v>
      </c>
      <c r="I41" s="33"/>
      <c r="J41" s="128">
        <f>IF(EGR!$D$3=0,('NOx Model (1)'!G47*1),IF(EGR!$D$3=5,('NOx Model (1)'!G47*1.05),IF(EGR!$D$3=10,('NOx Model (1)'!G47*1.1),IF(EGR!$D$3=15,('NOx Model (1)'!G47*1.15),IF(EGR!$D$3=20,('NOx Model (1)'!G47*1.2),IF(EGR!$D$3=25,('NOx Model (1)'!G47*1.25),IF(EGR!$D$3=30,('NOx Model (1)'!G47*1.3),IF(EGR!$D$3=35,('NOx Model (1)'!G47*1.35),IF(EGR!$D$3=40,('NOx Model (1)'!G47*1.4),IF(EGR!$D$3=45,('NOx Model (1)'!G47*1.45),IF(EGR!$D$3=50,('NOx Model (1)'!G47*1.5))))))))))))</f>
        <v>1173.4142664965884</v>
      </c>
      <c r="K41" s="130">
        <f>IF(EGR!$D$3=0,(EGR!AC111*1),IF(EGR!$D$3=5,(EGR!AC111*1.05),IF(EGR!$D$3=10,(EGR!AC111*1.1),IF(EGR!$D$3=15,(EGR!AC111*1.15),IF(EGR!$D$3=20,(EGR!AC111*1.2),IF(EGR!$D$3=25,(EGR!AC111*1.25),IF(EGR!$D$3=30,(EGR!AC111*1.3),IF(EGR!$D$3=35,(EGR!AC111*1.35),IF(EGR!$D$3=40,(EGR!AC111*1.4),IF(EGR!$D$3=45,(EGR!AC111*1.45),IF(EGR!$D$3=50,(EGR!AC111*1.5))))))))))))</f>
        <v>2761.9079999999999</v>
      </c>
      <c r="L41" s="128">
        <f t="shared" si="6"/>
        <v>2218.5912073497138</v>
      </c>
      <c r="M41" s="130">
        <f t="shared" si="7"/>
        <v>4181.4777599999998</v>
      </c>
      <c r="N41" s="243">
        <v>1800</v>
      </c>
      <c r="P41" s="71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2:38" x14ac:dyDescent="0.25">
      <c r="B42" s="128">
        <f>IF(EGR!$D$3=0,('NOx Model (1)'!A48*1),IF(EGR!$D$3=5,('NOx Model (1)'!A48*1.05),IF(EGR!$D$3=10,('NOx Model (1)'!A48*1.1),IF(EGR!$D$3=15,('NOx Model (1)'!A48*1.15),IF(EGR!$D$3=20,('NOx Model (1)'!A48*1.2),IF(EGR!$D$3=25,('NOx Model (1)'!A48*1.25),IF(EGR!$D$3=30,('NOx Model (1)'!A48*1.3),IF(EGR!$D$3=35,('NOx Model (1)'!A48*1.35),IF(EGR!$D$3=40,('NOx Model (1)'!A48*1.4),IF(EGR!$D$3=45,('NOx Model (1)'!A48*1.45),IF(EGR!$D$3=50,('NOx Model (1)'!A48*1.5))))))))))))</f>
        <v>384.1874915490103</v>
      </c>
      <c r="C42" s="130">
        <f>IF(EGR!$D$3=0,(EGR!W112*1),IF(EGR!$D$3=5,(EGR!W112*1.05),IF(EGR!$D$3=10,(EGR!W112*1.1),IF(EGR!$D$3=15,(EGR!W112*1.15),IF(EGR!$D$3=20,(EGR!W112*1.2),IF(EGR!$D$3=25,(EGR!W112*1.25),IF(EGR!$D$3=30,(EGR!W112*1.3),IF(EGR!$D$3=35,(EGR!W112*1.35),IF(EGR!$D$3=40,(EGR!W112*1.4),IF(EGR!$D$3=45,(EGR!W112*1.45),IF(EGR!$D$3=50,(EGR!W112*1.5))))))))))))</f>
        <v>767.21568000000002</v>
      </c>
      <c r="D42" s="132">
        <f>IF(EGR!$D$3=0,('NOx Model (1)'!C48*1),IF(EGR!$D$3=5,('NOx Model (1)'!C48*1.05),IF(EGR!$D$3=10,('NOx Model (1)'!C48*1.1),IF(EGR!$D$3=15,('NOx Model (1)'!C48*1.15),IF(EGR!$D$3=20,('NOx Model (1)'!C48*1.2),IF(EGR!$D$3=25,('NOx Model (1)'!C48*1.25),IF(EGR!$D$3=30,('NOx Model (1)'!C48*1.3),IF(EGR!$D$3=35,('NOx Model (1)'!C48*1.35),IF(EGR!$D$3=40,('NOx Model (1)'!C48*1.4),IF(EGR!$D$3=45,('NOx Model (1)'!C48*1.45),IF(EGR!$D$3=50,('NOx Model (1)'!C48*1.5))))))))))))</f>
        <v>695.43315165921194</v>
      </c>
      <c r="E42" s="130">
        <f>IF(EGR!$D$3=0,(EGR!Y112*1),IF(EGR!$D$3=5,(EGR!Y112*1.05),IF(EGR!$D$3=10,(EGR!Y112*1.1),IF(EGR!$D$3=15,(EGR!Y112*1.15),IF(EGR!$D$3=20,(EGR!Y112*1.2),IF(EGR!$D$3=25,(EGR!Y112*1.25),IF(EGR!$D$3=30,(EGR!Y112*1.3),IF(EGR!$D$3=35,(EGR!Y112*1.35),IF(EGR!$D$3=40,(EGR!Y112*1.4),IF(EGR!$D$3=45,(EGR!Y112*1.45),IF(EGR!$D$3=50,(EGR!Y112*1.5))))))))))))</f>
        <v>683.13995999999986</v>
      </c>
      <c r="F42" s="71"/>
      <c r="G42" s="128">
        <f>IF(EGR!$D$3=0,('NOx Model (1)'!E48*1),IF(EGR!$D$3=5,('NOx Model (1)'!E48*1.05),IF(EGR!$D$3=10,('NOx Model (1)'!E48*1.1),IF(EGR!$D$3=15,('NOx Model (1)'!E48*1.15),IF(EGR!$D$3=20,('NOx Model (1)'!E48*1.2),IF(EGR!$D$3=25,('NOx Model (1)'!E48*1.25),IF(EGR!$D$3=30,('NOx Model (1)'!E48*1.3),IF(EGR!$D$3=35,('NOx Model (1)'!E48*1.35),IF(EGR!$D$3=40,('NOx Model (1)'!E48*1.4),IF(EGR!$D$3=45,('NOx Model (1)'!E48*1.45),IF(EGR!$D$3=50,('NOx Model (1)'!E48*1.5))))))))))))</f>
        <v>36.724049344045071</v>
      </c>
      <c r="H42" s="130">
        <f>IF(EGR!$D$3=0,(EGR!AA112*1),IF(EGR!$D$3=5,(EGR!AA112*1.05),IF(EGR!$D$3=10,(EGR!AA112*1.1),IF(EGR!$D$3=15,(EGR!AA112*1.15),IF(EGR!$D$3=20,(EGR!AA112*1.2),IF(EGR!$D$3=25,(EGR!AA112*1.25),IF(EGR!$D$3=30,(EGR!AA112*1.3),IF(EGR!$D$3=35,(EGR!AA112*1.35),IF(EGR!$D$3=40,(EGR!AA112*1.4),IF(EGR!$D$3=45,(EGR!AA112*1.45),IF(EGR!$D$3=50,(EGR!AA112*1.5))))))))))))</f>
        <v>24.088500000000021</v>
      </c>
      <c r="I42" s="33"/>
      <c r="J42" s="128">
        <f>IF(EGR!$D$3=0,('NOx Model (1)'!G48*1),IF(EGR!$D$3=5,('NOx Model (1)'!G48*1.05),IF(EGR!$D$3=10,('NOx Model (1)'!G48*1.1),IF(EGR!$D$3=15,('NOx Model (1)'!G48*1.15),IF(EGR!$D$3=20,('NOx Model (1)'!G48*1.2),IF(EGR!$D$3=25,('NOx Model (1)'!G48*1.25),IF(EGR!$D$3=30,('NOx Model (1)'!G48*1.3),IF(EGR!$D$3=35,('NOx Model (1)'!G48*1.35),IF(EGR!$D$3=40,('NOx Model (1)'!G48*1.4),IF(EGR!$D$3=45,('NOx Model (1)'!G48*1.45),IF(EGR!$D$3=50,('NOx Model (1)'!G48*1.5))))))))))))</f>
        <v>1374.7028854257535</v>
      </c>
      <c r="K42" s="130">
        <f>IF(EGR!$D$3=0,(EGR!AC112*1),IF(EGR!$D$3=5,(EGR!AC112*1.05),IF(EGR!$D$3=10,(EGR!AC112*1.1),IF(EGR!$D$3=15,(EGR!AC112*1.15),IF(EGR!$D$3=20,(EGR!AC112*1.2),IF(EGR!$D$3=25,(EGR!AC112*1.25),IF(EGR!$D$3=30,(EGR!AC112*1.3),IF(EGR!$D$3=35,(EGR!AC112*1.35),IF(EGR!$D$3=40,(EGR!AC112*1.4),IF(EGR!$D$3=45,(EGR!AC112*1.45),IF(EGR!$D$3=50,(EGR!AC112*1.5))))))))))))</f>
        <v>2862.2999999999997</v>
      </c>
      <c r="L42" s="128">
        <f t="shared" si="6"/>
        <v>2491.0475779780209</v>
      </c>
      <c r="M42" s="130">
        <f t="shared" si="7"/>
        <v>4336.7441399999998</v>
      </c>
      <c r="N42" s="243">
        <v>1850</v>
      </c>
      <c r="P42" s="71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</row>
    <row r="43" spans="2:38" x14ac:dyDescent="0.25">
      <c r="B43" s="128">
        <f>IF(EGR!$D$3=0,('NOx Model (1)'!A49*1),IF(EGR!$D$3=5,('NOx Model (1)'!A49*1.05),IF(EGR!$D$3=10,('NOx Model (1)'!A49*1.1),IF(EGR!$D$3=15,('NOx Model (1)'!A49*1.15),IF(EGR!$D$3=20,('NOx Model (1)'!A49*1.2),IF(EGR!$D$3=25,('NOx Model (1)'!A49*1.25),IF(EGR!$D$3=30,('NOx Model (1)'!A49*1.3),IF(EGR!$D$3=35,('NOx Model (1)'!A49*1.35),IF(EGR!$D$3=40,('NOx Model (1)'!A49*1.4),IF(EGR!$D$3=45,('NOx Model (1)'!A49*1.45),IF(EGR!$D$3=50,('NOx Model (1)'!A49*1.5))))))))))))</f>
        <v>437.2923307077487</v>
      </c>
      <c r="C43" s="130">
        <f>IF(EGR!$D$3=0,(EGR!W113*1),IF(EGR!$D$3=5,(EGR!W113*1.05),IF(EGR!$D$3=10,(EGR!W113*1.1),IF(EGR!$D$3=15,(EGR!W113*1.15),IF(EGR!$D$3=20,(EGR!W113*1.2),IF(EGR!$D$3=25,(EGR!W113*1.25),IF(EGR!$D$3=30,(EGR!W113*1.3),IF(EGR!$D$3=35,(EGR!W113*1.35),IF(EGR!$D$3=40,(EGR!W113*1.4),IF(EGR!$D$3=45,(EGR!W113*1.45),IF(EGR!$D$3=50,(EGR!W113*1.5))))))))))))</f>
        <v>795.15167999999994</v>
      </c>
      <c r="D43" s="132">
        <f>IF(EGR!$D$3=0,('NOx Model (1)'!C49*1),IF(EGR!$D$3=5,('NOx Model (1)'!C49*1.05),IF(EGR!$D$3=10,('NOx Model (1)'!C49*1.1),IF(EGR!$D$3=15,('NOx Model (1)'!C49*1.15),IF(EGR!$D$3=20,('NOx Model (1)'!C49*1.2),IF(EGR!$D$3=25,('NOx Model (1)'!C49*1.25),IF(EGR!$D$3=30,('NOx Model (1)'!C49*1.3),IF(EGR!$D$3=35,('NOx Model (1)'!C49*1.35),IF(EGR!$D$3=40,('NOx Model (1)'!C49*1.4),IF(EGR!$D$3=45,('NOx Model (1)'!C49*1.45),IF(EGR!$D$3=50,('NOx Model (1)'!C49*1.5))))))))))))</f>
        <v>722.01030541117109</v>
      </c>
      <c r="E43" s="130">
        <f>IF(EGR!$D$3=0,(EGR!Y113*1),IF(EGR!$D$3=5,(EGR!Y113*1.05),IF(EGR!$D$3=10,(EGR!Y113*1.1),IF(EGR!$D$3=15,(EGR!Y113*1.15),IF(EGR!$D$3=20,(EGR!Y113*1.2),IF(EGR!$D$3=25,(EGR!Y113*1.25),IF(EGR!$D$3=30,(EGR!Y113*1.3),IF(EGR!$D$3=35,(EGR!Y113*1.35),IF(EGR!$D$3=40,(EGR!Y113*1.4),IF(EGR!$D$3=45,(EGR!Y113*1.45),IF(EGR!$D$3=50,(EGR!Y113*1.5))))))))))))</f>
        <v>709.43471999999997</v>
      </c>
      <c r="F43" s="71"/>
      <c r="G43" s="128">
        <f>IF(EGR!$D$3=0,('NOx Model (1)'!E49*1),IF(EGR!$D$3=5,('NOx Model (1)'!E49*1.05),IF(EGR!$D$3=10,('NOx Model (1)'!E49*1.1),IF(EGR!$D$3=15,('NOx Model (1)'!E49*1.15),IF(EGR!$D$3=20,('NOx Model (1)'!E49*1.2),IF(EGR!$D$3=25,('NOx Model (1)'!E49*1.25),IF(EGR!$D$3=30,('NOx Model (1)'!E49*1.3),IF(EGR!$D$3=35,('NOx Model (1)'!E49*1.35),IF(EGR!$D$3=40,('NOx Model (1)'!E49*1.4),IF(EGR!$D$3=45,('NOx Model (1)'!E49*1.45),IF(EGR!$D$3=50,('NOx Model (1)'!E49*1.5))))))))))))</f>
        <v>34.196586816754852</v>
      </c>
      <c r="H43" s="130">
        <f>IF(EGR!$D$3=0,(EGR!AA113*1),IF(EGR!$D$3=5,(EGR!AA113*1.05),IF(EGR!$D$3=10,(EGR!AA113*1.1),IF(EGR!$D$3=15,(EGR!AA113*1.15),IF(EGR!$D$3=20,(EGR!AA113*1.2),IF(EGR!$D$3=25,(EGR!AA113*1.25),IF(EGR!$D$3=30,(EGR!AA113*1.3),IF(EGR!$D$3=35,(EGR!AA113*1.35),IF(EGR!$D$3=40,(EGR!AA113*1.4),IF(EGR!$D$3=45,(EGR!AA113*1.45),IF(EGR!$D$3=50,(EGR!AA113*1.5))))))))))))</f>
        <v>24.930000000000017</v>
      </c>
      <c r="I43" s="33"/>
      <c r="J43" s="128">
        <f>IF(EGR!$D$3=0,('NOx Model (1)'!G49*1),IF(EGR!$D$3=5,('NOx Model (1)'!G49*1.05),IF(EGR!$D$3=10,('NOx Model (1)'!G49*1.1),IF(EGR!$D$3=15,('NOx Model (1)'!G49*1.15),IF(EGR!$D$3=20,('NOx Model (1)'!G49*1.2),IF(EGR!$D$3=25,('NOx Model (1)'!G49*1.25),IF(EGR!$D$3=30,('NOx Model (1)'!G49*1.3),IF(EGR!$D$3=35,('NOx Model (1)'!G49*1.35),IF(EGR!$D$3=40,('NOx Model (1)'!G49*1.4),IF(EGR!$D$3=45,('NOx Model (1)'!G49*1.45),IF(EGR!$D$3=50,('NOx Model (1)'!G49*1.5))))))))))))</f>
        <v>1604.8210854928918</v>
      </c>
      <c r="K43" s="130">
        <f>IF(EGR!$D$3=0,(EGR!AC113*1),IF(EGR!$D$3=5,(EGR!AC113*1.05),IF(EGR!$D$3=10,(EGR!AC113*1.1),IF(EGR!$D$3=15,(EGR!AC113*1.15),IF(EGR!$D$3=20,(EGR!AC113*1.2),IF(EGR!$D$3=25,(EGR!AC113*1.25),IF(EGR!$D$3=30,(EGR!AC113*1.3),IF(EGR!$D$3=35,(EGR!AC113*1.35),IF(EGR!$D$3=40,(EGR!AC113*1.4),IF(EGR!$D$3=45,(EGR!AC113*1.45),IF(EGR!$D$3=50,(EGR!AC113*1.5))))))))))))</f>
        <v>2963.2559999999999</v>
      </c>
      <c r="L43" s="128">
        <f t="shared" si="6"/>
        <v>2798.3203084285665</v>
      </c>
      <c r="M43" s="130">
        <f t="shared" si="7"/>
        <v>4492.7723999999998</v>
      </c>
      <c r="N43" s="243">
        <v>1900</v>
      </c>
      <c r="P43" s="71"/>
    </row>
    <row r="44" spans="2:38" x14ac:dyDescent="0.25">
      <c r="B44" s="128">
        <f>IF(EGR!$D$3=0,('NOx Model (1)'!A50*1),IF(EGR!$D$3=5,('NOx Model (1)'!A50*1.05),IF(EGR!$D$3=10,('NOx Model (1)'!A50*1.1),IF(EGR!$D$3=15,('NOx Model (1)'!A50*1.15),IF(EGR!$D$3=20,('NOx Model (1)'!A50*1.2),IF(EGR!$D$3=25,('NOx Model (1)'!A50*1.25),IF(EGR!$D$3=30,('NOx Model (1)'!A50*1.3),IF(EGR!$D$3=35,('NOx Model (1)'!A50*1.35),IF(EGR!$D$3=40,('NOx Model (1)'!A50*1.4),IF(EGR!$D$3=45,('NOx Model (1)'!A50*1.45),IF(EGR!$D$3=50,('NOx Model (1)'!A50*1.5))))))))))))</f>
        <v>497.38587027234513</v>
      </c>
      <c r="C44" s="130">
        <f>IF(EGR!$D$3=0,(EGR!W114*1),IF(EGR!$D$3=5,(EGR!W114*1.05),IF(EGR!$D$3=10,(EGR!W114*1.1),IF(EGR!$D$3=15,(EGR!W114*1.15),IF(EGR!$D$3=20,(EGR!W114*1.2),IF(EGR!$D$3=25,(EGR!W114*1.25),IF(EGR!$D$3=30,(EGR!W114*1.3),IF(EGR!$D$3=35,(EGR!W114*1.35),IF(EGR!$D$3=40,(EGR!W114*1.4),IF(EGR!$D$3=45,(EGR!W114*1.45),IF(EGR!$D$3=50,(EGR!W114*1.5))))))))))))</f>
        <v>823.18079999999998</v>
      </c>
      <c r="D44" s="132">
        <f>IF(EGR!$D$3=0,('NOx Model (1)'!C50*1),IF(EGR!$D$3=5,('NOx Model (1)'!C50*1.05),IF(EGR!$D$3=10,('NOx Model (1)'!C50*1.1),IF(EGR!$D$3=15,('NOx Model (1)'!C50*1.15),IF(EGR!$D$3=20,('NOx Model (1)'!C50*1.2),IF(EGR!$D$3=25,('NOx Model (1)'!C50*1.25),IF(EGR!$D$3=30,('NOx Model (1)'!C50*1.3),IF(EGR!$D$3=35,('NOx Model (1)'!C50*1.35),IF(EGR!$D$3=40,('NOx Model (1)'!C50*1.4),IF(EGR!$D$3=45,('NOx Model (1)'!C50*1.45),IF(EGR!$D$3=50,('NOx Model (1)'!C50*1.5))))))))))))</f>
        <v>748.87645699248947</v>
      </c>
      <c r="E44" s="130">
        <f>IF(EGR!$D$3=0,(EGR!Y114*1),IF(EGR!$D$3=5,(EGR!Y114*1.05),IF(EGR!$D$3=10,(EGR!Y114*1.1),IF(EGR!$D$3=15,(EGR!Y114*1.15),IF(EGR!$D$3=20,(EGR!Y114*1.2),IF(EGR!$D$3=25,(EGR!Y114*1.25),IF(EGR!$D$3=30,(EGR!Y114*1.3),IF(EGR!$D$3=35,(EGR!Y114*1.35),IF(EGR!$D$3=40,(EGR!Y114*1.4),IF(EGR!$D$3=45,(EGR!Y114*1.45),IF(EGR!$D$3=50,(EGR!Y114*1.5))))))))))))</f>
        <v>735.93899999999996</v>
      </c>
      <c r="F44" s="71"/>
      <c r="G44" s="128">
        <f>IF(EGR!$D$3=0,('NOx Model (1)'!E50*1),IF(EGR!$D$3=5,('NOx Model (1)'!E50*1.05),IF(EGR!$D$3=10,('NOx Model (1)'!E50*1.1),IF(EGR!$D$3=15,('NOx Model (1)'!E50*1.15),IF(EGR!$D$3=20,('NOx Model (1)'!E50*1.2),IF(EGR!$D$3=25,('NOx Model (1)'!E50*1.25),IF(EGR!$D$3=30,('NOx Model (1)'!E50*1.3),IF(EGR!$D$3=35,('NOx Model (1)'!E50*1.35),IF(EGR!$D$3=40,('NOx Model (1)'!E50*1.4),IF(EGR!$D$3=45,('NOx Model (1)'!E50*1.45),IF(EGR!$D$3=50,('NOx Model (1)'!E50*1.5))))))))))))</f>
        <v>31.018700681699666</v>
      </c>
      <c r="H44" s="130">
        <f>IF(EGR!$D$3=0,(EGR!AA114*1),IF(EGR!$D$3=5,(EGR!AA114*1.05),IF(EGR!$D$3=10,(EGR!AA114*1.1),IF(EGR!$D$3=15,(EGR!AA114*1.15),IF(EGR!$D$3=20,(EGR!AA114*1.2),IF(EGR!$D$3=25,(EGR!AA114*1.25),IF(EGR!$D$3=30,(EGR!AA114*1.3),IF(EGR!$D$3=35,(EGR!AA114*1.35),IF(EGR!$D$3=40,(EGR!AA114*1.4),IF(EGR!$D$3=45,(EGR!AA114*1.45),IF(EGR!$D$3=50,(EGR!AA114*1.5))))))))))))</f>
        <v>25.776000000000021</v>
      </c>
      <c r="I44" s="33"/>
      <c r="J44" s="128">
        <f>IF(EGR!$D$3=0,('NOx Model (1)'!G50*1),IF(EGR!$D$3=5,('NOx Model (1)'!G50*1.05),IF(EGR!$D$3=10,('NOx Model (1)'!G50*1.1),IF(EGR!$D$3=15,('NOx Model (1)'!G50*1.15),IF(EGR!$D$3=20,('NOx Model (1)'!G50*1.2),IF(EGR!$D$3=25,('NOx Model (1)'!G50*1.25),IF(EGR!$D$3=30,('NOx Model (1)'!G50*1.3),IF(EGR!$D$3=35,('NOx Model (1)'!G50*1.35),IF(EGR!$D$3=40,('NOx Model (1)'!G50*1.4),IF(EGR!$D$3=45,('NOx Model (1)'!G50*1.45),IF(EGR!$D$3=50,('NOx Model (1)'!G50*1.5))))))))))))</f>
        <v>1867.0119535840222</v>
      </c>
      <c r="K44" s="130">
        <f>IF(EGR!$D$3=0,(EGR!AC114*1),IF(EGR!$D$3=5,(EGR!AC114*1.05),IF(EGR!$D$3=10,(EGR!AC114*1.1),IF(EGR!$D$3=15,(EGR!AC114*1.15),IF(EGR!$D$3=20,(EGR!AC114*1.2),IF(EGR!$D$3=25,(EGR!AC114*1.25),IF(EGR!$D$3=30,(EGR!AC114*1.3),IF(EGR!$D$3=35,(EGR!AC114*1.35),IF(EGR!$D$3=40,(EGR!AC114*1.4),IF(EGR!$D$3=45,(EGR!AC114*1.45),IF(EGR!$D$3=50,(EGR!AC114*1.5))))))))))))</f>
        <v>3064.2119999999995</v>
      </c>
      <c r="L44" s="128">
        <f t="shared" si="6"/>
        <v>3144.2929815305561</v>
      </c>
      <c r="M44" s="130">
        <f t="shared" si="7"/>
        <v>4649.1077999999998</v>
      </c>
      <c r="N44" s="243">
        <v>1950</v>
      </c>
      <c r="P44" s="71"/>
    </row>
    <row r="45" spans="2:38" x14ac:dyDescent="0.25">
      <c r="B45" s="128">
        <f>IF(EGR!$D$3=0,('NOx Model (1)'!A51*1),IF(EGR!$D$3=5,('NOx Model (1)'!A51*1.05),IF(EGR!$D$3=10,('NOx Model (1)'!A51*1.1),IF(EGR!$D$3=15,('NOx Model (1)'!A51*1.15),IF(EGR!$D$3=20,('NOx Model (1)'!A51*1.2),IF(EGR!$D$3=25,('NOx Model (1)'!A51*1.25),IF(EGR!$D$3=30,('NOx Model (1)'!A51*1.3),IF(EGR!$D$3=35,('NOx Model (1)'!A51*1.35),IF(EGR!$D$3=40,('NOx Model (1)'!A51*1.4),IF(EGR!$D$3=45,('NOx Model (1)'!A51*1.45),IF(EGR!$D$3=50,('NOx Model (1)'!A51*1.5))))))))))))</f>
        <v>565.23088051330376</v>
      </c>
      <c r="C45" s="130">
        <f>IF(EGR!$D$3=0,(EGR!W115*1),IF(EGR!$D$3=5,(EGR!W115*1.05),IF(EGR!$D$3=10,(EGR!W115*1.1),IF(EGR!$D$3=15,(EGR!W115*1.15),IF(EGR!$D$3=20,(EGR!W115*1.2),IF(EGR!$D$3=25,(EGR!W115*1.25),IF(EGR!$D$3=30,(EGR!W115*1.3),IF(EGR!$D$3=35,(EGR!W115*1.35),IF(EGR!$D$3=40,(EGR!W115*1.4),IF(EGR!$D$3=45,(EGR!W115*1.45),IF(EGR!$D$3=50,(EGR!W115*1.5))))))))))))</f>
        <v>851.30304000000001</v>
      </c>
      <c r="D45" s="132">
        <f>IF(EGR!$D$3=0,('NOx Model (1)'!C51*1),IF(EGR!$D$3=5,('NOx Model (1)'!C51*1.05),IF(EGR!$D$3=10,('NOx Model (1)'!C51*1.1),IF(EGR!$D$3=15,('NOx Model (1)'!C51*1.15),IF(EGR!$D$3=20,('NOx Model (1)'!C51*1.2),IF(EGR!$D$3=25,('NOx Model (1)'!C51*1.25),IF(EGR!$D$3=30,('NOx Model (1)'!C51*1.3),IF(EGR!$D$3=35,('NOx Model (1)'!C51*1.35),IF(EGR!$D$3=40,('NOx Model (1)'!C51*1.4),IF(EGR!$D$3=45,('NOx Model (1)'!C51*1.45),IF(EGR!$D$3=50,('NOx Model (1)'!C51*1.5))))))))))))</f>
        <v>776.02987392482351</v>
      </c>
      <c r="E45" s="130">
        <f>IF(EGR!$D$3=0,(EGR!Y115*1),IF(EGR!$D$3=5,(EGR!Y115*1.05),IF(EGR!$D$3=10,(EGR!Y115*1.1),IF(EGR!$D$3=15,(EGR!Y115*1.15),IF(EGR!$D$3=20,(EGR!Y115*1.2),IF(EGR!$D$3=25,(EGR!Y115*1.25),IF(EGR!$D$3=30,(EGR!Y115*1.3),IF(EGR!$D$3=35,(EGR!Y115*1.35),IF(EGR!$D$3=40,(EGR!Y115*1.4),IF(EGR!$D$3=45,(EGR!Y115*1.45),IF(EGR!$D$3=50,(EGR!Y115*1.5))))))))))))</f>
        <v>762.65279999999996</v>
      </c>
      <c r="F45" s="71"/>
      <c r="G45" s="128">
        <f>IF(EGR!$D$3=0,('NOx Model (1)'!E51*1),IF(EGR!$D$3=5,('NOx Model (1)'!E51*1.05),IF(EGR!$D$3=10,('NOx Model (1)'!E51*1.1),IF(EGR!$D$3=15,('NOx Model (1)'!E51*1.15),IF(EGR!$D$3=20,('NOx Model (1)'!E51*1.2),IF(EGR!$D$3=25,('NOx Model (1)'!E51*1.25),IF(EGR!$D$3=30,('NOx Model (1)'!E51*1.3),IF(EGR!$D$3=35,('NOx Model (1)'!E51*1.35),IF(EGR!$D$3=40,('NOx Model (1)'!E51*1.4),IF(EGR!$D$3=45,('NOx Model (1)'!E51*1.45),IF(EGR!$D$3=50,('NOx Model (1)'!E51*1.5))))))))))))</f>
        <v>27.117953955623946</v>
      </c>
      <c r="H45" s="130">
        <f>IF(EGR!$D$3=0,(EGR!AA115*1),IF(EGR!$D$3=5,(EGR!AA115*1.05),IF(EGR!$D$3=10,(EGR!AA115*1.1),IF(EGR!$D$3=15,(EGR!AA115*1.15),IF(EGR!$D$3=20,(EGR!AA115*1.2),IF(EGR!$D$3=25,(EGR!AA115*1.25),IF(EGR!$D$3=30,(EGR!AA115*1.3),IF(EGR!$D$3=35,(EGR!AA115*1.35),IF(EGR!$D$3=40,(EGR!AA115*1.4),IF(EGR!$D$3=45,(EGR!AA115*1.45),IF(EGR!$D$3=50,(EGR!AA115*1.5))))))))))))</f>
        <v>26.626500000000025</v>
      </c>
      <c r="I45" s="33"/>
      <c r="J45" s="128">
        <f>IF(EGR!$D$3=0,('NOx Model (1)'!G51*1),IF(EGR!$D$3=5,('NOx Model (1)'!G51*1.05),IF(EGR!$D$3=10,('NOx Model (1)'!G51*1.1),IF(EGR!$D$3=15,('NOx Model (1)'!G51*1.15),IF(EGR!$D$3=20,('NOx Model (1)'!G51*1.2),IF(EGR!$D$3=25,('NOx Model (1)'!G51*1.25),IF(EGR!$D$3=30,('NOx Model (1)'!G51*1.3),IF(EGR!$D$3=35,('NOx Model (1)'!G51*1.35),IF(EGR!$D$3=40,('NOx Model (1)'!G51*1.4),IF(EGR!$D$3=45,('NOx Model (1)'!G51*1.45),IF(EGR!$D$3=50,('NOx Model (1)'!G51*1.5))))))))))))</f>
        <v>2164.7845274434553</v>
      </c>
      <c r="K45" s="130">
        <f>IF(EGR!$D$3=0,(EGR!AC115*1),IF(EGR!$D$3=5,(EGR!AC115*1.05),IF(EGR!$D$3=10,(EGR!AC115*1.1),IF(EGR!$D$3=15,(EGR!AC115*1.15),IF(EGR!$D$3=20,(EGR!AC115*1.2),IF(EGR!$D$3=25,(EGR!AC115*1.25),IF(EGR!$D$3=30,(EGR!AC115*1.3),IF(EGR!$D$3=35,(EGR!AC115*1.35),IF(EGR!$D$3=40,(EGR!AC115*1.4),IF(EGR!$D$3=45,(EGR!AC115*1.45),IF(EGR!$D$3=50,(EGR!AC115*1.5))))))))))))</f>
        <v>3165.732</v>
      </c>
      <c r="L45" s="128">
        <f t="shared" si="6"/>
        <v>3533.1632358372062</v>
      </c>
      <c r="M45" s="130">
        <f t="shared" si="7"/>
        <v>4806.3143399999999</v>
      </c>
      <c r="N45" s="243">
        <v>2000</v>
      </c>
      <c r="P45" s="71"/>
    </row>
    <row r="46" spans="2:38" x14ac:dyDescent="0.25">
      <c r="B46" s="128">
        <f>IF(EGR!$D$3=0,('NOx Model (1)'!A52*1),IF(EGR!$D$3=5,('NOx Model (1)'!A52*1.05),IF(EGR!$D$3=10,('NOx Model (1)'!A52*1.1),IF(EGR!$D$3=15,('NOx Model (1)'!A52*1.15),IF(EGR!$D$3=20,('NOx Model (1)'!A52*1.2),IF(EGR!$D$3=25,('NOx Model (1)'!A52*1.25),IF(EGR!$D$3=30,('NOx Model (1)'!A52*1.3),IF(EGR!$D$3=35,('NOx Model (1)'!A52*1.35),IF(EGR!$D$3=40,('NOx Model (1)'!A52*1.4),IF(EGR!$D$3=45,('NOx Model (1)'!A52*1.45),IF(EGR!$D$3=50,('NOx Model (1)'!A52*1.5))))))))))))</f>
        <v>641.65062516216483</v>
      </c>
      <c r="C46" s="130">
        <f>IF(EGR!$D$3=0,(EGR!W116*1),IF(EGR!$D$3=5,(EGR!W116*1.05),IF(EGR!$D$3=10,(EGR!W116*1.1),IF(EGR!$D$3=15,(EGR!W116*1.15),IF(EGR!$D$3=20,(EGR!W116*1.2),IF(EGR!$D$3=25,(EGR!W116*1.25),IF(EGR!$D$3=30,(EGR!W116*1.3),IF(EGR!$D$3=35,(EGR!W116*1.35),IF(EGR!$D$3=40,(EGR!W116*1.4),IF(EGR!$D$3=45,(EGR!W116*1.45),IF(EGR!$D$3=50,(EGR!W116*1.5))))))))))))</f>
        <v>879.42527999999993</v>
      </c>
      <c r="D46" s="132">
        <f>IF(EGR!$D$3=0,('NOx Model (1)'!C52*1),IF(EGR!$D$3=5,('NOx Model (1)'!C52*1.05),IF(EGR!$D$3=10,('NOx Model (1)'!C52*1.1),IF(EGR!$D$3=15,('NOx Model (1)'!C52*1.15),IF(EGR!$D$3=20,('NOx Model (1)'!C52*1.2),IF(EGR!$D$3=25,('NOx Model (1)'!C52*1.25),IF(EGR!$D$3=30,('NOx Model (1)'!C52*1.3),IF(EGR!$D$3=35,('NOx Model (1)'!C52*1.35),IF(EGR!$D$3=40,('NOx Model (1)'!C52*1.4),IF(EGR!$D$3=45,('NOx Model (1)'!C52*1.45),IF(EGR!$D$3=50,('NOx Model (1)'!C52*1.5))))))))))))</f>
        <v>803.46531506211022</v>
      </c>
      <c r="E46" s="130">
        <f>IF(EGR!$D$3=0,(EGR!Y116*1),IF(EGR!$D$3=5,(EGR!Y116*1.05),IF(EGR!$D$3=10,(EGR!Y116*1.1),IF(EGR!$D$3=15,(EGR!Y116*1.15),IF(EGR!$D$3=20,(EGR!Y116*1.2),IF(EGR!$D$3=25,(EGR!Y116*1.25),IF(EGR!$D$3=30,(EGR!Y116*1.3),IF(EGR!$D$3=35,(EGR!Y116*1.35),IF(EGR!$D$3=40,(EGR!Y116*1.4),IF(EGR!$D$3=45,(EGR!Y116*1.45),IF(EGR!$D$3=50,(EGR!Y116*1.5))))))))))))</f>
        <v>789.57612000000006</v>
      </c>
      <c r="F46" s="71"/>
      <c r="G46" s="128">
        <f>IF(EGR!$D$3=0,('NOx Model (1)'!E52*1),IF(EGR!$D$3=5,('NOx Model (1)'!E52*1.05),IF(EGR!$D$3=10,('NOx Model (1)'!E52*1.1),IF(EGR!$D$3=15,('NOx Model (1)'!E52*1.15),IF(EGR!$D$3=20,('NOx Model (1)'!E52*1.2),IF(EGR!$D$3=25,('NOx Model (1)'!E52*1.25),IF(EGR!$D$3=30,('NOx Model (1)'!E52*1.3),IF(EGR!$D$3=35,('NOx Model (1)'!E52*1.35),IF(EGR!$D$3=40,('NOx Model (1)'!E52*1.4),IF(EGR!$D$3=45,('NOx Model (1)'!E52*1.45),IF(EGR!$D$3=50,('NOx Model (1)'!E52*1.5))))))))))))</f>
        <v>22.4156967465774</v>
      </c>
      <c r="H46" s="130">
        <f>IF(EGR!$D$3=0,(EGR!AA116*1),IF(EGR!$D$3=5,(EGR!AA116*1.05),IF(EGR!$D$3=10,(EGR!AA116*1.1),IF(EGR!$D$3=15,(EGR!AA116*1.15),IF(EGR!$D$3=20,(EGR!AA116*1.2),IF(EGR!$D$3=25,(EGR!AA116*1.25),IF(EGR!$D$3=30,(EGR!AA116*1.3),IF(EGR!$D$3=35,(EGR!AA116*1.35),IF(EGR!$D$3=40,(EGR!AA116*1.4),IF(EGR!$D$3=45,(EGR!AA116*1.45),IF(EGR!$D$3=50,(EGR!AA116*1.5))))))))))))</f>
        <v>27.477000000000025</v>
      </c>
      <c r="I46" s="33"/>
      <c r="J46" s="128">
        <f>IF(EGR!$D$3=0,('NOx Model (1)'!G52*1),IF(EGR!$D$3=5,('NOx Model (1)'!G52*1.05),IF(EGR!$D$3=10,('NOx Model (1)'!G52*1.1),IF(EGR!$D$3=15,('NOx Model (1)'!G52*1.15),IF(EGR!$D$3=20,('NOx Model (1)'!G52*1.2),IF(EGR!$D$3=25,('NOx Model (1)'!G52*1.25),IF(EGR!$D$3=30,('NOx Model (1)'!G52*1.3),IF(EGR!$D$3=35,('NOx Model (1)'!G52*1.35),IF(EGR!$D$3=40,('NOx Model (1)'!G52*1.4),IF(EGR!$D$3=45,('NOx Model (1)'!G52*1.45),IF(EGR!$D$3=50,('NOx Model (1)'!G52*1.5))))))))))))</f>
        <v>2501.9279807501762</v>
      </c>
      <c r="K46" s="130">
        <f>IF(EGR!$D$3=0,(EGR!AC116*1),IF(EGR!$D$3=5,(EGR!AC116*1.05),IF(EGR!$D$3=10,(EGR!AC116*1.1),IF(EGR!$D$3=15,(EGR!AC116*1.15),IF(EGR!$D$3=20,(EGR!AC116*1.2),IF(EGR!$D$3=25,(EGR!AC116*1.25),IF(EGR!$D$3=30,(EGR!AC116*1.3),IF(EGR!$D$3=35,(EGR!AC116*1.35),IF(EGR!$D$3=40,(EGR!AC116*1.4),IF(EGR!$D$3=45,(EGR!AC116*1.45),IF(EGR!$D$3=50,(EGR!AC116*1.5))))))))))))</f>
        <v>3267.252</v>
      </c>
      <c r="L46" s="128">
        <f t="shared" si="6"/>
        <v>3969.4596177210287</v>
      </c>
      <c r="M46" s="130">
        <f t="shared" si="7"/>
        <v>4963.7304000000004</v>
      </c>
      <c r="N46" s="243">
        <v>2050</v>
      </c>
      <c r="P46" s="71"/>
    </row>
    <row r="47" spans="2:38" x14ac:dyDescent="0.25">
      <c r="B47" s="128">
        <f>IF(EGR!$D$3=0,('NOx Model (1)'!A53*1),IF(EGR!$D$3=5,('NOx Model (1)'!A53*1.05),IF(EGR!$D$3=10,('NOx Model (1)'!A53*1.1),IF(EGR!$D$3=15,('NOx Model (1)'!A53*1.15),IF(EGR!$D$3=20,('NOx Model (1)'!A53*1.2),IF(EGR!$D$3=25,('NOx Model (1)'!A53*1.25),IF(EGR!$D$3=30,('NOx Model (1)'!A53*1.3),IF(EGR!$D$3=35,('NOx Model (1)'!A53*1.35),IF(EGR!$D$3=40,('NOx Model (1)'!A53*1.4),IF(EGR!$D$3=45,('NOx Model (1)'!A53*1.45),IF(EGR!$D$3=50,('NOx Model (1)'!A53*1.5))))))))))))</f>
        <v>727.53201690649848</v>
      </c>
      <c r="C47" s="130">
        <f>IF(EGR!$D$3=0,(EGR!W117*1),IF(EGR!$D$3=5,(EGR!W117*1.05),IF(EGR!$D$3=10,(EGR!W117*1.1),IF(EGR!$D$3=15,(EGR!W117*1.15),IF(EGR!$D$3=20,(EGR!W117*1.2),IF(EGR!$D$3=25,(EGR!W117*1.25),IF(EGR!$D$3=30,(EGR!W117*1.3),IF(EGR!$D$3=35,(EGR!W117*1.35),IF(EGR!$D$3=40,(EGR!W117*1.4),IF(EGR!$D$3=45,(EGR!W117*1.45),IF(EGR!$D$3=50,(EGR!W117*1.5))))))))))))</f>
        <v>907.64063999999996</v>
      </c>
      <c r="D47" s="132">
        <f>IF(EGR!$D$3=0,('NOx Model (1)'!C53*1),IF(EGR!$D$3=5,('NOx Model (1)'!C53*1.05),IF(EGR!$D$3=10,('NOx Model (1)'!C53*1.1),IF(EGR!$D$3=15,('NOx Model (1)'!C53*1.15),IF(EGR!$D$3=20,('NOx Model (1)'!C53*1.2),IF(EGR!$D$3=25,('NOx Model (1)'!C53*1.25),IF(EGR!$D$3=30,('NOx Model (1)'!C53*1.3),IF(EGR!$D$3=35,('NOx Model (1)'!C53*1.35),IF(EGR!$D$3=40,('NOx Model (1)'!C53*1.4),IF(EGR!$D$3=45,('NOx Model (1)'!C53*1.45),IF(EGR!$D$3=50,('NOx Model (1)'!C53*1.5))))))))))))</f>
        <v>831.17402362546113</v>
      </c>
      <c r="E47" s="130">
        <f>IF(EGR!$D$3=0,(EGR!Y117*1),IF(EGR!$D$3=5,(EGR!Y117*1.05),IF(EGR!$D$3=10,(EGR!Y117*1.1),IF(EGR!$D$3=15,(EGR!Y117*1.15),IF(EGR!$D$3=20,(EGR!Y117*1.2),IF(EGR!$D$3=25,(EGR!Y117*1.25),IF(EGR!$D$3=30,(EGR!Y117*1.3),IF(EGR!$D$3=35,(EGR!Y117*1.35),IF(EGR!$D$3=40,(EGR!Y117*1.4),IF(EGR!$D$3=45,(EGR!Y117*1.45),IF(EGR!$D$3=50,(EGR!Y117*1.5))))))))))))</f>
        <v>816.60419999999999</v>
      </c>
      <c r="F47" s="71"/>
      <c r="G47" s="128">
        <f>IF(EGR!$D$3=0,('NOx Model (1)'!E53*1),IF(EGR!$D$3=5,('NOx Model (1)'!E53*1.05),IF(EGR!$D$3=10,('NOx Model (1)'!E53*1.1),IF(EGR!$D$3=15,('NOx Model (1)'!E53*1.15),IF(EGR!$D$3=20,('NOx Model (1)'!E53*1.2),IF(EGR!$D$3=25,('NOx Model (1)'!E53*1.25),IF(EGR!$D$3=30,('NOx Model (1)'!E53*1.3),IF(EGR!$D$3=35,('NOx Model (1)'!E53*1.35),IF(EGR!$D$3=40,('NOx Model (1)'!E53*1.4),IF(EGR!$D$3=45,('NOx Model (1)'!E53*1.45),IF(EGR!$D$3=50,('NOx Model (1)'!E53*1.5))))))))))))</f>
        <v>16.826757542298047</v>
      </c>
      <c r="H47" s="130">
        <f>IF(EGR!$D$3=0,(EGR!AA117*1),IF(EGR!$D$3=5,(EGR!AA117*1.05),IF(EGR!$D$3=10,(EGR!AA117*1.1),IF(EGR!$D$3=15,(EGR!AA117*1.15),IF(EGR!$D$3=20,(EGR!AA117*1.2),IF(EGR!$D$3=25,(EGR!AA117*1.25),IF(EGR!$D$3=30,(EGR!AA117*1.3),IF(EGR!$D$3=35,(EGR!AA117*1.35),IF(EGR!$D$3=40,(EGR!AA117*1.4),IF(EGR!$D$3=45,(EGR!AA117*1.45),IF(EGR!$D$3=50,(EGR!AA117*1.5))))))))))))</f>
        <v>28.332000000000026</v>
      </c>
      <c r="I47" s="33"/>
      <c r="J47" s="128">
        <f>IF(EGR!$D$3=0,('NOx Model (1)'!G53*1),IF(EGR!$D$3=5,('NOx Model (1)'!G53*1.05),IF(EGR!$D$3=10,('NOx Model (1)'!G53*1.1),IF(EGR!$D$3=15,('NOx Model (1)'!G53*1.15),IF(EGR!$D$3=20,('NOx Model (1)'!G53*1.2),IF(EGR!$D$3=25,('NOx Model (1)'!G53*1.25),IF(EGR!$D$3=30,('NOx Model (1)'!G53*1.3),IF(EGR!$D$3=35,('NOx Model (1)'!G53*1.35),IF(EGR!$D$3=40,('NOx Model (1)'!G53*1.4),IF(EGR!$D$3=45,('NOx Model (1)'!G53*1.45),IF(EGR!$D$3=50,('NOx Model (1)'!G53*1.5))))))))))))</f>
        <v>2882.5261849388858</v>
      </c>
      <c r="K47" s="130">
        <f>IF(EGR!$D$3=0,(EGR!AC117*1),IF(EGR!$D$3=5,(EGR!AC117*1.05),IF(EGR!$D$3=10,(EGR!AC117*1.1),IF(EGR!$D$3=15,(EGR!AC117*1.15),IF(EGR!$D$3=20,(EGR!AC117*1.2),IF(EGR!$D$3=25,(EGR!AC117*1.25),IF(EGR!$D$3=30,(EGR!AC117*1.3),IF(EGR!$D$3=35,(EGR!AC117*1.35),IF(EGR!$D$3=40,(EGR!AC117*1.4),IF(EGR!$D$3=45,(EGR!AC117*1.45),IF(EGR!$D$3=50,(EGR!AC117*1.5))))))))))))</f>
        <v>3368.7719999999999</v>
      </c>
      <c r="L47" s="128">
        <f t="shared" si="6"/>
        <v>4458.058983013143</v>
      </c>
      <c r="M47" s="130">
        <f t="shared" si="7"/>
        <v>5121.3488399999997</v>
      </c>
      <c r="N47" s="243">
        <v>2100</v>
      </c>
      <c r="P47" s="71"/>
    </row>
    <row r="48" spans="2:38" x14ac:dyDescent="0.25">
      <c r="B48" s="128">
        <f>IF(EGR!$D$3=0,('NOx Model (1)'!A54*1),IF(EGR!$D$3=5,('NOx Model (1)'!A54*1.05),IF(EGR!$D$3=10,('NOx Model (1)'!A54*1.1),IF(EGR!$D$3=15,('NOx Model (1)'!A54*1.15),IF(EGR!$D$3=20,('NOx Model (1)'!A54*1.2),IF(EGR!$D$3=25,('NOx Model (1)'!A54*1.25),IF(EGR!$D$3=30,('NOx Model (1)'!A54*1.3),IF(EGR!$D$3=35,('NOx Model (1)'!A54*1.35),IF(EGR!$D$3=40,('NOx Model (1)'!A54*1.4),IF(EGR!$D$3=45,('NOx Model (1)'!A54*1.45),IF(EGR!$D$3=50,('NOx Model (1)'!A54*1.5))))))))))))</f>
        <v>823.82886459032295</v>
      </c>
      <c r="C48" s="130">
        <f>IF(EGR!$D$3=0,(EGR!W118*1),IF(EGR!$D$3=5,(EGR!W118*1.05),IF(EGR!$D$3=10,(EGR!W118*1.1),IF(EGR!$D$3=15,(EGR!W118*1.15),IF(EGR!$D$3=20,(EGR!W118*1.2),IF(EGR!$D$3=25,(EGR!W118*1.25),IF(EGR!$D$3=30,(EGR!W118*1.3),IF(EGR!$D$3=35,(EGR!W118*1.35),IF(EGR!$D$3=40,(EGR!W118*1.4),IF(EGR!$D$3=45,(EGR!W118*1.45),IF(EGR!$D$3=50,(EGR!W118*1.5))))))))))))</f>
        <v>935.94911999999999</v>
      </c>
      <c r="D48" s="132">
        <f>IF(EGR!$D$3=0,('NOx Model (1)'!C54*1),IF(EGR!$D$3=5,('NOx Model (1)'!C54*1.05),IF(EGR!$D$3=10,('NOx Model (1)'!C54*1.1),IF(EGR!$D$3=15,('NOx Model (1)'!C54*1.15),IF(EGR!$D$3=20,('NOx Model (1)'!C54*1.2),IF(EGR!$D$3=25,('NOx Model (1)'!C54*1.25),IF(EGR!$D$3=30,('NOx Model (1)'!C54*1.3),IF(EGR!$D$3=35,('NOx Model (1)'!C54*1.35),IF(EGR!$D$3=40,('NOx Model (1)'!C54*1.4),IF(EGR!$D$3=45,('NOx Model (1)'!C54*1.45),IF(EGR!$D$3=50,('NOx Model (1)'!C54*1.5))))))))))))</f>
        <v>859.14380023582612</v>
      </c>
      <c r="E48" s="130">
        <f>IF(EGR!$D$3=0,(EGR!Y118*1),IF(EGR!$D$3=5,(EGR!Y118*1.05),IF(EGR!$D$3=10,(EGR!Y118*1.1),IF(EGR!$D$3=15,(EGR!Y118*1.15),IF(EGR!$D$3=20,(EGR!Y118*1.2),IF(EGR!$D$3=25,(EGR!Y118*1.25),IF(EGR!$D$3=30,(EGR!Y118*1.3),IF(EGR!$D$3=35,(EGR!Y118*1.35),IF(EGR!$D$3=40,(EGR!Y118*1.4),IF(EGR!$D$3=45,(EGR!Y118*1.45),IF(EGR!$D$3=50,(EGR!Y118*1.5))))))))))))</f>
        <v>843.73704000000009</v>
      </c>
      <c r="F48" s="71"/>
      <c r="G48" s="128">
        <f>IF(EGR!$D$3=0,('NOx Model (1)'!E54*1),IF(EGR!$D$3=5,('NOx Model (1)'!E54*1.05),IF(EGR!$D$3=10,('NOx Model (1)'!E54*1.1),IF(EGR!$D$3=15,('NOx Model (1)'!E54*1.15),IF(EGR!$D$3=20,('NOx Model (1)'!E54*1.2),IF(EGR!$D$3=25,('NOx Model (1)'!E54*1.25),IF(EGR!$D$3=30,('NOx Model (1)'!E54*1.3),IF(EGR!$D$3=35,('NOx Model (1)'!E54*1.35),IF(EGR!$D$3=40,('NOx Model (1)'!E54*1.4),IF(EGR!$D$3=45,('NOx Model (1)'!E54*1.45),IF(EGR!$D$3=50,('NOx Model (1)'!E54*1.5))))))))))))</f>
        <v>10.259135594765864</v>
      </c>
      <c r="H48" s="130">
        <f>IF(EGR!$D$3=0,(EGR!AA118*1),IF(EGR!$D$3=5,(EGR!AA118*1.05),IF(EGR!$D$3=10,(EGR!AA118*1.1),IF(EGR!$D$3=15,(EGR!AA118*1.15),IF(EGR!$D$3=20,(EGR!AA118*1.2),IF(EGR!$D$3=25,(EGR!AA118*1.25),IF(EGR!$D$3=30,(EGR!AA118*1.3),IF(EGR!$D$3=35,(EGR!AA118*1.35),IF(EGR!$D$3=40,(EGR!AA118*1.4),IF(EGR!$D$3=45,(EGR!AA118*1.45),IF(EGR!$D$3=50,(EGR!AA118*1.5))))))))))))</f>
        <v>29.187000000000026</v>
      </c>
      <c r="I48" s="33"/>
      <c r="J48" s="128">
        <f>IF(EGR!$D$3=0,('NOx Model (1)'!G54*1),IF(EGR!$D$3=5,('NOx Model (1)'!G54*1.05),IF(EGR!$D$3=10,('NOx Model (1)'!G54*1.1),IF(EGR!$D$3=15,('NOx Model (1)'!G54*1.15),IF(EGR!$D$3=20,('NOx Model (1)'!G54*1.2),IF(EGR!$D$3=25,('NOx Model (1)'!G54*1.25),IF(EGR!$D$3=30,('NOx Model (1)'!G54*1.3),IF(EGR!$D$3=35,('NOx Model (1)'!G54*1.35),IF(EGR!$D$3=40,('NOx Model (1)'!G54*1.4),IF(EGR!$D$3=45,('NOx Model (1)'!G54*1.45),IF(EGR!$D$3=50,('NOx Model (1)'!G54*1.5))))))))))))</f>
        <v>3310.9726477657132</v>
      </c>
      <c r="K48" s="130">
        <f>IF(EGR!$D$3=0,(EGR!AC118*1),IF(EGR!$D$3=5,(EGR!AC118*1.05),IF(EGR!$D$3=10,(EGR!AC118*1.1),IF(EGR!$D$3=15,(EGR!AC118*1.15),IF(EGR!$D$3=20,(EGR!AC118*1.2),IF(EGR!$D$3=25,(EGR!AC118*1.25),IF(EGR!$D$3=30,(EGR!AC118*1.3),IF(EGR!$D$3=35,(EGR!AC118*1.35),IF(EGR!$D$3=40,(EGR!AC118*1.4),IF(EGR!$D$3=45,(EGR!AC118*1.45),IF(EGR!$D$3=50,(EGR!AC118*1.5))))))))))))</f>
        <v>3470.8560000000002</v>
      </c>
      <c r="L48" s="128">
        <f t="shared" si="6"/>
        <v>5004.2044481866278</v>
      </c>
      <c r="M48" s="130">
        <f t="shared" si="7"/>
        <v>5279.7291600000008</v>
      </c>
      <c r="N48" s="243">
        <v>2150</v>
      </c>
      <c r="P48" s="71"/>
    </row>
    <row r="49" spans="2:16" x14ac:dyDescent="0.25">
      <c r="B49" s="128">
        <f>IF(EGR!$D$3=0,('NOx Model (1)'!A55*1),IF(EGR!$D$3=5,('NOx Model (1)'!A55*1.05),IF(EGR!$D$3=10,('NOx Model (1)'!A55*1.1),IF(EGR!$D$3=15,('NOx Model (1)'!A55*1.15),IF(EGR!$D$3=20,('NOx Model (1)'!A55*1.2),IF(EGR!$D$3=25,('NOx Model (1)'!A55*1.25),IF(EGR!$D$3=30,('NOx Model (1)'!A55*1.3),IF(EGR!$D$3=35,('NOx Model (1)'!A55*1.35),IF(EGR!$D$3=40,('NOx Model (1)'!A55*1.4),IF(EGR!$D$3=45,('NOx Model (1)'!A55*1.45),IF(EGR!$D$3=50,('NOx Model (1)'!A55*1.5))))))))))))</f>
        <v>931.56521211995255</v>
      </c>
      <c r="C49" s="130">
        <f>IF(EGR!$D$3=0,(EGR!W119*1),IF(EGR!$D$3=5,(EGR!W119*1.05),IF(EGR!$D$3=10,(EGR!W119*1.1),IF(EGR!$D$3=15,(EGR!W119*1.15),IF(EGR!$D$3=20,(EGR!W119*1.2),IF(EGR!$D$3=25,(EGR!W119*1.25),IF(EGR!$D$3=30,(EGR!W119*1.3),IF(EGR!$D$3=35,(EGR!W119*1.35),IF(EGR!$D$3=40,(EGR!W119*1.4),IF(EGR!$D$3=45,(EGR!W119*1.45),IF(EGR!$D$3=50,(EGR!W119*1.5))))))))))))</f>
        <v>964.35071999999991</v>
      </c>
      <c r="D49" s="132">
        <f>IF(EGR!$D$3=0,('NOx Model (1)'!C55*1),IF(EGR!$D$3=5,('NOx Model (1)'!C55*1.05),IF(EGR!$D$3=10,('NOx Model (1)'!C55*1.1),IF(EGR!$D$3=15,('NOx Model (1)'!C55*1.15),IF(EGR!$D$3=20,('NOx Model (1)'!C55*1.2),IF(EGR!$D$3=25,('NOx Model (1)'!C55*1.25),IF(EGR!$D$3=30,('NOx Model (1)'!C55*1.3),IF(EGR!$D$3=35,('NOx Model (1)'!C55*1.35),IF(EGR!$D$3=40,('NOx Model (1)'!C55*1.4),IF(EGR!$D$3=45,('NOx Model (1)'!C55*1.45),IF(EGR!$D$3=50,('NOx Model (1)'!C55*1.5))))))))))))</f>
        <v>887.35915594446362</v>
      </c>
      <c r="E49" s="130">
        <f>IF(EGR!$D$3=0,(EGR!Y119*1),IF(EGR!$D$3=5,(EGR!Y119*1.05),IF(EGR!$D$3=10,(EGR!Y119*1.1),IF(EGR!$D$3=15,(EGR!Y119*1.15),IF(EGR!$D$3=20,(EGR!Y119*1.2),IF(EGR!$D$3=25,(EGR!Y119*1.25),IF(EGR!$D$3=30,(EGR!Y119*1.3),IF(EGR!$D$3=35,(EGR!Y119*1.35),IF(EGR!$D$3=40,(EGR!Y119*1.4),IF(EGR!$D$3=45,(EGR!Y119*1.45),IF(EGR!$D$3=50,(EGR!Y119*1.5))))))))))))</f>
        <v>871.18416000000002</v>
      </c>
      <c r="F49" s="71"/>
      <c r="G49" s="128">
        <f>IF(EGR!$D$3=0,('NOx Model (1)'!E55*1),IF(EGR!$D$3=5,('NOx Model (1)'!E55*1.05),IF(EGR!$D$3=10,('NOx Model (1)'!E55*1.1),IF(EGR!$D$3=15,('NOx Model (1)'!E55*1.15),IF(EGR!$D$3=20,('NOx Model (1)'!E55*1.2),IF(EGR!$D$3=25,('NOx Model (1)'!E55*1.25),IF(EGR!$D$3=30,('NOx Model (1)'!E55*1.3),IF(EGR!$D$3=35,('NOx Model (1)'!E55*1.35),IF(EGR!$D$3=40,('NOx Model (1)'!E55*1.4),IF(EGR!$D$3=45,('NOx Model (1)'!E55*1.45),IF(EGR!$D$3=50,('NOx Model (1)'!E55*1.5))))))))))))</f>
        <v>2.613694400929051</v>
      </c>
      <c r="H49" s="130">
        <f>IF(EGR!$D$3=0,(EGR!AA119*1),IF(EGR!$D$3=5,(EGR!AA119*1.05),IF(EGR!$D$3=10,(EGR!AA119*1.1),IF(EGR!$D$3=15,(EGR!AA119*1.15),IF(EGR!$D$3=20,(EGR!AA119*1.2),IF(EGR!$D$3=25,(EGR!AA119*1.25),IF(EGR!$D$3=30,(EGR!AA119*1.3),IF(EGR!$D$3=35,(EGR!AA119*1.35),IF(EGR!$D$3=40,(EGR!AA119*1.4),IF(EGR!$D$3=45,(EGR!AA119*1.45),IF(EGR!$D$3=50,(EGR!AA119*1.5))))))))))))</f>
        <v>30.046500000000023</v>
      </c>
      <c r="I49" s="33"/>
      <c r="J49" s="128">
        <f>IF(EGR!$D$3=0,('NOx Model (1)'!G55*1),IF(EGR!$D$3=5,('NOx Model (1)'!G55*1.05),IF(EGR!$D$3=10,('NOx Model (1)'!G55*1.1),IF(EGR!$D$3=15,('NOx Model (1)'!G55*1.15),IF(EGR!$D$3=20,('NOx Model (1)'!G55*1.2),IF(EGR!$D$3=25,('NOx Model (1)'!G55*1.25),IF(EGR!$D$3=30,('NOx Model (1)'!G55*1.3),IF(EGR!$D$3=35,('NOx Model (1)'!G55*1.35),IF(EGR!$D$3=40,('NOx Model (1)'!G55*1.4),IF(EGR!$D$3=45,('NOx Model (1)'!G55*1.45),IF(EGR!$D$3=50,('NOx Model (1)'!G55*1.5))))))))))))</f>
        <v>3791.985828618594</v>
      </c>
      <c r="K49" s="130">
        <f>IF(EGR!$D$3=0,(EGR!AC119*1),IF(EGR!$D$3=5,(EGR!AC119*1.05),IF(EGR!$D$3=10,(EGR!AC119*1.1),IF(EGR!$D$3=15,(EGR!AC119*1.15),IF(EGR!$D$3=20,(EGR!AC119*1.2),IF(EGR!$D$3=25,(EGR!AC119*1.25),IF(EGR!$D$3=30,(EGR!AC119*1.3),IF(EGR!$D$3=35,(EGR!AC119*1.35),IF(EGR!$D$3=40,(EGR!AC119*1.4),IF(EGR!$D$3=45,(EGR!AC119*1.45),IF(EGR!$D$3=50,(EGR!AC119*1.5))))))))))))</f>
        <v>3573.5039999999999</v>
      </c>
      <c r="L49" s="128">
        <f t="shared" si="6"/>
        <v>5613.5238910839398</v>
      </c>
      <c r="M49" s="130">
        <f t="shared" si="7"/>
        <v>5439.0853799999995</v>
      </c>
      <c r="N49" s="243">
        <v>2200</v>
      </c>
      <c r="P49" s="71"/>
    </row>
    <row r="50" spans="2:16" x14ac:dyDescent="0.25">
      <c r="B50" s="128">
        <f>IF(EGR!$D$3=0,('NOx Model (1)'!A56*1),IF(EGR!$D$3=5,('NOx Model (1)'!A56*1.05),IF(EGR!$D$3=10,('NOx Model (1)'!A56*1.1),IF(EGR!$D$3=15,('NOx Model (1)'!A56*1.15),IF(EGR!$D$3=20,('NOx Model (1)'!A56*1.2),IF(EGR!$D$3=25,('NOx Model (1)'!A56*1.25),IF(EGR!$D$3=30,('NOx Model (1)'!A56*1.3),IF(EGR!$D$3=35,('NOx Model (1)'!A56*1.35),IF(EGR!$D$3=40,('NOx Model (1)'!A56*1.4),IF(EGR!$D$3=45,('NOx Model (1)'!A56*1.45),IF(EGR!$D$3=50,('NOx Model (1)'!A56*1.5))))))))))))</f>
        <v>1051.8387690752736</v>
      </c>
      <c r="C50" s="130">
        <f>IF(EGR!$D$3=0,(EGR!W120*1),IF(EGR!$D$3=5,(EGR!W120*1.05),IF(EGR!$D$3=10,(EGR!W120*1.1),IF(EGR!$D$3=15,(EGR!W120*1.15),IF(EGR!$D$3=20,(EGR!W120*1.2),IF(EGR!$D$3=25,(EGR!W120*1.25),IF(EGR!$D$3=30,(EGR!W120*1.3),IF(EGR!$D$3=35,(EGR!W120*1.35),IF(EGR!$D$3=40,(EGR!W120*1.4),IF(EGR!$D$3=45,(EGR!W120*1.45),IF(EGR!$D$3=50,(EGR!W120*1.5))))))))))))</f>
        <v>992.75231999999994</v>
      </c>
      <c r="D50" s="132">
        <f>IF(EGR!$D$3=0,('NOx Model (1)'!C56*1),IF(EGR!$D$3=5,('NOx Model (1)'!C56*1.05),IF(EGR!$D$3=10,('NOx Model (1)'!C56*1.1),IF(EGR!$D$3=15,('NOx Model (1)'!C56*1.15),IF(EGR!$D$3=20,('NOx Model (1)'!C56*1.2),IF(EGR!$D$3=25,('NOx Model (1)'!C56*1.25),IF(EGR!$D$3=30,('NOx Model (1)'!C56*1.3),IF(EGR!$D$3=35,('NOx Model (1)'!C56*1.35),IF(EGR!$D$3=40,('NOx Model (1)'!C56*1.4),IF(EGR!$D$3=45,('NOx Model (1)'!C56*1.45),IF(EGR!$D$3=50,('NOx Model (1)'!C56*1.5))))))))))))</f>
        <v>915.80154526114529</v>
      </c>
      <c r="E50" s="130">
        <f>IF(EGR!$D$3=0,(EGR!Y120*1),IF(EGR!$D$3=5,(EGR!Y120*1.05),IF(EGR!$D$3=10,(EGR!Y120*1.1),IF(EGR!$D$3=15,(EGR!Y120*1.15),IF(EGR!$D$3=20,(EGR!Y120*1.2),IF(EGR!$D$3=25,(EGR!Y120*1.25),IF(EGR!$D$3=30,(EGR!Y120*1.3),IF(EGR!$D$3=35,(EGR!Y120*1.35),IF(EGR!$D$3=40,(EGR!Y120*1.4),IF(EGR!$D$3=45,(EGR!Y120*1.45),IF(EGR!$D$3=50,(EGR!Y120*1.5))))))))))))</f>
        <v>898.63128000000006</v>
      </c>
      <c r="F50" s="71"/>
      <c r="G50" s="128">
        <f>IF(EGR!$D$3=0,('NOx Model (1)'!E56*1),IF(EGR!$D$3=5,('NOx Model (1)'!E56*1.05),IF(EGR!$D$3=10,('NOx Model (1)'!E56*1.1),IF(EGR!$D$3=15,('NOx Model (1)'!E56*1.15),IF(EGR!$D$3=20,('NOx Model (1)'!E56*1.2),IF(EGR!$D$3=25,('NOx Model (1)'!E56*1.25),IF(EGR!$D$3=30,('NOx Model (1)'!E56*1.3),IF(EGR!$D$3=35,('NOx Model (1)'!E56*1.35),IF(EGR!$D$3=40,('NOx Model (1)'!E56*1.4),IF(EGR!$D$3=45,('NOx Model (1)'!E56*1.45),IF(EGR!$D$3=50,('NOx Model (1)'!E56*1.5))))))))))))</f>
        <v>-6.2161437204006011</v>
      </c>
      <c r="H50" s="130">
        <f>IF(EGR!$D$3=0,(EGR!AA120*1),IF(EGR!$D$3=5,(EGR!AA120*1.05),IF(EGR!$D$3=10,(EGR!AA120*1.1),IF(EGR!$D$3=15,(EGR!AA120*1.15),IF(EGR!$D$3=20,(EGR!AA120*1.2),IF(EGR!$D$3=25,(EGR!AA120*1.25),IF(EGR!$D$3=30,(EGR!AA120*1.3),IF(EGR!$D$3=35,(EGR!AA120*1.35),IF(EGR!$D$3=40,(EGR!AA120*1.4),IF(EGR!$D$3=45,(EGR!AA120*1.45),IF(EGR!$D$3=50,(EGR!AA120*1.5))))))))))))</f>
        <v>30.910500000000024</v>
      </c>
      <c r="I50" s="33"/>
      <c r="J50" s="128">
        <f>IF(EGR!$D$3=0,('NOx Model (1)'!G56*1),IF(EGR!$D$3=5,('NOx Model (1)'!G56*1.05),IF(EGR!$D$3=10,('NOx Model (1)'!G56*1.1),IF(EGR!$D$3=15,('NOx Model (1)'!G56*1.15),IF(EGR!$D$3=20,('NOx Model (1)'!G56*1.2),IF(EGR!$D$3=25,('NOx Model (1)'!G56*1.25),IF(EGR!$D$3=30,('NOx Model (1)'!G56*1.3),IF(EGR!$D$3=35,('NOx Model (1)'!G56*1.35),IF(EGR!$D$3=40,('NOx Model (1)'!G56*1.4),IF(EGR!$D$3=45,('NOx Model (1)'!G56*1.45),IF(EGR!$D$3=50,('NOx Model (1)'!G56*1.5))))))))))))</f>
        <v>4330.6248305723038</v>
      </c>
      <c r="K50" s="130">
        <f>IF(EGR!$D$3=0,(EGR!AC120*1),IF(EGR!$D$3=5,(EGR!AC120*1.05),IF(EGR!$D$3=10,(EGR!AC120*1.1),IF(EGR!$D$3=15,(EGR!AC120*1.15),IF(EGR!$D$3=20,(EGR!AC120*1.2),IF(EGR!$D$3=25,(EGR!AC120*1.25),IF(EGR!$D$3=30,(EGR!AC120*1.3),IF(EGR!$D$3=35,(EGR!AC120*1.35),IF(EGR!$D$3=40,(EGR!AC120*1.4),IF(EGR!$D$3=45,(EGR!AC120*1.45),IF(EGR!$D$3=50,(EGR!AC120*1.5))))))))))))</f>
        <v>3675.5880000000002</v>
      </c>
      <c r="L50" s="128">
        <f t="shared" si="6"/>
        <v>6292.0490011883221</v>
      </c>
      <c r="M50" s="130">
        <f t="shared" si="7"/>
        <v>5597.8821000000007</v>
      </c>
      <c r="N50" s="243">
        <v>2250</v>
      </c>
      <c r="P50" s="71"/>
    </row>
    <row r="51" spans="2:16" x14ac:dyDescent="0.25">
      <c r="B51" s="128">
        <f>IF(EGR!$D$3=0,('NOx Model (1)'!A57*1),IF(EGR!$D$3=5,('NOx Model (1)'!A57*1.05),IF(EGR!$D$3=10,('NOx Model (1)'!A57*1.1),IF(EGR!$D$3=15,('NOx Model (1)'!A57*1.15),IF(EGR!$D$3=20,('NOx Model (1)'!A57*1.2),IF(EGR!$D$3=25,('NOx Model (1)'!A57*1.25),IF(EGR!$D$3=30,('NOx Model (1)'!A57*1.3),IF(EGR!$D$3=35,('NOx Model (1)'!A57*1.35),IF(EGR!$D$3=40,('NOx Model (1)'!A57*1.4),IF(EGR!$D$3=45,('NOx Model (1)'!A57*1.45),IF(EGR!$D$3=50,('NOx Model (1)'!A57*1.5))))))))))))</f>
        <v>1185.8244330264445</v>
      </c>
      <c r="C51" s="130">
        <f>IF(EGR!$D$3=0,(EGR!W121*1),IF(EGR!$D$3=5,(EGR!W121*1.05),IF(EGR!$D$3=10,(EGR!W121*1.1),IF(EGR!$D$3=15,(EGR!W121*1.15),IF(EGR!$D$3=20,(EGR!W121*1.2),IF(EGR!$D$3=25,(EGR!W121*1.25),IF(EGR!$D$3=30,(EGR!W121*1.3),IF(EGR!$D$3=35,(EGR!W121*1.35),IF(EGR!$D$3=40,(EGR!W121*1.4),IF(EGR!$D$3=45,(EGR!W121*1.45),IF(EGR!$D$3=50,(EGR!W121*1.5))))))))))))</f>
        <v>1021.15392</v>
      </c>
      <c r="D51" s="132">
        <f>IF(EGR!$D$3=0,('NOx Model (1)'!C57*1),IF(EGR!$D$3=5,('NOx Model (1)'!C57*1.05),IF(EGR!$D$3=10,('NOx Model (1)'!C57*1.1),IF(EGR!$D$3=15,('NOx Model (1)'!C57*1.15),IF(EGR!$D$3=20,('NOx Model (1)'!C57*1.2),IF(EGR!$D$3=25,('NOx Model (1)'!C57*1.25),IF(EGR!$D$3=30,('NOx Model (1)'!C57*1.3),IF(EGR!$D$3=35,('NOx Model (1)'!C57*1.35),IF(EGR!$D$3=40,('NOx Model (1)'!C57*1.4),IF(EGR!$D$3=45,('NOx Model (1)'!C57*1.45),IF(EGR!$D$3=50,('NOx Model (1)'!C57*1.5))))))))))))</f>
        <v>944.44967918016391</v>
      </c>
      <c r="E51" s="130">
        <f>IF(EGR!$D$3=0,(EGR!Y121*1),IF(EGR!$D$3=5,(EGR!Y121*1.05),IF(EGR!$D$3=10,(EGR!Y121*1.1),IF(EGR!$D$3=15,(EGR!Y121*1.15),IF(EGR!$D$3=20,(EGR!Y121*1.2),IF(EGR!$D$3=25,(EGR!Y121*1.25),IF(EGR!$D$3=30,(EGR!Y121*1.3),IF(EGR!$D$3=35,(EGR!Y121*1.35),IF(EGR!$D$3=40,(EGR!Y121*1.4),IF(EGR!$D$3=45,(EGR!Y121*1.45),IF(EGR!$D$3=50,(EGR!Y121*1.5))))))))))))</f>
        <v>926.28791999999999</v>
      </c>
      <c r="F51" s="71"/>
      <c r="G51" s="128">
        <f>IF(EGR!$D$3=0,('NOx Model (1)'!E57*1),IF(EGR!$D$3=5,('NOx Model (1)'!E57*1.05),IF(EGR!$D$3=10,('NOx Model (1)'!E57*1.1),IF(EGR!$D$3=15,('NOx Model (1)'!E57*1.15),IF(EGR!$D$3=20,('NOx Model (1)'!E57*1.2),IF(EGR!$D$3=25,('NOx Model (1)'!E57*1.25),IF(EGR!$D$3=30,('NOx Model (1)'!E57*1.3),IF(EGR!$D$3=35,('NOx Model (1)'!E57*1.35),IF(EGR!$D$3=40,('NOx Model (1)'!E57*1.4),IF(EGR!$D$3=45,('NOx Model (1)'!E57*1.45),IF(EGR!$D$3=50,('NOx Model (1)'!E57*1.5))))))))))))</f>
        <v>-16.344701955478694</v>
      </c>
      <c r="H51" s="130">
        <f>IF(EGR!$D$3=0,(EGR!AA121*1),IF(EGR!$D$3=5,(EGR!AA121*1.05),IF(EGR!$D$3=10,(EGR!AA121*1.1),IF(EGR!$D$3=15,(EGR!AA121*1.15),IF(EGR!$D$3=20,(EGR!AA121*1.2),IF(EGR!$D$3=25,(EGR!AA121*1.25),IF(EGR!$D$3=30,(EGR!AA121*1.3),IF(EGR!$D$3=35,(EGR!AA121*1.35),IF(EGR!$D$3=40,(EGR!AA121*1.4),IF(EGR!$D$3=45,(EGR!AA121*1.45),IF(EGR!$D$3=50,(EGR!AA121*1.5))))))))))))</f>
        <v>31.774500000000025</v>
      </c>
      <c r="I51" s="33"/>
      <c r="J51" s="128">
        <f>IF(EGR!$D$3=0,('NOx Model (1)'!G57*1),IF(EGR!$D$3=5,('NOx Model (1)'!G57*1.05),IF(EGR!$D$3=10,('NOx Model (1)'!G57*1.1),IF(EGR!$D$3=15,('NOx Model (1)'!G57*1.15),IF(EGR!$D$3=20,('NOx Model (1)'!G57*1.2),IF(EGR!$D$3=25,('NOx Model (1)'!G57*1.25),IF(EGR!$D$3=30,('NOx Model (1)'!G57*1.3),IF(EGR!$D$3=35,('NOx Model (1)'!G57*1.35),IF(EGR!$D$3=40,('NOx Model (1)'!G57*1.4),IF(EGR!$D$3=45,('NOx Model (1)'!G57*1.45),IF(EGR!$D$3=50,('NOx Model (1)'!G57*1.5))))))))))))</f>
        <v>4932.3054691881644</v>
      </c>
      <c r="K51" s="130">
        <f>IF(EGR!$D$3=0,(EGR!AC121*1),IF(EGR!$D$3=5,(EGR!AC121*1.05),IF(EGR!$D$3=10,(EGR!AC121*1.1),IF(EGR!$D$3=15,(EGR!AC121*1.15),IF(EGR!$D$3=20,(EGR!AC121*1.2),IF(EGR!$D$3=25,(EGR!AC121*1.25),IF(EGR!$D$3=30,(EGR!AC121*1.3),IF(EGR!$D$3=35,(EGR!AC121*1.35),IF(EGR!$D$3=40,(EGR!AC121*1.4),IF(EGR!$D$3=45,(EGR!AC121*1.45),IF(EGR!$D$3=50,(EGR!AC121*1.5))))))))))))</f>
        <v>3778.2359999999994</v>
      </c>
      <c r="L51" s="128">
        <f t="shared" si="6"/>
        <v>7046.2348794392938</v>
      </c>
      <c r="M51" s="130">
        <f t="shared" si="7"/>
        <v>5757.4523399999998</v>
      </c>
      <c r="N51" s="243">
        <v>2300</v>
      </c>
      <c r="P51" s="71"/>
    </row>
    <row r="52" spans="2:16" x14ac:dyDescent="0.25">
      <c r="B52" s="128">
        <f>IF(EGR!$D$3=0,('NOx Model (1)'!A58*1),IF(EGR!$D$3=5,('NOx Model (1)'!A58*1.05),IF(EGR!$D$3=10,('NOx Model (1)'!A58*1.1),IF(EGR!$D$3=15,('NOx Model (1)'!A58*1.15),IF(EGR!$D$3=20,('NOx Model (1)'!A58*1.2),IF(EGR!$D$3=25,('NOx Model (1)'!A58*1.25),IF(EGR!$D$3=30,('NOx Model (1)'!A58*1.3),IF(EGR!$D$3=35,('NOx Model (1)'!A58*1.35),IF(EGR!$D$3=40,('NOx Model (1)'!A58*1.4),IF(EGR!$D$3=45,('NOx Model (1)'!A58*1.45),IF(EGR!$D$3=50,('NOx Model (1)'!A58*1.5))))))))))))</f>
        <v>1334.7779035560309</v>
      </c>
      <c r="C52" s="130">
        <f>IF(EGR!$D$3=0,(EGR!W122*1),IF(EGR!$D$3=5,(EGR!W122*1.05),IF(EGR!$D$3=10,(EGR!W122*1.1),IF(EGR!$D$3=15,(EGR!W122*1.15),IF(EGR!$D$3=20,(EGR!W122*1.2),IF(EGR!$D$3=25,(EGR!W122*1.25),IF(EGR!$D$3=30,(EGR!W122*1.3),IF(EGR!$D$3=35,(EGR!W122*1.35),IF(EGR!$D$3=40,(EGR!W122*1.4),IF(EGR!$D$3=45,(EGR!W122*1.45),IF(EGR!$D$3=50,(EGR!W122*1.5))))))))))))</f>
        <v>1049.7417599999999</v>
      </c>
      <c r="D52" s="132">
        <f>IF(EGR!$D$3=0,('NOx Model (1)'!C58*1),IF(EGR!$D$3=5,('NOx Model (1)'!C58*1.05),IF(EGR!$D$3=10,('NOx Model (1)'!C58*1.1),IF(EGR!$D$3=15,('NOx Model (1)'!C58*1.15),IF(EGR!$D$3=20,('NOx Model (1)'!C58*1.2),IF(EGR!$D$3=25,('NOx Model (1)'!C58*1.25),IF(EGR!$D$3=30,('NOx Model (1)'!C58*1.3),IF(EGR!$D$3=35,('NOx Model (1)'!C58*1.35),IF(EGR!$D$3=40,('NOx Model (1)'!C58*1.4),IF(EGR!$D$3=45,('NOx Model (1)'!C58*1.45),IF(EGR!$D$3=50,('NOx Model (1)'!C58*1.5))))))))))))</f>
        <v>973.2799182041158</v>
      </c>
      <c r="E52" s="130">
        <f>IF(EGR!$D$3=0,(EGR!Y122*1),IF(EGR!$D$3=5,(EGR!Y122*1.05),IF(EGR!$D$3=10,(EGR!Y122*1.1),IF(EGR!$D$3=15,(EGR!Y122*1.15),IF(EGR!$D$3=20,(EGR!Y122*1.2),IF(EGR!$D$3=25,(EGR!Y122*1.25),IF(EGR!$D$3=30,(EGR!Y122*1.3),IF(EGR!$D$3=35,(EGR!Y122*1.35),IF(EGR!$D$3=40,(EGR!Y122*1.4),IF(EGR!$D$3=45,(EGR!Y122*1.45),IF(EGR!$D$3=50,(EGR!Y122*1.5))))))))))))</f>
        <v>954.04931999999997</v>
      </c>
      <c r="F52" s="71"/>
      <c r="G52" s="128">
        <f>IF(EGR!$D$3=0,('NOx Model (1)'!E58*1),IF(EGR!$D$3=5,('NOx Model (1)'!E58*1.05),IF(EGR!$D$3=10,('NOx Model (1)'!E58*1.1),IF(EGR!$D$3=15,('NOx Model (1)'!E58*1.15),IF(EGR!$D$3=20,('NOx Model (1)'!E58*1.2),IF(EGR!$D$3=25,('NOx Model (1)'!E58*1.25),IF(EGR!$D$3=30,('NOx Model (1)'!E58*1.3),IF(EGR!$D$3=35,('NOx Model (1)'!E58*1.35),IF(EGR!$D$3=40,('NOx Model (1)'!E58*1.4),IF(EGR!$D$3=45,('NOx Model (1)'!E58*1.45),IF(EGR!$D$3=50,('NOx Model (1)'!E58*1.5))))))))))))</f>
        <v>-27.894352226391124</v>
      </c>
      <c r="H52" s="130">
        <f>IF(EGR!$D$3=0,(EGR!AA122*1),IF(EGR!$D$3=5,(EGR!AA122*1.05),IF(EGR!$D$3=10,(EGR!AA122*1.1),IF(EGR!$D$3=15,(EGR!AA122*1.15),IF(EGR!$D$3=20,(EGR!AA122*1.2),IF(EGR!$D$3=25,(EGR!AA122*1.25),IF(EGR!$D$3=30,(EGR!AA122*1.3),IF(EGR!$D$3=35,(EGR!AA122*1.35),IF(EGR!$D$3=40,(EGR!AA122*1.4),IF(EGR!$D$3=45,(EGR!AA122*1.45),IF(EGR!$D$3=50,(EGR!AA122*1.5))))))))))))</f>
        <v>32.638500000000029</v>
      </c>
      <c r="I52" s="33"/>
      <c r="J52" s="128">
        <f>IF(EGR!$D$3=0,('NOx Model (1)'!G58*1),IF(EGR!$D$3=5,('NOx Model (1)'!G58*1.05),IF(EGR!$D$3=10,('NOx Model (1)'!G58*1.1),IF(EGR!$D$3=15,('NOx Model (1)'!G58*1.15),IF(EGR!$D$3=20,('NOx Model (1)'!G58*1.2),IF(EGR!$D$3=25,('NOx Model (1)'!G58*1.25),IF(EGR!$D$3=30,('NOx Model (1)'!G58*1.3),IF(EGR!$D$3=35,('NOx Model (1)'!G58*1.35),IF(EGR!$D$3=40,('NOx Model (1)'!G58*1.4),IF(EGR!$D$3=45,('NOx Model (1)'!G58*1.45),IF(EGR!$D$3=50,('NOx Model (1)'!G58*1.5))))))))))))</f>
        <v>5602.8167180584105</v>
      </c>
      <c r="K52" s="130">
        <f>IF(EGR!$D$3=0,(EGR!AC122*1),IF(EGR!$D$3=5,(EGR!AC122*1.05),IF(EGR!$D$3=10,(EGR!AC122*1.1),IF(EGR!$D$3=15,(EGR!AC122*1.15),IF(EGR!$D$3=20,(EGR!AC122*1.2),IF(EGR!$D$3=25,(EGR!AC122*1.25),IF(EGR!$D$3=30,(EGR!AC122*1.3),IF(EGR!$D$3=35,(EGR!AC122*1.35),IF(EGR!$D$3=40,(EGR!AC122*1.4),IF(EGR!$D$3=45,(EGR!AC122*1.45),IF(EGR!$D$3=50,(EGR!AC122*1.5))))))))))))</f>
        <v>3881.4479999999994</v>
      </c>
      <c r="L52" s="128">
        <f t="shared" si="6"/>
        <v>7882.9801875921657</v>
      </c>
      <c r="M52" s="130">
        <f t="shared" si="7"/>
        <v>5917.8775799999994</v>
      </c>
      <c r="N52" s="243">
        <v>2350</v>
      </c>
      <c r="P52" s="71"/>
    </row>
    <row r="53" spans="2:16" x14ac:dyDescent="0.25">
      <c r="B53" s="128">
        <f>IF(EGR!$D$3=0,('NOx Model (1)'!A59*1),IF(EGR!$D$3=5,('NOx Model (1)'!A59*1.05),IF(EGR!$D$3=10,('NOx Model (1)'!A59*1.1),IF(EGR!$D$3=15,('NOx Model (1)'!A59*1.15),IF(EGR!$D$3=20,('NOx Model (1)'!A59*1.2),IF(EGR!$D$3=25,('NOx Model (1)'!A59*1.25),IF(EGR!$D$3=30,('NOx Model (1)'!A59*1.3),IF(EGR!$D$3=35,('NOx Model (1)'!A59*1.35),IF(EGR!$D$3=40,('NOx Model (1)'!A59*1.4),IF(EGR!$D$3=45,('NOx Model (1)'!A59*1.45),IF(EGR!$D$3=50,('NOx Model (1)'!A59*1.5))))))))))))</f>
        <v>1500.0393879865583</v>
      </c>
      <c r="C53" s="130">
        <f>IF(EGR!$D$3=0,(EGR!W123*1),IF(EGR!$D$3=5,(EGR!W123*1.05),IF(EGR!$D$3=10,(EGR!W123*1.1),IF(EGR!$D$3=15,(EGR!W123*1.15),IF(EGR!$D$3=20,(EGR!W123*1.2),IF(EGR!$D$3=25,(EGR!W123*1.25),IF(EGR!$D$3=30,(EGR!W123*1.3),IF(EGR!$D$3=35,(EGR!W123*1.35),IF(EGR!$D$3=40,(EGR!W123*1.4),IF(EGR!$D$3=45,(EGR!W123*1.45),IF(EGR!$D$3=50,(EGR!W123*1.5))))))))))))</f>
        <v>1078.23648</v>
      </c>
      <c r="D53" s="132">
        <f>IF(EGR!$D$3=0,('NOx Model (1)'!C59*1),IF(EGR!$D$3=5,('NOx Model (1)'!C59*1.05),IF(EGR!$D$3=10,('NOx Model (1)'!C59*1.1),IF(EGR!$D$3=15,('NOx Model (1)'!C59*1.15),IF(EGR!$D$3=20,('NOx Model (1)'!C59*1.2),IF(EGR!$D$3=25,('NOx Model (1)'!C59*1.25),IF(EGR!$D$3=30,('NOx Model (1)'!C59*1.3),IF(EGR!$D$3=35,('NOx Model (1)'!C59*1.35),IF(EGR!$D$3=40,('NOx Model (1)'!C59*1.4),IF(EGR!$D$3=45,('NOx Model (1)'!C59*1.45),IF(EGR!$D$3=50,('NOx Model (1)'!C59*1.5))))))))))))</f>
        <v>1002.2667453654391</v>
      </c>
      <c r="E53" s="130">
        <f>IF(EGR!$D$3=0,(EGR!Y123*1),IF(EGR!$D$3=5,(EGR!Y123*1.05),IF(EGR!$D$3=10,(EGR!Y123*1.1),IF(EGR!$D$3=15,(EGR!Y123*1.15),IF(EGR!$D$3=20,(EGR!Y123*1.2),IF(EGR!$D$3=25,(EGR!Y123*1.25),IF(EGR!$D$3=30,(EGR!Y123*1.3),IF(EGR!$D$3=35,(EGR!Y123*1.35),IF(EGR!$D$3=40,(EGR!Y123*1.4),IF(EGR!$D$3=45,(EGR!Y123*1.45),IF(EGR!$D$3=50,(EGR!Y123*1.5))))))))))))</f>
        <v>982.02023999999994</v>
      </c>
      <c r="F53" s="71"/>
      <c r="G53" s="128">
        <f>IF(EGR!$D$3=0,('NOx Model (1)'!E59*1),IF(EGR!$D$3=5,('NOx Model (1)'!E59*1.05),IF(EGR!$D$3=10,('NOx Model (1)'!E59*1.1),IF(EGR!$D$3=15,('NOx Model (1)'!E59*1.15),IF(EGR!$D$3=20,('NOx Model (1)'!E59*1.2),IF(EGR!$D$3=25,('NOx Model (1)'!E59*1.25),IF(EGR!$D$3=30,('NOx Model (1)'!E59*1.3),IF(EGR!$D$3=35,('NOx Model (1)'!E59*1.35),IF(EGR!$D$3=40,('NOx Model (1)'!E59*1.4),IF(EGR!$D$3=45,('NOx Model (1)'!E59*1.45),IF(EGR!$D$3=50,('NOx Model (1)'!E59*1.5))))))))))))</f>
        <v>-40.995817325641731</v>
      </c>
      <c r="H53" s="130">
        <f>IF(EGR!$D$3=0,(EGR!AA123*1),IF(EGR!$D$3=5,(EGR!AA123*1.05),IF(EGR!$D$3=10,(EGR!AA123*1.1),IF(EGR!$D$3=15,(EGR!AA123*1.15),IF(EGR!$D$3=20,(EGR!AA123*1.2),IF(EGR!$D$3=25,(EGR!AA123*1.25),IF(EGR!$D$3=30,(EGR!AA123*1.3),IF(EGR!$D$3=35,(EGR!AA123*1.35),IF(EGR!$D$3=40,(EGR!AA123*1.4),IF(EGR!$D$3=45,(EGR!AA123*1.45),IF(EGR!$D$3=50,(EGR!AA123*1.5))))))))))))</f>
        <v>33.507000000000026</v>
      </c>
      <c r="I53" s="33"/>
      <c r="J53" s="128">
        <f>IF(EGR!$D$3=0,('NOx Model (1)'!G59*1),IF(EGR!$D$3=5,('NOx Model (1)'!G59*1.05),IF(EGR!$D$3=10,('NOx Model (1)'!G59*1.1),IF(EGR!$D$3=15,('NOx Model (1)'!G59*1.15),IF(EGR!$D$3=20,('NOx Model (1)'!G59*1.2),IF(EGR!$D$3=25,('NOx Model (1)'!G59*1.25),IF(EGR!$D$3=30,('NOx Model (1)'!G59*1.3),IF(EGR!$D$3=35,('NOx Model (1)'!G59*1.35),IF(EGR!$D$3=40,('NOx Model (1)'!G59*1.4),IF(EGR!$D$3=45,('NOx Model (1)'!G59*1.45),IF(EGR!$D$3=50,('NOx Model (1)'!G59*1.5))))))))))))</f>
        <v>6348.3375310952315</v>
      </c>
      <c r="K53" s="130">
        <f>IF(EGR!$D$3=0,(EGR!AC123*1),IF(EGR!$D$3=5,(EGR!AC123*1.05),IF(EGR!$D$3=10,(EGR!AC123*1.1),IF(EGR!$D$3=15,(EGR!AC123*1.15),IF(EGR!$D$3=20,(EGR!AC123*1.2),IF(EGR!$D$3=25,(EGR!AC123*1.25),IF(EGR!$D$3=30,(EGR!AC123*1.3),IF(EGR!$D$3=35,(EGR!AC123*1.35),IF(EGR!$D$3=40,(EGR!AC123*1.4),IF(EGR!$D$3=45,(EGR!AC123*1.45),IF(EGR!$D$3=50,(EGR!AC123*1.5))))))))))))</f>
        <v>3984.0959999999995</v>
      </c>
      <c r="L53" s="128">
        <f t="shared" si="6"/>
        <v>8809.6478471215869</v>
      </c>
      <c r="M53" s="130">
        <f t="shared" si="7"/>
        <v>6077.8597199999995</v>
      </c>
      <c r="N53" s="243">
        <v>2400</v>
      </c>
      <c r="P53" s="71"/>
    </row>
    <row r="54" spans="2:16" x14ac:dyDescent="0.25">
      <c r="B54" s="128">
        <f>IF(EGR!$D$3=0,('NOx Model (1)'!A60*1),IF(EGR!$D$3=5,('NOx Model (1)'!A60*1.05),IF(EGR!$D$3=10,('NOx Model (1)'!A60*1.1),IF(EGR!$D$3=15,('NOx Model (1)'!A60*1.15),IF(EGR!$D$3=20,('NOx Model (1)'!A60*1.2),IF(EGR!$D$3=25,('NOx Model (1)'!A60*1.25),IF(EGR!$D$3=30,('NOx Model (1)'!A60*1.3),IF(EGR!$D$3=35,('NOx Model (1)'!A60*1.35),IF(EGR!$D$3=40,('NOx Model (1)'!A60*1.4),IF(EGR!$D$3=45,('NOx Model (1)'!A60*1.45),IF(EGR!$D$3=50,('NOx Model (1)'!A60*1.5))))))))))))</f>
        <v>1683.0373988135018</v>
      </c>
      <c r="C54" s="130">
        <f>IF(EGR!$D$3=0,(EGR!W124*1),IF(EGR!$D$3=5,(EGR!W124*1.05),IF(EGR!$D$3=10,(EGR!W124*1.1),IF(EGR!$D$3=15,(EGR!W124*1.15),IF(EGR!$D$3=20,(EGR!W124*1.2),IF(EGR!$D$3=25,(EGR!W124*1.25),IF(EGR!$D$3=30,(EGR!W124*1.3),IF(EGR!$D$3=35,(EGR!W124*1.35),IF(EGR!$D$3=40,(EGR!W124*1.4),IF(EGR!$D$3=45,(EGR!W124*1.45),IF(EGR!$D$3=50,(EGR!W124*1.5))))))))))))</f>
        <v>1106.8243199999999</v>
      </c>
      <c r="D54" s="132">
        <f>IF(EGR!$D$3=0,('NOx Model (1)'!C60*1),IF(EGR!$D$3=5,('NOx Model (1)'!C60*1.05),IF(EGR!$D$3=10,('NOx Model (1)'!C60*1.1),IF(EGR!$D$3=15,('NOx Model (1)'!C60*1.15),IF(EGR!$D$3=20,('NOx Model (1)'!C60*1.2),IF(EGR!$D$3=25,('NOx Model (1)'!C60*1.25),IF(EGR!$D$3=30,('NOx Model (1)'!C60*1.3),IF(EGR!$D$3=35,('NOx Model (1)'!C60*1.35),IF(EGR!$D$3=40,('NOx Model (1)'!C60*1.4),IF(EGR!$D$3=45,('NOx Model (1)'!C60*1.45),IF(EGR!$D$3=50,('NOx Model (1)'!C60*1.5))))))))))))</f>
        <v>1031.383319245745</v>
      </c>
      <c r="E54" s="130">
        <f>IF(EGR!$D$3=0,(EGR!Y124*1),IF(EGR!$D$3=5,(EGR!Y124*1.05),IF(EGR!$D$3=10,(EGR!Y124*1.1),IF(EGR!$D$3=15,(EGR!Y124*1.15),IF(EGR!$D$3=20,(EGR!Y124*1.2),IF(EGR!$D$3=25,(EGR!Y124*1.25),IF(EGR!$D$3=30,(EGR!Y124*1.3),IF(EGR!$D$3=35,(EGR!Y124*1.35),IF(EGR!$D$3=40,(EGR!Y124*1.4),IF(EGR!$D$3=45,(EGR!Y124*1.45),IF(EGR!$D$3=50,(EGR!Y124*1.5))))))))))))</f>
        <v>1010.09592</v>
      </c>
      <c r="F54" s="71"/>
      <c r="G54" s="128">
        <f>IF(EGR!$D$3=0,('NOx Model (1)'!E60*1),IF(EGR!$D$3=5,('NOx Model (1)'!E60*1.05),IF(EGR!$D$3=10,('NOx Model (1)'!E60*1.1),IF(EGR!$D$3=15,('NOx Model (1)'!E60*1.15),IF(EGR!$D$3=20,('NOx Model (1)'!E60*1.2),IF(EGR!$D$3=25,('NOx Model (1)'!E60*1.25),IF(EGR!$D$3=30,('NOx Model (1)'!E60*1.3),IF(EGR!$D$3=35,('NOx Model (1)'!E60*1.35),IF(EGR!$D$3=40,('NOx Model (1)'!E60*1.4),IF(EGR!$D$3=45,('NOx Model (1)'!E60*1.45),IF(EGR!$D$3=50,('NOx Model (1)'!E60*1.5))))))))))))</f>
        <v>-55.788471954573112</v>
      </c>
      <c r="H54" s="130">
        <f>IF(EGR!$D$3=0,(EGR!AA124*1),IF(EGR!$D$3=5,(EGR!AA124*1.05),IF(EGR!$D$3=10,(EGR!AA124*1.1),IF(EGR!$D$3=15,(EGR!AA124*1.15),IF(EGR!$D$3=20,(EGR!AA124*1.2),IF(EGR!$D$3=25,(EGR!AA124*1.25),IF(EGR!$D$3=30,(EGR!AA124*1.3),IF(EGR!$D$3=35,(EGR!AA124*1.35),IF(EGR!$D$3=40,(EGR!AA124*1.4),IF(EGR!$D$3=45,(EGR!AA124*1.45),IF(EGR!$D$3=50,(EGR!AA124*1.5))))))))))))</f>
        <v>34.380000000000031</v>
      </c>
      <c r="I54" s="33"/>
      <c r="J54" s="128">
        <f>IF(EGR!$D$3=0,('NOx Model (1)'!G60*1),IF(EGR!$D$3=5,('NOx Model (1)'!G60*1.05),IF(EGR!$D$3=10,('NOx Model (1)'!G60*1.1),IF(EGR!$D$3=15,('NOx Model (1)'!G60*1.15),IF(EGR!$D$3=20,('NOx Model (1)'!G60*1.2),IF(EGR!$D$3=25,('NOx Model (1)'!G60*1.25),IF(EGR!$D$3=30,('NOx Model (1)'!G60*1.3),IF(EGR!$D$3=35,('NOx Model (1)'!G60*1.35),IF(EGR!$D$3=40,('NOx Model (1)'!G60*1.4),IF(EGR!$D$3=45,('NOx Model (1)'!G60*1.45),IF(EGR!$D$3=50,('NOx Model (1)'!G60*1.5))))))))))))</f>
        <v>7175.4540415644469</v>
      </c>
      <c r="K54" s="130">
        <f>IF(EGR!$D$3=0,(EGR!AC124*1),IF(EGR!$D$3=5,(EGR!AC124*1.05),IF(EGR!$D$3=10,(EGR!AC124*1.1),IF(EGR!$D$3=15,(EGR!AC124*1.15),IF(EGR!$D$3=20,(EGR!AC124*1.2),IF(EGR!$D$3=25,(EGR!AC124*1.25),IF(EGR!$D$3=30,(EGR!AC124*1.3),IF(EGR!$D$3=35,(EGR!AC124*1.35),IF(EGR!$D$3=40,(EGR!AC124*1.4),IF(EGR!$D$3=45,(EGR!AC124*1.45),IF(EGR!$D$3=50,(EGR!AC124*1.5))))))))))))</f>
        <v>4087.308</v>
      </c>
      <c r="L54" s="128">
        <f t="shared" si="6"/>
        <v>9834.0862876691208</v>
      </c>
      <c r="M54" s="130">
        <f t="shared" si="7"/>
        <v>6238.6082399999996</v>
      </c>
      <c r="N54" s="243">
        <v>2450</v>
      </c>
      <c r="P54" s="71"/>
    </row>
    <row r="55" spans="2:16" x14ac:dyDescent="0.25">
      <c r="B55" s="128">
        <f>IF(EGR!$D$3=0,('NOx Model (1)'!A61*1),IF(EGR!$D$3=5,('NOx Model (1)'!A61*1.05),IF(EGR!$D$3=10,('NOx Model (1)'!A61*1.1),IF(EGR!$D$3=15,('NOx Model (1)'!A61*1.15),IF(EGR!$D$3=20,('NOx Model (1)'!A61*1.2),IF(EGR!$D$3=25,('NOx Model (1)'!A61*1.25),IF(EGR!$D$3=30,('NOx Model (1)'!A61*1.3),IF(EGR!$D$3=35,('NOx Model (1)'!A61*1.35),IF(EGR!$D$3=40,('NOx Model (1)'!A61*1.4),IF(EGR!$D$3=45,('NOx Model (1)'!A61*1.45),IF(EGR!$D$3=50,('NOx Model (1)'!A61*1.5))))))))))))</f>
        <v>1885.2926428436976</v>
      </c>
      <c r="C55" s="130">
        <f>IF(EGR!$D$3=0,(EGR!W125*1),IF(EGR!$D$3=5,(EGR!W125*1.05),IF(EGR!$D$3=10,(EGR!W125*1.1),IF(EGR!$D$3=15,(EGR!W125*1.15),IF(EGR!$D$3=20,(EGR!W125*1.2),IF(EGR!$D$3=25,(EGR!W125*1.25),IF(EGR!$D$3=30,(EGR!W125*1.3),IF(EGR!$D$3=35,(EGR!W125*1.35),IF(EGR!$D$3=40,(EGR!W125*1.4),IF(EGR!$D$3=45,(EGR!W125*1.45),IF(EGR!$D$3=50,(EGR!W125*1.5))))))))))))</f>
        <v>1135.5052799999999</v>
      </c>
      <c r="D55" s="132">
        <f>IF(EGR!$D$3=0,('NOx Model (1)'!C61*1),IF(EGR!$D$3=5,('NOx Model (1)'!C61*1.05),IF(EGR!$D$3=10,('NOx Model (1)'!C61*1.1),IF(EGR!$D$3=15,('NOx Model (1)'!C61*1.15),IF(EGR!$D$3=20,('NOx Model (1)'!C61*1.2),IF(EGR!$D$3=25,('NOx Model (1)'!C61*1.25),IF(EGR!$D$3=30,('NOx Model (1)'!C61*1.3),IF(EGR!$D$3=35,('NOx Model (1)'!C61*1.35),IF(EGR!$D$3=40,('NOx Model (1)'!C61*1.4),IF(EGR!$D$3=45,('NOx Model (1)'!C61*1.45),IF(EGR!$D$3=50,('NOx Model (1)'!C61*1.5))))))))))))</f>
        <v>1060.6021069929329</v>
      </c>
      <c r="E55" s="130">
        <f>IF(EGR!$D$3=0,(EGR!Y125*1),IF(EGR!$D$3=5,(EGR!Y125*1.05),IF(EGR!$D$3=10,(EGR!Y125*1.1),IF(EGR!$D$3=15,(EGR!Y125*1.15),IF(EGR!$D$3=20,(EGR!Y125*1.2),IF(EGR!$D$3=25,(EGR!Y125*1.25),IF(EGR!$D$3=30,(EGR!Y125*1.3),IF(EGR!$D$3=35,(EGR!Y125*1.35),IF(EGR!$D$3=40,(EGR!Y125*1.4),IF(EGR!$D$3=45,(EGR!Y125*1.45),IF(EGR!$D$3=50,(EGR!Y125*1.5))))))))))))</f>
        <v>1038.2763600000001</v>
      </c>
      <c r="F55" s="71"/>
      <c r="G55" s="128">
        <f>IF(EGR!$D$3=0,('NOx Model (1)'!E61*1),IF(EGR!$D$3=5,('NOx Model (1)'!E61*1.05),IF(EGR!$D$3=10,('NOx Model (1)'!E61*1.1),IF(EGR!$D$3=15,('NOx Model (1)'!E61*1.15),IF(EGR!$D$3=20,('NOx Model (1)'!E61*1.2),IF(EGR!$D$3=25,('NOx Model (1)'!E61*1.25),IF(EGR!$D$3=30,('NOx Model (1)'!E61*1.3),IF(EGR!$D$3=35,('NOx Model (1)'!E61*1.35),IF(EGR!$D$3=40,('NOx Model (1)'!E61*1.4),IF(EGR!$D$3=45,('NOx Model (1)'!E61*1.45),IF(EGR!$D$3=50,('NOx Model (1)'!E61*1.5))))))))))))</f>
        <v>-72.420642665613968</v>
      </c>
      <c r="H55" s="130">
        <f>IF(EGR!$D$3=0,(EGR!AA125*1),IF(EGR!$D$3=5,(EGR!AA125*1.05),IF(EGR!$D$3=10,(EGR!AA125*1.1),IF(EGR!$D$3=15,(EGR!AA125*1.15),IF(EGR!$D$3=20,(EGR!AA125*1.2),IF(EGR!$D$3=25,(EGR!AA125*1.25),IF(EGR!$D$3=30,(EGR!AA125*1.3),IF(EGR!$D$3=35,(EGR!AA125*1.35),IF(EGR!$D$3=40,(EGR!AA125*1.4),IF(EGR!$D$3=45,(EGR!AA125*1.45),IF(EGR!$D$3=50,(EGR!AA125*1.5))))))))))))</f>
        <v>35.253000000000029</v>
      </c>
      <c r="I55" s="33"/>
      <c r="J55" s="128">
        <f>IF(EGR!$D$3=0,('NOx Model (1)'!G61*1),IF(EGR!$D$3=5,('NOx Model (1)'!G61*1.05),IF(EGR!$D$3=10,('NOx Model (1)'!G61*1.1),IF(EGR!$D$3=15,('NOx Model (1)'!G61*1.15),IF(EGR!$D$3=20,('NOx Model (1)'!G61*1.2),IF(EGR!$D$3=25,('NOx Model (1)'!G61*1.25),IF(EGR!$D$3=30,('NOx Model (1)'!G61*1.3),IF(EGR!$D$3=35,('NOx Model (1)'!G61*1.35),IF(EGR!$D$3=40,('NOx Model (1)'!G61*1.4),IF(EGR!$D$3=45,('NOx Model (1)'!G61*1.45),IF(EGR!$D$3=50,('NOx Model (1)'!G61*1.5))))))))))))</f>
        <v>8091.177137863896</v>
      </c>
      <c r="K55" s="130">
        <f>IF(EGR!$D$3=0,(EGR!AC125*1),IF(EGR!$D$3=5,(EGR!AC125*1.05),IF(EGR!$D$3=10,(EGR!AC125*1.1),IF(EGR!$D$3=15,(EGR!AC125*1.15),IF(EGR!$D$3=20,(EGR!AC125*1.2),IF(EGR!$D$3=25,(EGR!AC125*1.25),IF(EGR!$D$3=30,(EGR!AC125*1.3),IF(EGR!$D$3=35,(EGR!AC125*1.35),IF(EGR!$D$3=40,(EGR!AC125*1.4),IF(EGR!$D$3=45,(EGR!AC125*1.45),IF(EGR!$D$3=50,(EGR!AC125*1.5))))))))))))</f>
        <v>4190.5199999999995</v>
      </c>
      <c r="L55" s="128">
        <f t="shared" si="6"/>
        <v>10964.651245034913</v>
      </c>
      <c r="M55" s="130">
        <f t="shared" si="7"/>
        <v>6399.5546400000003</v>
      </c>
      <c r="N55" s="243">
        <v>2500</v>
      </c>
      <c r="P55" s="71"/>
    </row>
    <row r="56" spans="2:16" x14ac:dyDescent="0.25">
      <c r="B56" s="128">
        <f>IF(EGR!$D$3=0,('NOx Model (1)'!A62*1),IF(EGR!$D$3=5,('NOx Model (1)'!A62*1.05),IF(EGR!$D$3=10,('NOx Model (1)'!A62*1.1),IF(EGR!$D$3=15,('NOx Model (1)'!A62*1.15),IF(EGR!$D$3=20,('NOx Model (1)'!A62*1.2),IF(EGR!$D$3=25,('NOx Model (1)'!A62*1.25),IF(EGR!$D$3=30,('NOx Model (1)'!A62*1.3),IF(EGR!$D$3=35,('NOx Model (1)'!A62*1.35),IF(EGR!$D$3=40,('NOx Model (1)'!A62*1.4),IF(EGR!$D$3=45,('NOx Model (1)'!A62*1.45),IF(EGR!$D$3=50,('NOx Model (1)'!A62*1.5))))))))))))</f>
        <v>2108.4220020391867</v>
      </c>
      <c r="C56" s="130">
        <f>IF(EGR!$D$3=0,(EGR!W126*1),IF(EGR!$D$3=5,(EGR!W126*1.05),IF(EGR!$D$3=10,(EGR!W126*1.1),IF(EGR!$D$3=15,(EGR!W126*1.15),IF(EGR!$D$3=20,(EGR!W126*1.2),IF(EGR!$D$3=25,(EGR!W126*1.25),IF(EGR!$D$3=30,(EGR!W126*1.3),IF(EGR!$D$3=35,(EGR!W126*1.35),IF(EGR!$D$3=40,(EGR!W126*1.4),IF(EGR!$D$3=45,(EGR!W126*1.45),IF(EGR!$D$3=50,(EGR!W126*1.5))))))))))))</f>
        <v>1164.1862399999998</v>
      </c>
      <c r="D56" s="132">
        <f>IF(EGR!$D$3=0,('NOx Model (1)'!C62*1),IF(EGR!$D$3=5,('NOx Model (1)'!C62*1.05),IF(EGR!$D$3=10,('NOx Model (1)'!C62*1.1),IF(EGR!$D$3=15,('NOx Model (1)'!C62*1.15),IF(EGR!$D$3=20,('NOx Model (1)'!C62*1.2),IF(EGR!$D$3=25,('NOx Model (1)'!C62*1.25),IF(EGR!$D$3=30,('NOx Model (1)'!C62*1.3),IF(EGR!$D$3=35,('NOx Model (1)'!C62*1.35),IF(EGR!$D$3=40,('NOx Model (1)'!C62*1.4),IF(EGR!$D$3=45,('NOx Model (1)'!C62*1.45),IF(EGR!$D$3=50,('NOx Model (1)'!C62*1.5))))))))))))</f>
        <v>1089.8955973360462</v>
      </c>
      <c r="E56" s="130">
        <f>IF(EGR!$D$3=0,(EGR!Y126*1),IF(EGR!$D$3=5,(EGR!Y126*1.05),IF(EGR!$D$3=10,(EGR!Y126*1.1),IF(EGR!$D$3=15,(EGR!Y126*1.15),IF(EGR!$D$3=20,(EGR!Y126*1.2),IF(EGR!$D$3=25,(EGR!Y126*1.25),IF(EGR!$D$3=30,(EGR!Y126*1.3),IF(EGR!$D$3=35,(EGR!Y126*1.35),IF(EGR!$D$3=40,(EGR!Y126*1.4),IF(EGR!$D$3=45,(EGR!Y126*1.45),IF(EGR!$D$3=50,(EGR!Y126*1.5))))))))))))</f>
        <v>1066.5615600000001</v>
      </c>
      <c r="F56" s="71"/>
      <c r="G56" s="128">
        <f>IF(EGR!$D$3=0,('NOx Model (1)'!E62*1),IF(EGR!$D$3=5,('NOx Model (1)'!E62*1.05),IF(EGR!$D$3=10,('NOx Model (1)'!E62*1.1),IF(EGR!$D$3=15,('NOx Model (1)'!E62*1.15),IF(EGR!$D$3=20,('NOx Model (1)'!E62*1.2),IF(EGR!$D$3=25,('NOx Model (1)'!E62*1.25),IF(EGR!$D$3=30,('NOx Model (1)'!E62*1.3),IF(EGR!$D$3=35,('NOx Model (1)'!E62*1.35),IF(EGR!$D$3=40,('NOx Model (1)'!E62*1.4),IF(EGR!$D$3=45,('NOx Model (1)'!E62*1.45),IF(EGR!$D$3=50,('NOx Model (1)'!E62*1.5))))))))))))</f>
        <v>-91.049906708354044</v>
      </c>
      <c r="H56" s="130">
        <f>IF(EGR!$D$3=0,(EGR!AA126*1),IF(EGR!$D$3=5,(EGR!AA126*1.05),IF(EGR!$D$3=10,(EGR!AA126*1.1),IF(EGR!$D$3=15,(EGR!AA126*1.15),IF(EGR!$D$3=20,(EGR!AA126*1.2),IF(EGR!$D$3=25,(EGR!AA126*1.25),IF(EGR!$D$3=30,(EGR!AA126*1.3),IF(EGR!$D$3=35,(EGR!AA126*1.35),IF(EGR!$D$3=40,(EGR!AA126*1.4),IF(EGR!$D$3=45,(EGR!AA126*1.45),IF(EGR!$D$3=50,(EGR!AA126*1.5))))))))))))</f>
        <v>36.130500000000033</v>
      </c>
      <c r="I56" s="33"/>
      <c r="J56" s="128">
        <f>IF(EGR!$D$3=0,('NOx Model (1)'!G62*1),IF(EGR!$D$3=5,('NOx Model (1)'!G62*1.05),IF(EGR!$D$3=10,('NOx Model (1)'!G62*1.1),IF(EGR!$D$3=15,('NOx Model (1)'!G62*1.15),IF(EGR!$D$3=20,('NOx Model (1)'!G62*1.2),IF(EGR!$D$3=25,('NOx Model (1)'!G62*1.25),IF(EGR!$D$3=30,('NOx Model (1)'!G62*1.3),IF(EGR!$D$3=35,('NOx Model (1)'!G62*1.35),IF(EGR!$D$3=40,('NOx Model (1)'!G62*1.4),IF(EGR!$D$3=45,('NOx Model (1)'!G62*1.45),IF(EGR!$D$3=50,('NOx Model (1)'!G62*1.5))))))))))))</f>
        <v>9102.960416046446</v>
      </c>
      <c r="K56" s="130">
        <f>IF(EGR!$D$3=0,(EGR!AC126*1),IF(EGR!$D$3=5,(EGR!AC126*1.05),IF(EGR!$D$3=10,(EGR!AC126*1.1),IF(EGR!$D$3=15,(EGR!AC126*1.15),IF(EGR!$D$3=20,(EGR!AC126*1.2),IF(EGR!$D$3=25,(EGR!AC126*1.25),IF(EGR!$D$3=30,(EGR!AC126*1.3),IF(EGR!$D$3=35,(EGR!AC126*1.35),IF(EGR!$D$3=40,(EGR!AC126*1.4),IF(EGR!$D$3=45,(EGR!AC126*1.45),IF(EGR!$D$3=50,(EGR!AC126*1.5))))))))))))</f>
        <v>4293.7319999999991</v>
      </c>
      <c r="L56" s="128">
        <f t="shared" si="6"/>
        <v>12210.228108713325</v>
      </c>
      <c r="M56" s="130">
        <f t="shared" si="7"/>
        <v>6560.6102999999994</v>
      </c>
      <c r="N56" s="243">
        <v>2550</v>
      </c>
      <c r="P56" s="71"/>
    </row>
    <row r="57" spans="2:16" x14ac:dyDescent="0.25">
      <c r="B57" s="128">
        <f>IF(EGR!$D$3=0,('NOx Model (1)'!A63*1),IF(EGR!$D$3=5,('NOx Model (1)'!A63*1.05),IF(EGR!$D$3=10,('NOx Model (1)'!A63*1.1),IF(EGR!$D$3=15,('NOx Model (1)'!A63*1.15),IF(EGR!$D$3=20,('NOx Model (1)'!A63*1.2),IF(EGR!$D$3=25,('NOx Model (1)'!A63*1.25),IF(EGR!$D$3=30,('NOx Model (1)'!A63*1.3),IF(EGR!$D$3=35,('NOx Model (1)'!A63*1.35),IF(EGR!$D$3=40,('NOx Model (1)'!A63*1.4),IF(EGR!$D$3=45,('NOx Model (1)'!A63*1.45),IF(EGR!$D$3=50,('NOx Model (1)'!A63*1.5))))))))))))</f>
        <v>2354.1426060664771</v>
      </c>
      <c r="C57" s="130">
        <f>IF(EGR!$D$3=0,(EGR!W127*1),IF(EGR!$D$3=5,(EGR!W127*1.05),IF(EGR!$D$3=10,(EGR!W127*1.1),IF(EGR!$D$3=15,(EGR!W127*1.15),IF(EGR!$D$3=20,(EGR!W127*1.2),IF(EGR!$D$3=25,(EGR!W127*1.25),IF(EGR!$D$3=30,(EGR!W127*1.3),IF(EGR!$D$3=35,(EGR!W127*1.35),IF(EGR!$D$3=40,(EGR!W127*1.4),IF(EGR!$D$3=45,(EGR!W127*1.45),IF(EGR!$D$3=50,(EGR!W127*1.5))))))))))))</f>
        <v>1192.8671999999999</v>
      </c>
      <c r="D57" s="132">
        <f>IF(EGR!$D$3=0,('NOx Model (1)'!C63*1),IF(EGR!$D$3=5,('NOx Model (1)'!C63*1.05),IF(EGR!$D$3=10,('NOx Model (1)'!C63*1.1),IF(EGR!$D$3=15,('NOx Model (1)'!C63*1.15),IF(EGR!$D$3=20,('NOx Model (1)'!C63*1.2),IF(EGR!$D$3=25,('NOx Model (1)'!C63*1.25),IF(EGR!$D$3=30,('NOx Model (1)'!C63*1.3),IF(EGR!$D$3=35,('NOx Model (1)'!C63*1.35),IF(EGR!$D$3=40,('NOx Model (1)'!C63*1.4),IF(EGR!$D$3=45,('NOx Model (1)'!C63*1.45),IF(EGR!$D$3=50,('NOx Model (1)'!C63*1.5))))))))))))</f>
        <v>1119.2370935979391</v>
      </c>
      <c r="E57" s="130">
        <f>IF(EGR!$D$3=0,(EGR!Y127*1),IF(EGR!$D$3=5,(EGR!Y127*1.05),IF(EGR!$D$3=10,(EGR!Y127*1.1),IF(EGR!$D$3=15,(EGR!Y127*1.15),IF(EGR!$D$3=20,(EGR!Y127*1.2),IF(EGR!$D$3=25,(EGR!Y127*1.25),IF(EGR!$D$3=30,(EGR!Y127*1.3),IF(EGR!$D$3=35,(EGR!Y127*1.35),IF(EGR!$D$3=40,(EGR!Y127*1.4),IF(EGR!$D$3=45,(EGR!Y127*1.45),IF(EGR!$D$3=50,(EGR!Y127*1.5))))))))))))</f>
        <v>1094.9515200000001</v>
      </c>
      <c r="F57" s="71"/>
      <c r="G57" s="128">
        <f>IF(EGR!$D$3=0,('NOx Model (1)'!E63*1),IF(EGR!$D$3=5,('NOx Model (1)'!E63*1.05),IF(EGR!$D$3=10,('NOx Model (1)'!E63*1.1),IF(EGR!$D$3=15,('NOx Model (1)'!E63*1.15),IF(EGR!$D$3=20,('NOx Model (1)'!E63*1.2),IF(EGR!$D$3=25,('NOx Model (1)'!E63*1.25),IF(EGR!$D$3=30,('NOx Model (1)'!E63*1.3),IF(EGR!$D$3=35,('NOx Model (1)'!E63*1.35),IF(EGR!$D$3=40,('NOx Model (1)'!E63*1.4),IF(EGR!$D$3=45,('NOx Model (1)'!E63*1.45),IF(EGR!$D$3=50,('NOx Model (1)'!E63*1.5))))))))))))</f>
        <v>-111.84338977945166</v>
      </c>
      <c r="H57" s="130">
        <f>IF(EGR!$D$3=0,(EGR!AA127*1),IF(EGR!$D$3=5,(EGR!AA127*1.05),IF(EGR!$D$3=10,(EGR!AA127*1.1),IF(EGR!$D$3=15,(EGR!AA127*1.15),IF(EGR!$D$3=20,(EGR!AA127*1.2),IF(EGR!$D$3=25,(EGR!AA127*1.25),IF(EGR!$D$3=30,(EGR!AA127*1.3),IF(EGR!$D$3=35,(EGR!AA127*1.35),IF(EGR!$D$3=40,(EGR!AA127*1.4),IF(EGR!$D$3=45,(EGR!AA127*1.45),IF(EGR!$D$3=50,(EGR!AA127*1.5))))))))))))</f>
        <v>37.008000000000031</v>
      </c>
      <c r="I57" s="33"/>
      <c r="J57" s="128">
        <f>IF(EGR!$D$3=0,('NOx Model (1)'!G63*1),IF(EGR!$D$3=5,('NOx Model (1)'!G63*1.05),IF(EGR!$D$3=10,('NOx Model (1)'!G63*1.1),IF(EGR!$D$3=15,('NOx Model (1)'!G63*1.15),IF(EGR!$D$3=20,('NOx Model (1)'!G63*1.2),IF(EGR!$D$3=25,('NOx Model (1)'!G63*1.25),IF(EGR!$D$3=30,('NOx Model (1)'!G63*1.3),IF(EGR!$D$3=35,('NOx Model (1)'!G63*1.35),IF(EGR!$D$3=40,('NOx Model (1)'!G63*1.4),IF(EGR!$D$3=45,('NOx Model (1)'!G63*1.45),IF(EGR!$D$3=50,('NOx Model (1)'!G63*1.5))))))))))))</f>
        <v>10218.718509087679</v>
      </c>
      <c r="K57" s="130">
        <f>IF(EGR!$D$3=0,(EGR!AC127*1),IF(EGR!$D$3=5,(EGR!AC127*1.05),IF(EGR!$D$3=10,(EGR!AC127*1.1),IF(EGR!$D$3=15,(EGR!AC127*1.15),IF(EGR!$D$3=20,(EGR!AC127*1.2),IF(EGR!$D$3=25,(EGR!AC127*1.25),IF(EGR!$D$3=30,(EGR!AC127*1.3),IF(EGR!$D$3=35,(EGR!AC127*1.35),IF(EGR!$D$3=40,(EGR!AC127*1.4),IF(EGR!$D$3=45,(EGR!AC127*1.45),IF(EGR!$D$3=50,(EGR!AC127*1.5))))))))))))</f>
        <v>4397.5079999999998</v>
      </c>
      <c r="L57" s="128">
        <f t="shared" si="6"/>
        <v>13580.254818972644</v>
      </c>
      <c r="M57" s="130">
        <f t="shared" si="7"/>
        <v>6722.3347199999998</v>
      </c>
      <c r="N57" s="243">
        <v>2600</v>
      </c>
      <c r="P57" s="71"/>
    </row>
    <row r="58" spans="2:16" x14ac:dyDescent="0.25">
      <c r="B58" s="128">
        <f>IF(EGR!$D$3=0,('NOx Model (1)'!A64*1),IF(EGR!$D$3=5,('NOx Model (1)'!A64*1.05),IF(EGR!$D$3=10,('NOx Model (1)'!A64*1.1),IF(EGR!$D$3=15,('NOx Model (1)'!A64*1.15),IF(EGR!$D$3=20,('NOx Model (1)'!A64*1.2),IF(EGR!$D$3=25,('NOx Model (1)'!A64*1.25),IF(EGR!$D$3=30,('NOx Model (1)'!A64*1.3),IF(EGR!$D$3=35,('NOx Model (1)'!A64*1.35),IF(EGR!$D$3=40,('NOx Model (1)'!A64*1.4),IF(EGR!$D$3=45,('NOx Model (1)'!A64*1.45),IF(EGR!$D$3=50,('NOx Model (1)'!A64*1.5))))))))))))</f>
        <v>2624.2759965512478</v>
      </c>
      <c r="C58" s="130">
        <f>IF(EGR!$D$3=0,(EGR!W128*1),IF(EGR!$D$3=5,(EGR!W128*1.05),IF(EGR!$D$3=10,(EGR!W128*1.1),IF(EGR!$D$3=15,(EGR!W128*1.15),IF(EGR!$D$3=20,(EGR!W128*1.2),IF(EGR!$D$3=25,(EGR!W128*1.25),IF(EGR!$D$3=30,(EGR!W128*1.3),IF(EGR!$D$3=35,(EGR!W128*1.35),IF(EGR!$D$3=40,(EGR!W128*1.4),IF(EGR!$D$3=45,(EGR!W128*1.45),IF(EGR!$D$3=50,(EGR!W128*1.5))))))))))))</f>
        <v>1221.6412800000001</v>
      </c>
      <c r="D58" s="132">
        <f>IF(EGR!$D$3=0,('NOx Model (1)'!C64*1),IF(EGR!$D$3=5,('NOx Model (1)'!C64*1.05),IF(EGR!$D$3=10,('NOx Model (1)'!C64*1.1),IF(EGR!$D$3=15,('NOx Model (1)'!C64*1.15),IF(EGR!$D$3=20,('NOx Model (1)'!C64*1.2),IF(EGR!$D$3=25,('NOx Model (1)'!C64*1.25),IF(EGR!$D$3=30,('NOx Model (1)'!C64*1.3),IF(EGR!$D$3=35,('NOx Model (1)'!C64*1.35),IF(EGR!$D$3=40,('NOx Model (1)'!C64*1.4),IF(EGR!$D$3=45,('NOx Model (1)'!C64*1.45),IF(EGR!$D$3=50,('NOx Model (1)'!C64*1.5))))))))))))</f>
        <v>1148.6015867057145</v>
      </c>
      <c r="E58" s="130">
        <f>IF(EGR!$D$3=0,(EGR!Y128*1),IF(EGR!$D$3=5,(EGR!Y128*1.05),IF(EGR!$D$3=10,(EGR!Y128*1.1),IF(EGR!$D$3=15,(EGR!Y128*1.15),IF(EGR!$D$3=20,(EGR!Y128*1.2),IF(EGR!$D$3=25,(EGR!Y128*1.25),IF(EGR!$D$3=30,(EGR!Y128*1.3),IF(EGR!$D$3=35,(EGR!Y128*1.35),IF(EGR!$D$3=40,(EGR!Y128*1.4),IF(EGR!$D$3=45,(EGR!Y128*1.45),IF(EGR!$D$3=50,(EGR!Y128*1.5))))))))))))</f>
        <v>1123.44624</v>
      </c>
      <c r="F58" s="71"/>
      <c r="G58" s="128">
        <f>IF(EGR!$D$3=0,('NOx Model (1)'!E64*1),IF(EGR!$D$3=5,('NOx Model (1)'!E64*1.05),IF(EGR!$D$3=10,('NOx Model (1)'!E64*1.1),IF(EGR!$D$3=15,('NOx Model (1)'!E64*1.15),IF(EGR!$D$3=20,('NOx Model (1)'!E64*1.2),IF(EGR!$D$3=25,('NOx Model (1)'!E64*1.25),IF(EGR!$D$3=30,('NOx Model (1)'!E64*1.3),IF(EGR!$D$3=35,('NOx Model (1)'!E64*1.35),IF(EGR!$D$3=40,('NOx Model (1)'!E64*1.4),IF(EGR!$D$3=45,('NOx Model (1)'!E64*1.45),IF(EGR!$D$3=50,('NOx Model (1)'!E64*1.5))))))))))))</f>
        <v>-134.97806267636602</v>
      </c>
      <c r="H58" s="130">
        <f>IF(EGR!$D$3=0,(EGR!AA128*1),IF(EGR!$D$3=5,(EGR!AA128*1.05),IF(EGR!$D$3=10,(EGR!AA128*1.1),IF(EGR!$D$3=15,(EGR!AA128*1.15),IF(EGR!$D$3=20,(EGR!AA128*1.2),IF(EGR!$D$3=25,(EGR!AA128*1.25),IF(EGR!$D$3=30,(EGR!AA128*1.3),IF(EGR!$D$3=35,(EGR!AA128*1.35),IF(EGR!$D$3=40,(EGR!AA128*1.4),IF(EGR!$D$3=45,(EGR!AA128*1.45),IF(EGR!$D$3=50,(EGR!AA128*1.5))))))))))))</f>
        <v>37.890000000000029</v>
      </c>
      <c r="I58" s="33"/>
      <c r="J58" s="128">
        <f>IF(EGR!$D$3=0,('NOx Model (1)'!G64*1),IF(EGR!$D$3=5,('NOx Model (1)'!G64*1.05),IF(EGR!$D$3=10,('NOx Model (1)'!G64*1.1),IF(EGR!$D$3=15,('NOx Model (1)'!G64*1.15),IF(EGR!$D$3=20,('NOx Model (1)'!G64*1.2),IF(EGR!$D$3=25,('NOx Model (1)'!G64*1.25),IF(EGR!$D$3=30,('NOx Model (1)'!G64*1.3),IF(EGR!$D$3=35,('NOx Model (1)'!G64*1.35),IF(EGR!$D$3=40,('NOx Model (1)'!G64*1.4),IF(EGR!$D$3=45,('NOx Model (1)'!G64*1.45),IF(EGR!$D$3=50,('NOx Model (1)'!G64*1.5))))))))))))</f>
        <v>11446.845792898266</v>
      </c>
      <c r="K58" s="130">
        <f>IF(EGR!$D$3=0,(EGR!AC128*1),IF(EGR!$D$3=5,(EGR!AC128*1.05),IF(EGR!$D$3=10,(EGR!AC128*1.1),IF(EGR!$D$3=15,(EGR!AC128*1.15),IF(EGR!$D$3=20,(EGR!AC128*1.2),IF(EGR!$D$3=25,(EGR!AC128*1.25),IF(EGR!$D$3=30,(EGR!AC128*1.3),IF(EGR!$D$3=35,(EGR!AC128*1.35),IF(EGR!$D$3=40,(EGR!AC128*1.4),IF(EGR!$D$3=45,(EGR!AC128*1.45),IF(EGR!$D$3=50,(EGR!AC128*1.5))))))))))))</f>
        <v>4501.2839999999997</v>
      </c>
      <c r="L58" s="128">
        <f t="shared" si="6"/>
        <v>15084.745313478863</v>
      </c>
      <c r="M58" s="130">
        <f t="shared" si="7"/>
        <v>6884.26152</v>
      </c>
      <c r="N58" s="243">
        <v>2650</v>
      </c>
      <c r="P58" s="71"/>
    </row>
    <row r="59" spans="2:16" x14ac:dyDescent="0.25">
      <c r="B59" s="128">
        <f>IF(EGR!$D$3=0,('NOx Model (1)'!A65*1),IF(EGR!$D$3=5,('NOx Model (1)'!A65*1.05),IF(EGR!$D$3=10,('NOx Model (1)'!A65*1.1),IF(EGR!$D$3=15,('NOx Model (1)'!A65*1.15),IF(EGR!$D$3=20,('NOx Model (1)'!A65*1.2),IF(EGR!$D$3=25,('NOx Model (1)'!A65*1.25),IF(EGR!$D$3=30,('NOx Model (1)'!A65*1.3),IF(EGR!$D$3=35,('NOx Model (1)'!A65*1.35),IF(EGR!$D$3=40,('NOx Model (1)'!A65*1.4),IF(EGR!$D$3=45,('NOx Model (1)'!A65*1.45),IF(EGR!$D$3=50,('NOx Model (1)'!A65*1.5))))))))))))</f>
        <v>2920.752383038468</v>
      </c>
      <c r="C59" s="130">
        <f>IF(EGR!$D$3=0,(EGR!W129*1),IF(EGR!$D$3=5,(EGR!W129*1.05),IF(EGR!$D$3=10,(EGR!W129*1.1),IF(EGR!$D$3=15,(EGR!W129*1.15),IF(EGR!$D$3=20,(EGR!W129*1.2),IF(EGR!$D$3=25,(EGR!W129*1.25),IF(EGR!$D$3=30,(EGR!W129*1.3),IF(EGR!$D$3=35,(EGR!W129*1.35),IF(EGR!$D$3=40,(EGR!W129*1.4),IF(EGR!$D$3=45,(EGR!W129*1.45),IF(EGR!$D$3=50,(EGR!W129*1.5))))))))))))</f>
        <v>1250.41536</v>
      </c>
      <c r="D59" s="132">
        <f>IF(EGR!$D$3=0,('NOx Model (1)'!C65*1),IF(EGR!$D$3=5,('NOx Model (1)'!C65*1.05),IF(EGR!$D$3=10,('NOx Model (1)'!C65*1.1),IF(EGR!$D$3=15,('NOx Model (1)'!C65*1.15),IF(EGR!$D$3=20,('NOx Model (1)'!C65*1.2),IF(EGR!$D$3=25,('NOx Model (1)'!C65*1.25),IF(EGR!$D$3=30,('NOx Model (1)'!C65*1.3),IF(EGR!$D$3=35,('NOx Model (1)'!C65*1.35),IF(EGR!$D$3=40,('NOx Model (1)'!C65*1.4),IF(EGR!$D$3=45,('NOx Model (1)'!C65*1.45),IF(EGR!$D$3=50,('NOx Model (1)'!C65*1.5))))))))))))</f>
        <v>1177.9667081989014</v>
      </c>
      <c r="E59" s="130">
        <f>IF(EGR!$D$3=0,(EGR!Y129*1),IF(EGR!$D$3=5,(EGR!Y129*1.05),IF(EGR!$D$3=10,(EGR!Y129*1.1),IF(EGR!$D$3=15,(EGR!Y129*1.15),IF(EGR!$D$3=20,(EGR!Y129*1.2),IF(EGR!$D$3=25,(EGR!Y129*1.25),IF(EGR!$D$3=30,(EGR!Y129*1.3),IF(EGR!$D$3=35,(EGR!Y129*1.35),IF(EGR!$D$3=40,(EGR!Y129*1.4),IF(EGR!$D$3=45,(EGR!Y129*1.45),IF(EGR!$D$3=50,(EGR!Y129*1.5))))))))))))</f>
        <v>1152.0457199999998</v>
      </c>
      <c r="F59" s="71"/>
      <c r="G59" s="128">
        <f>IF(EGR!$D$3=0,('NOx Model (1)'!E65*1),IF(EGR!$D$3=5,('NOx Model (1)'!E65*1.05),IF(EGR!$D$3=10,('NOx Model (1)'!E65*1.1),IF(EGR!$D$3=15,('NOx Model (1)'!E65*1.15),IF(EGR!$D$3=20,('NOx Model (1)'!E65*1.2),IF(EGR!$D$3=25,('NOx Model (1)'!E65*1.25),IF(EGR!$D$3=30,('NOx Model (1)'!E65*1.3),IF(EGR!$D$3=35,('NOx Model (1)'!E65*1.35),IF(EGR!$D$3=40,('NOx Model (1)'!E65*1.4),IF(EGR!$D$3=45,('NOx Model (1)'!E65*1.45),IF(EGR!$D$3=50,('NOx Model (1)'!E65*1.5))))))))))))</f>
        <v>-160.6410368549212</v>
      </c>
      <c r="H59" s="130">
        <f>IF(EGR!$D$3=0,(EGR!AA129*1),IF(EGR!$D$3=5,(EGR!AA129*1.05),IF(EGR!$D$3=10,(EGR!AA129*1.1),IF(EGR!$D$3=15,(EGR!AA129*1.15),IF(EGR!$D$3=20,(EGR!AA129*1.2),IF(EGR!$D$3=25,(EGR!AA129*1.25),IF(EGR!$D$3=30,(EGR!AA129*1.3),IF(EGR!$D$3=35,(EGR!AA129*1.35),IF(EGR!$D$3=40,(EGR!AA129*1.4),IF(EGR!$D$3=45,(EGR!AA129*1.45),IF(EGR!$D$3=50,(EGR!AA129*1.5))))))))))))</f>
        <v>38.772000000000034</v>
      </c>
      <c r="I59" s="33"/>
      <c r="J59" s="128">
        <f>IF(EGR!$D$3=0,('NOx Model (1)'!G65*1),IF(EGR!$D$3=5,('NOx Model (1)'!G65*1.05),IF(EGR!$D$3=10,('NOx Model (1)'!G65*1.1),IF(EGR!$D$3=15,('NOx Model (1)'!G65*1.15),IF(EGR!$D$3=20,('NOx Model (1)'!G65*1.2),IF(EGR!$D$3=25,('NOx Model (1)'!G65*1.25),IF(EGR!$D$3=30,('NOx Model (1)'!G65*1.3),IF(EGR!$D$3=35,('NOx Model (1)'!G65*1.35),IF(EGR!$D$3=40,('NOx Model (1)'!G65*1.4),IF(EGR!$D$3=45,('NOx Model (1)'!G65*1.45),IF(EGR!$D$3=50,('NOx Model (1)'!G65*1.5))))))))))))</f>
        <v>12796.235469080977</v>
      </c>
      <c r="K59" s="130">
        <f>IF(EGR!$D$3=0,(EGR!AC129*1),IF(EGR!$D$3=5,(EGR!AC129*1.05),IF(EGR!$D$3=10,(EGR!AC129*1.1),IF(EGR!$D$3=15,(EGR!AC129*1.15),IF(EGR!$D$3=20,(EGR!AC129*1.2),IF(EGR!$D$3=25,(EGR!AC129*1.25),IF(EGR!$D$3=30,(EGR!AC129*1.3),IF(EGR!$D$3=35,(EGR!AC129*1.35),IF(EGR!$D$3=40,(EGR!AC129*1.4),IF(EGR!$D$3=45,(EGR!AC129*1.45),IF(EGR!$D$3=50,(EGR!AC129*1.5))))))))))))</f>
        <v>4605.0600000000004</v>
      </c>
      <c r="L59" s="128">
        <f t="shared" si="6"/>
        <v>16734.313523463425</v>
      </c>
      <c r="M59" s="130">
        <f t="shared" si="7"/>
        <v>7046.2930800000004</v>
      </c>
      <c r="N59" s="243">
        <v>2700</v>
      </c>
      <c r="P59" s="71"/>
    </row>
    <row r="60" spans="2:16" x14ac:dyDescent="0.25">
      <c r="B60" s="128">
        <f>IF(EGR!$D$3=0,('NOx Model (1)'!A66*1),IF(EGR!$D$3=5,('NOx Model (1)'!A66*1.05),IF(EGR!$D$3=10,('NOx Model (1)'!A66*1.1),IF(EGR!$D$3=15,('NOx Model (1)'!A66*1.15),IF(EGR!$D$3=20,('NOx Model (1)'!A66*1.2),IF(EGR!$D$3=25,('NOx Model (1)'!A66*1.25),IF(EGR!$D$3=30,('NOx Model (1)'!A66*1.3),IF(EGR!$D$3=35,('NOx Model (1)'!A66*1.35),IF(EGR!$D$3=40,('NOx Model (1)'!A66*1.4),IF(EGR!$D$3=45,('NOx Model (1)'!A66*1.45),IF(EGR!$D$3=50,('NOx Model (1)'!A66*1.5))))))))))))</f>
        <v>3245.6149906579494</v>
      </c>
      <c r="C60" s="130">
        <f>IF(EGR!$D$3=0,(EGR!W130*1),IF(EGR!$D$3=5,(EGR!W130*1.05),IF(EGR!$D$3=10,(EGR!W130*1.1),IF(EGR!$D$3=15,(EGR!W130*1.15),IF(EGR!$D$3=20,(EGR!W130*1.2),IF(EGR!$D$3=25,(EGR!W130*1.25),IF(EGR!$D$3=30,(EGR!W130*1.3),IF(EGR!$D$3=35,(EGR!W130*1.35),IF(EGR!$D$3=40,(EGR!W130*1.4),IF(EGR!$D$3=45,(EGR!W130*1.45),IF(EGR!$D$3=50,(EGR!W130*1.5))))))))))))</f>
        <v>1279.1894399999999</v>
      </c>
      <c r="D60" s="132">
        <f>IF(EGR!$D$3=0,('NOx Model (1)'!C66*1),IF(EGR!$D$3=5,('NOx Model (1)'!C66*1.05),IF(EGR!$D$3=10,('NOx Model (1)'!C66*1.1),IF(EGR!$D$3=15,('NOx Model (1)'!C66*1.15),IF(EGR!$D$3=20,('NOx Model (1)'!C66*1.2),IF(EGR!$D$3=25,('NOx Model (1)'!C66*1.25),IF(EGR!$D$3=30,('NOx Model (1)'!C66*1.3),IF(EGR!$D$3=35,('NOx Model (1)'!C66*1.35),IF(EGR!$D$3=40,('NOx Model (1)'!C66*1.4),IF(EGR!$D$3=45,('NOx Model (1)'!C66*1.45),IF(EGR!$D$3=50,('NOx Model (1)'!C66*1.5))))))))))))</f>
        <v>1207.3137632354681</v>
      </c>
      <c r="E60" s="130">
        <f>IF(EGR!$D$3=0,(EGR!Y130*1),IF(EGR!$D$3=5,(EGR!Y130*1.05),IF(EGR!$D$3=10,(EGR!Y130*1.1),IF(EGR!$D$3=15,(EGR!Y130*1.15),IF(EGR!$D$3=20,(EGR!Y130*1.2),IF(EGR!$D$3=25,(EGR!Y130*1.25),IF(EGR!$D$3=30,(EGR!Y130*1.3),IF(EGR!$D$3=35,(EGR!Y130*1.35),IF(EGR!$D$3=40,(EGR!Y130*1.4),IF(EGR!$D$3=45,(EGR!Y130*1.45),IF(EGR!$D$3=50,(EGR!Y130*1.5))))))))))))</f>
        <v>1180.85472</v>
      </c>
      <c r="F60" s="71"/>
      <c r="G60" s="128">
        <f>IF(EGR!$D$3=0,('NOx Model (1)'!E66*1),IF(EGR!$D$3=5,('NOx Model (1)'!E66*1.05),IF(EGR!$D$3=10,('NOx Model (1)'!E66*1.1),IF(EGR!$D$3=15,('NOx Model (1)'!E66*1.15),IF(EGR!$D$3=20,('NOx Model (1)'!E66*1.2),IF(EGR!$D$3=25,('NOx Model (1)'!E66*1.25),IF(EGR!$D$3=30,('NOx Model (1)'!E66*1.3),IF(EGR!$D$3=35,('NOx Model (1)'!E66*1.35),IF(EGR!$D$3=40,('NOx Model (1)'!E66*1.4),IF(EGR!$D$3=45,('NOx Model (1)'!E66*1.45),IF(EGR!$D$3=50,('NOx Model (1)'!E66*1.5))))))))))))</f>
        <v>-189.0298588906974</v>
      </c>
      <c r="H60" s="130">
        <f>IF(EGR!$D$3=0,(EGR!AA130*1),IF(EGR!$D$3=5,(EGR!AA130*1.05),IF(EGR!$D$3=10,(EGR!AA130*1.1),IF(EGR!$D$3=15,(EGR!AA130*1.15),IF(EGR!$D$3=20,(EGR!AA130*1.2),IF(EGR!$D$3=25,(EGR!AA130*1.25),IF(EGR!$D$3=30,(EGR!AA130*1.3),IF(EGR!$D$3=35,(EGR!AA130*1.35),IF(EGR!$D$3=40,(EGR!AA130*1.4),IF(EGR!$D$3=45,(EGR!AA130*1.45),IF(EGR!$D$3=50,(EGR!AA130*1.5))))))))))))</f>
        <v>39.658500000000032</v>
      </c>
      <c r="I60" s="33"/>
      <c r="J60" s="128">
        <f>IF(EGR!$D$3=0,('NOx Model (1)'!G66*1),IF(EGR!$D$3=5,('NOx Model (1)'!G66*1.05),IF(EGR!$D$3=10,('NOx Model (1)'!G66*1.1),IF(EGR!$D$3=15,('NOx Model (1)'!G66*1.15),IF(EGR!$D$3=20,('NOx Model (1)'!G66*1.2),IF(EGR!$D$3=25,('NOx Model (1)'!G66*1.25),IF(EGR!$D$3=30,('NOx Model (1)'!G66*1.3),IF(EGR!$D$3=35,('NOx Model (1)'!G66*1.35),IF(EGR!$D$3=40,('NOx Model (1)'!G66*1.4),IF(EGR!$D$3=45,('NOx Model (1)'!G66*1.45),IF(EGR!$D$3=50,('NOx Model (1)'!G66*1.5))))))))))))</f>
        <v>14276.29902443235</v>
      </c>
      <c r="K60" s="130">
        <f>IF(EGR!$D$3=0,(EGR!AC130*1),IF(EGR!$D$3=5,(EGR!AC130*1.05),IF(EGR!$D$3=10,(EGR!AC130*1.1),IF(EGR!$D$3=15,(EGR!AC130*1.15),IF(EGR!$D$3=20,(EGR!AC130*1.2),IF(EGR!$D$3=25,(EGR!AC130*1.25),IF(EGR!$D$3=30,(EGR!AC130*1.3),IF(EGR!$D$3=35,(EGR!AC130*1.35),IF(EGR!$D$3=40,(EGR!AC130*1.4),IF(EGR!$D$3=45,(EGR!AC130*1.45),IF(EGR!$D$3=50,(EGR!AC130*1.5))))))))))))</f>
        <v>4708.8359999999993</v>
      </c>
      <c r="L60" s="128">
        <f t="shared" si="6"/>
        <v>18540.197919435072</v>
      </c>
      <c r="M60" s="130">
        <f t="shared" si="7"/>
        <v>7208.5386599999993</v>
      </c>
      <c r="N60" s="243">
        <v>2750</v>
      </c>
      <c r="P60" s="71"/>
    </row>
    <row r="61" spans="2:16" x14ac:dyDescent="0.25">
      <c r="B61" s="128">
        <f>IF(EGR!$D$3=0,('NOx Model (1)'!A67*1),IF(EGR!$D$3=5,('NOx Model (1)'!A67*1.05),IF(EGR!$D$3=10,('NOx Model (1)'!A67*1.1),IF(EGR!$D$3=15,('NOx Model (1)'!A67*1.15),IF(EGR!$D$3=20,('NOx Model (1)'!A67*1.2),IF(EGR!$D$3=25,('NOx Model (1)'!A67*1.25),IF(EGR!$D$3=30,('NOx Model (1)'!A67*1.3),IF(EGR!$D$3=35,('NOx Model (1)'!A67*1.35),IF(EGR!$D$3=40,('NOx Model (1)'!A67*1.4),IF(EGR!$D$3=45,('NOx Model (1)'!A67*1.45),IF(EGR!$D$3=50,('NOx Model (1)'!A67*1.5))))))))))))</f>
        <v>3601.0244994953296</v>
      </c>
      <c r="C61" s="130">
        <f>IF(EGR!$D$3=0,(EGR!W131*1),IF(EGR!$D$3=5,(EGR!W131*1.05),IF(EGR!$D$3=10,(EGR!W131*1.1),IF(EGR!$D$3=15,(EGR!W131*1.15),IF(EGR!$D$3=20,(EGR!W131*1.2),IF(EGR!$D$3=25,(EGR!W131*1.25),IF(EGR!$D$3=30,(EGR!W131*1.3),IF(EGR!$D$3=35,(EGR!W131*1.35),IF(EGR!$D$3=40,(EGR!W131*1.4),IF(EGR!$D$3=45,(EGR!W131*1.45),IF(EGR!$D$3=50,(EGR!W131*1.5))))))))))))</f>
        <v>1308.05664</v>
      </c>
      <c r="D61" s="132">
        <f>IF(EGR!$D$3=0,('NOx Model (1)'!C67*1),IF(EGR!$D$3=5,('NOx Model (1)'!C67*1.05),IF(EGR!$D$3=10,('NOx Model (1)'!C67*1.1),IF(EGR!$D$3=15,('NOx Model (1)'!C67*1.15),IF(EGR!$D$3=20,('NOx Model (1)'!C67*1.2),IF(EGR!$D$3=25,('NOx Model (1)'!C67*1.25),IF(EGR!$D$3=30,('NOx Model (1)'!C67*1.3),IF(EGR!$D$3=35,('NOx Model (1)'!C67*1.35),IF(EGR!$D$3=40,('NOx Model (1)'!C67*1.4),IF(EGR!$D$3=45,('NOx Model (1)'!C67*1.45),IF(EGR!$D$3=50,('NOx Model (1)'!C67*1.5))))))))))))</f>
        <v>1236.6288435955482</v>
      </c>
      <c r="E61" s="130">
        <f>IF(EGR!$D$3=0,(EGR!Y131*1),IF(EGR!$D$3=5,(EGR!Y131*1.05),IF(EGR!$D$3=10,(EGR!Y131*1.1),IF(EGR!$D$3=15,(EGR!Y131*1.15),IF(EGR!$D$3=20,(EGR!Y131*1.2),IF(EGR!$D$3=25,(EGR!Y131*1.25),IF(EGR!$D$3=30,(EGR!Y131*1.3),IF(EGR!$D$3=35,(EGR!Y131*1.35),IF(EGR!$D$3=40,(EGR!Y131*1.4),IF(EGR!$D$3=45,(EGR!Y131*1.45),IF(EGR!$D$3=50,(EGR!Y131*1.5))))))))))))</f>
        <v>1209.66372</v>
      </c>
      <c r="F61" s="71"/>
      <c r="G61" s="128">
        <f>IF(EGR!$D$3=0,('NOx Model (1)'!E67*1),IF(EGR!$D$3=5,('NOx Model (1)'!E67*1.05),IF(EGR!$D$3=10,('NOx Model (1)'!E67*1.1),IF(EGR!$D$3=15,('NOx Model (1)'!E67*1.15),IF(EGR!$D$3=20,('NOx Model (1)'!E67*1.2),IF(EGR!$D$3=25,('NOx Model (1)'!E67*1.25),IF(EGR!$D$3=30,('NOx Model (1)'!E67*1.3),IF(EGR!$D$3=35,('NOx Model (1)'!E67*1.35),IF(EGR!$D$3=40,('NOx Model (1)'!E67*1.4),IF(EGR!$D$3=45,('NOx Model (1)'!E67*1.45),IF(EGR!$D$3=50,('NOx Model (1)'!E67*1.5))))))))))))</f>
        <v>-220.35280384425175</v>
      </c>
      <c r="H61" s="130">
        <f>IF(EGR!$D$3=0,(EGR!AA131*1),IF(EGR!$D$3=5,(EGR!AA131*1.05),IF(EGR!$D$3=10,(EGR!AA131*1.1),IF(EGR!$D$3=15,(EGR!AA131*1.15),IF(EGR!$D$3=20,(EGR!AA131*1.2),IF(EGR!$D$3=25,(EGR!AA131*1.25),IF(EGR!$D$3=30,(EGR!AA131*1.3),IF(EGR!$D$3=35,(EGR!AA131*1.35),IF(EGR!$D$3=40,(EGR!AA131*1.4),IF(EGR!$D$3=45,(EGR!AA131*1.45),IF(EGR!$D$3=50,(EGR!AA131*1.5))))))))))))</f>
        <v>40.545000000000037</v>
      </c>
      <c r="I61" s="33"/>
      <c r="J61" s="128">
        <f>IF(EGR!$D$3=0,('NOx Model (1)'!G67*1),IF(EGR!$D$3=5,('NOx Model (1)'!G67*1.05),IF(EGR!$D$3=10,('NOx Model (1)'!G67*1.1),IF(EGR!$D$3=15,('NOx Model (1)'!G67*1.15),IF(EGR!$D$3=20,('NOx Model (1)'!G67*1.2),IF(EGR!$D$3=25,('NOx Model (1)'!G67*1.25),IF(EGR!$D$3=30,('NOx Model (1)'!G67*1.3),IF(EGR!$D$3=35,('NOx Model (1)'!G67*1.35),IF(EGR!$D$3=40,('NOx Model (1)'!G67*1.4),IF(EGR!$D$3=45,('NOx Model (1)'!G67*1.45),IF(EGR!$D$3=50,('NOx Model (1)'!G67*1.5))))))))))))</f>
        <v>15896.98606718906</v>
      </c>
      <c r="K61" s="130">
        <f>IF(EGR!$D$3=0,(EGR!AC131*1),IF(EGR!$D$3=5,(EGR!AC131*1.05),IF(EGR!$D$3=10,(EGR!AC131*1.1),IF(EGR!$D$3=15,(EGR!AC131*1.15),IF(EGR!$D$3=20,(EGR!AC131*1.2),IF(EGR!$D$3=25,(EGR!AC131*1.25),IF(EGR!$D$3=30,(EGR!AC131*1.3),IF(EGR!$D$3=35,(EGR!AC131*1.35),IF(EGR!$D$3=40,(EGR!AC131*1.4),IF(EGR!$D$3=45,(EGR!AC131*1.45),IF(EGR!$D$3=50,(EGR!AC131*1.5))))))))))))</f>
        <v>4812.6119999999992</v>
      </c>
      <c r="L61" s="128">
        <f t="shared" si="6"/>
        <v>20514.286606435686</v>
      </c>
      <c r="M61" s="130">
        <f t="shared" si="7"/>
        <v>7370.8773599999995</v>
      </c>
      <c r="N61" s="243">
        <v>2800</v>
      </c>
      <c r="P61" s="71"/>
    </row>
    <row r="62" spans="2:16" x14ac:dyDescent="0.25">
      <c r="B62" s="128">
        <f>IF(EGR!$D$3=0,('NOx Model (1)'!A68*1),IF(EGR!$D$3=5,('NOx Model (1)'!A68*1.05),IF(EGR!$D$3=10,('NOx Model (1)'!A68*1.1),IF(EGR!$D$3=15,('NOx Model (1)'!A68*1.15),IF(EGR!$D$3=20,('NOx Model (1)'!A68*1.2),IF(EGR!$D$3=25,('NOx Model (1)'!A68*1.25),IF(EGR!$D$3=30,('NOx Model (1)'!A68*1.3),IF(EGR!$D$3=35,('NOx Model (1)'!A68*1.35),IF(EGR!$D$3=40,('NOx Model (1)'!A68*1.4),IF(EGR!$D$3=45,('NOx Model (1)'!A68*1.45),IF(EGR!$D$3=50,('NOx Model (1)'!A68*1.5))))))))))))</f>
        <v>3989.2635756684699</v>
      </c>
      <c r="C62" s="130">
        <f>IF(EGR!$D$3=0,(EGR!W132*1),IF(EGR!$D$3=5,(EGR!W132*1.05),IF(EGR!$D$3=10,(EGR!W132*1.1),IF(EGR!$D$3=15,(EGR!W132*1.15),IF(EGR!$D$3=20,(EGR!W132*1.2),IF(EGR!$D$3=25,(EGR!W132*1.25),IF(EGR!$D$3=30,(EGR!W132*1.3),IF(EGR!$D$3=35,(EGR!W132*1.35),IF(EGR!$D$3=40,(EGR!W132*1.4),IF(EGR!$D$3=45,(EGR!W132*1.45),IF(EGR!$D$3=50,(EGR!W132*1.5))))))))))))</f>
        <v>1336.9238399999999</v>
      </c>
      <c r="D62" s="132">
        <f>IF(EGR!$D$3=0,('NOx Model (1)'!C68*1),IF(EGR!$D$3=5,('NOx Model (1)'!C68*1.05),IF(EGR!$D$3=10,('NOx Model (1)'!C68*1.1),IF(EGR!$D$3=15,('NOx Model (1)'!C68*1.15),IF(EGR!$D$3=20,('NOx Model (1)'!C68*1.2),IF(EGR!$D$3=25,('NOx Model (1)'!C68*1.25),IF(EGR!$D$3=30,('NOx Model (1)'!C68*1.3),IF(EGR!$D$3=35,('NOx Model (1)'!C68*1.35),IF(EGR!$D$3=40,('NOx Model (1)'!C68*1.4),IF(EGR!$D$3=45,('NOx Model (1)'!C68*1.45),IF(EGR!$D$3=50,('NOx Model (1)'!C68*1.5))))))))))))</f>
        <v>1265.9040206829852</v>
      </c>
      <c r="E62" s="130">
        <f>IF(EGR!$D$3=0,(EGR!Y132*1),IF(EGR!$D$3=5,(EGR!Y132*1.05),IF(EGR!$D$3=10,(EGR!Y132*1.1),IF(EGR!$D$3=15,(EGR!Y132*1.15),IF(EGR!$D$3=20,(EGR!Y132*1.2),IF(EGR!$D$3=25,(EGR!Y132*1.25),IF(EGR!$D$3=30,(EGR!Y132*1.3),IF(EGR!$D$3=35,(EGR!Y132*1.35),IF(EGR!$D$3=40,(EGR!Y132*1.4),IF(EGR!$D$3=45,(EGR!Y132*1.45),IF(EGR!$D$3=50,(EGR!Y132*1.5))))))))))))</f>
        <v>1238.5774800000002</v>
      </c>
      <c r="F62" s="71"/>
      <c r="G62" s="128">
        <f>IF(EGR!$D$3=0,('NOx Model (1)'!E68*1),IF(EGR!$D$3=5,('NOx Model (1)'!E68*1.05),IF(EGR!$D$3=10,('NOx Model (1)'!E68*1.1),IF(EGR!$D$3=15,('NOx Model (1)'!E68*1.15),IF(EGR!$D$3=20,('NOx Model (1)'!E68*1.2),IF(EGR!$D$3=25,('NOx Model (1)'!E68*1.25),IF(EGR!$D$3=30,('NOx Model (1)'!E68*1.3),IF(EGR!$D$3=35,('NOx Model (1)'!E68*1.35),IF(EGR!$D$3=40,('NOx Model (1)'!E68*1.4),IF(EGR!$D$3=45,('NOx Model (1)'!E68*1.45),IF(EGR!$D$3=50,('NOx Model (1)'!E68*1.5))))))))))))</f>
        <v>-254.82916753016872</v>
      </c>
      <c r="H62" s="130">
        <f>IF(EGR!$D$3=0,(EGR!AA132*1),IF(EGR!$D$3=5,(EGR!AA132*1.05),IF(EGR!$D$3=10,(EGR!AA132*1.1),IF(EGR!$D$3=15,(EGR!AA132*1.15),IF(EGR!$D$3=20,(EGR!AA132*1.2),IF(EGR!$D$3=25,(EGR!AA132*1.25),IF(EGR!$D$3=30,(EGR!AA132*1.3),IF(EGR!$D$3=35,(EGR!AA132*1.35),IF(EGR!$D$3=40,(EGR!AA132*1.4),IF(EGR!$D$3=45,(EGR!AA132*1.45),IF(EGR!$D$3=50,(EGR!AA132*1.5))))))))))))</f>
        <v>41.431500000000028</v>
      </c>
      <c r="I62" s="33"/>
      <c r="J62" s="128">
        <f>IF(EGR!$D$3=0,('NOx Model (1)'!G68*1),IF(EGR!$D$3=5,('NOx Model (1)'!G68*1.05),IF(EGR!$D$3=10,('NOx Model (1)'!G68*1.1),IF(EGR!$D$3=15,('NOx Model (1)'!G68*1.15),IF(EGR!$D$3=20,('NOx Model (1)'!G68*1.2),IF(EGR!$D$3=25,('NOx Model (1)'!G68*1.25),IF(EGR!$D$3=30,('NOx Model (1)'!G68*1.3),IF(EGR!$D$3=35,('NOx Model (1)'!G68*1.35),IF(EGR!$D$3=40,('NOx Model (1)'!G68*1.4),IF(EGR!$D$3=45,('NOx Model (1)'!G68*1.45),IF(EGR!$D$3=50,('NOx Model (1)'!G68*1.5))))))))))))</f>
        <v>17668.80454001894</v>
      </c>
      <c r="K62" s="130">
        <f>IF(EGR!$D$3=0,(EGR!AC132*1),IF(EGR!$D$3=5,(EGR!AC132*1.05),IF(EGR!$D$3=10,(EGR!AC132*1.1),IF(EGR!$D$3=15,(EGR!AC132*1.15),IF(EGR!$D$3=20,(EGR!AC132*1.2),IF(EGR!$D$3=25,(EGR!AC132*1.25),IF(EGR!$D$3=30,(EGR!AC132*1.3),IF(EGR!$D$3=35,(EGR!AC132*1.35),IF(EGR!$D$3=40,(EGR!AC132*1.4),IF(EGR!$D$3=45,(EGR!AC132*1.45),IF(EGR!$D$3=50,(EGR!AC132*1.5))))))))))))</f>
        <v>4916.9520000000002</v>
      </c>
      <c r="L62" s="128">
        <f t="shared" si="6"/>
        <v>22669.142968840228</v>
      </c>
      <c r="M62" s="130">
        <f t="shared" si="7"/>
        <v>7533.8848200000011</v>
      </c>
      <c r="N62" s="243">
        <v>2850</v>
      </c>
      <c r="P62" s="71"/>
    </row>
    <row r="63" spans="2:16" x14ac:dyDescent="0.25">
      <c r="B63" s="128">
        <f>IF(EGR!$D$3=0,('NOx Model (1)'!A69*1),IF(EGR!$D$3=5,('NOx Model (1)'!A69*1.05),IF(EGR!$D$3=10,('NOx Model (1)'!A69*1.1),IF(EGR!$D$3=15,('NOx Model (1)'!A69*1.15),IF(EGR!$D$3=20,('NOx Model (1)'!A69*1.2),IF(EGR!$D$3=25,('NOx Model (1)'!A69*1.25),IF(EGR!$D$3=30,('NOx Model (1)'!A69*1.3),IF(EGR!$D$3=35,('NOx Model (1)'!A69*1.35),IF(EGR!$D$3=40,('NOx Model (1)'!A69*1.4),IF(EGR!$D$3=45,('NOx Model (1)'!A69*1.45),IF(EGR!$D$3=50,('NOx Model (1)'!A69*1.5))))))))))))</f>
        <v>4412.741494109302</v>
      </c>
      <c r="C63" s="130">
        <f>IF(EGR!$D$3=0,(EGR!W133*1),IF(EGR!$D$3=5,(EGR!W133*1.05),IF(EGR!$D$3=10,(EGR!W133*1.1),IF(EGR!$D$3=15,(EGR!W133*1.15),IF(EGR!$D$3=20,(EGR!W133*1.2),IF(EGR!$D$3=25,(EGR!W133*1.25),IF(EGR!$D$3=30,(EGR!W133*1.3),IF(EGR!$D$3=35,(EGR!W133*1.35),IF(EGR!$D$3=40,(EGR!W133*1.4),IF(EGR!$D$3=45,(EGR!W133*1.45),IF(EGR!$D$3=50,(EGR!W133*1.5))))))))))))</f>
        <v>1365.7910399999998</v>
      </c>
      <c r="D63" s="132">
        <f>IF(EGR!$D$3=0,('NOx Model (1)'!C69*1),IF(EGR!$D$3=5,('NOx Model (1)'!C69*1.05),IF(EGR!$D$3=10,('NOx Model (1)'!C69*1.1),IF(EGR!$D$3=15,('NOx Model (1)'!C69*1.15),IF(EGR!$D$3=20,('NOx Model (1)'!C69*1.2),IF(EGR!$D$3=25,('NOx Model (1)'!C69*1.25),IF(EGR!$D$3=30,('NOx Model (1)'!C69*1.3),IF(EGR!$D$3=35,('NOx Model (1)'!C69*1.35),IF(EGR!$D$3=40,('NOx Model (1)'!C69*1.4),IF(EGR!$D$3=45,('NOx Model (1)'!C69*1.45),IF(EGR!$D$3=50,('NOx Model (1)'!C69*1.5))))))))))))</f>
        <v>1295.1386185246615</v>
      </c>
      <c r="E63" s="130">
        <f>IF(EGR!$D$3=0,(EGR!Y133*1),IF(EGR!$D$3=5,(EGR!Y133*1.05),IF(EGR!$D$3=10,(EGR!Y133*1.1),IF(EGR!$D$3=15,(EGR!Y133*1.15),IF(EGR!$D$3=20,(EGR!Y133*1.2),IF(EGR!$D$3=25,(EGR!Y133*1.25),IF(EGR!$D$3=30,(EGR!Y133*1.3),IF(EGR!$D$3=35,(EGR!Y133*1.35),IF(EGR!$D$3=40,(EGR!Y133*1.4),IF(EGR!$D$3=45,(EGR!Y133*1.45),IF(EGR!$D$3=50,(EGR!Y133*1.5))))))))))))</f>
        <v>1267.4912400000001</v>
      </c>
      <c r="F63" s="71"/>
      <c r="G63" s="128">
        <f>IF(EGR!$D$3=0,('NOx Model (1)'!E69*1),IF(EGR!$D$3=5,('NOx Model (1)'!E69*1.05),IF(EGR!$D$3=10,('NOx Model (1)'!E69*1.1),IF(EGR!$D$3=15,('NOx Model (1)'!E69*1.15),IF(EGR!$D$3=20,('NOx Model (1)'!E69*1.2),IF(EGR!$D$3=25,('NOx Model (1)'!E69*1.25),IF(EGR!$D$3=30,('NOx Model (1)'!E69*1.3),IF(EGR!$D$3=35,('NOx Model (1)'!E69*1.35),IF(EGR!$D$3=40,('NOx Model (1)'!E69*1.4),IF(EGR!$D$3=45,('NOx Model (1)'!E69*1.45),IF(EGR!$D$3=50,('NOx Model (1)'!E69*1.5))))))))))))</f>
        <v>-292.68955768993533</v>
      </c>
      <c r="H63" s="130">
        <f>IF(EGR!$D$3=0,(EGR!AA133*1),IF(EGR!$D$3=5,(EGR!AA133*1.05),IF(EGR!$D$3=10,(EGR!AA133*1.1),IF(EGR!$D$3=15,(EGR!AA133*1.15),IF(EGR!$D$3=20,(EGR!AA133*1.2),IF(EGR!$D$3=25,(EGR!AA133*1.25),IF(EGR!$D$3=30,(EGR!AA133*1.3),IF(EGR!$D$3=35,(EGR!AA133*1.35),IF(EGR!$D$3=40,(EGR!AA133*1.4),IF(EGR!$D$3=45,(EGR!AA133*1.45),IF(EGR!$D$3=50,(EGR!AA133*1.5))))))))))))</f>
        <v>42.327000000000034</v>
      </c>
      <c r="I63" s="33"/>
      <c r="J63" s="128">
        <f>IF(EGR!$D$3=0,('NOx Model (1)'!G69*1),IF(EGR!$D$3=5,('NOx Model (1)'!G69*1.05),IF(EGR!$D$3=10,('NOx Model (1)'!G69*1.1),IF(EGR!$D$3=15,('NOx Model (1)'!G69*1.15),IF(EGR!$D$3=20,('NOx Model (1)'!G69*1.2),IF(EGR!$D$3=25,('NOx Model (1)'!G69*1.25),IF(EGR!$D$3=30,('NOx Model (1)'!G69*1.3),IF(EGR!$D$3=35,('NOx Model (1)'!G69*1.35),IF(EGR!$D$3=40,('NOx Model (1)'!G69*1.4),IF(EGR!$D$3=45,('NOx Model (1)'!G69*1.45),IF(EGR!$D$3=50,('NOx Model (1)'!G69*1.5))))))))))))</f>
        <v>19602.84130975663</v>
      </c>
      <c r="K63" s="130">
        <f>IF(EGR!$D$3=0,(EGR!AC133*1),IF(EGR!$D$3=5,(EGR!AC133*1.05),IF(EGR!$D$3=10,(EGR!AC133*1.1),IF(EGR!$D$3=15,(EGR!AC133*1.15),IF(EGR!$D$3=20,(EGR!AC133*1.2),IF(EGR!$D$3=25,(EGR!AC133*1.25),IF(EGR!$D$3=30,(EGR!AC133*1.3),IF(EGR!$D$3=35,(EGR!AC133*1.35),IF(EGR!$D$3=40,(EGR!AC133*1.4),IF(EGR!$D$3=45,(EGR!AC133*1.45),IF(EGR!$D$3=50,(EGR!AC133*1.5))))))))))))</f>
        <v>5021.2919999999995</v>
      </c>
      <c r="L63" s="128">
        <f t="shared" si="6"/>
        <v>25018.031864700657</v>
      </c>
      <c r="M63" s="130">
        <f t="shared" si="7"/>
        <v>7696.90128</v>
      </c>
      <c r="N63" s="243">
        <v>2900</v>
      </c>
      <c r="P63" s="71"/>
    </row>
    <row r="64" spans="2:16" x14ac:dyDescent="0.25">
      <c r="B64" s="128">
        <f>IF(EGR!$D$3=0,('NOx Model (1)'!A70*1),IF(EGR!$D$3=5,('NOx Model (1)'!A70*1.05),IF(EGR!$D$3=10,('NOx Model (1)'!A70*1.1),IF(EGR!$D$3=15,('NOx Model (1)'!A70*1.15),IF(EGR!$D$3=20,('NOx Model (1)'!A70*1.2),IF(EGR!$D$3=25,('NOx Model (1)'!A70*1.25),IF(EGR!$D$3=30,('NOx Model (1)'!A70*1.3),IF(EGR!$D$3=35,('NOx Model (1)'!A70*1.35),IF(EGR!$D$3=40,('NOx Model (1)'!A70*1.4),IF(EGR!$D$3=45,('NOx Model (1)'!A70*1.45),IF(EGR!$D$3=50,('NOx Model (1)'!A70*1.5))))))))))))</f>
        <v>4873.9988530510764</v>
      </c>
      <c r="C64" s="130">
        <f>IF(EGR!$D$3=0,(EGR!W134*1),IF(EGR!$D$3=5,(EGR!W134*1.05),IF(EGR!$D$3=10,(EGR!W134*1.1),IF(EGR!$D$3=15,(EGR!W134*1.15),IF(EGR!$D$3=20,(EGR!W134*1.2),IF(EGR!$D$3=25,(EGR!W134*1.25),IF(EGR!$D$3=30,(EGR!W134*1.3),IF(EGR!$D$3=35,(EGR!W134*1.35),IF(EGR!$D$3=40,(EGR!W134*1.4),IF(EGR!$D$3=45,(EGR!W134*1.45),IF(EGR!$D$3=50,(EGR!W134*1.5))))))))))))</f>
        <v>1394.75136</v>
      </c>
      <c r="D64" s="132">
        <f>IF(EGR!$D$3=0,('NOx Model (1)'!C70*1),IF(EGR!$D$3=5,('NOx Model (1)'!C70*1.05),IF(EGR!$D$3=10,('NOx Model (1)'!C70*1.1),IF(EGR!$D$3=15,('NOx Model (1)'!C70*1.15),IF(EGR!$D$3=20,('NOx Model (1)'!C70*1.2),IF(EGR!$D$3=25,('NOx Model (1)'!C70*1.25),IF(EGR!$D$3=30,('NOx Model (1)'!C70*1.3),IF(EGR!$D$3=35,('NOx Model (1)'!C70*1.35),IF(EGR!$D$3=40,('NOx Model (1)'!C70*1.4),IF(EGR!$D$3=45,('NOx Model (1)'!C70*1.45),IF(EGR!$D$3=50,('NOx Model (1)'!C70*1.5))))))))))))</f>
        <v>1324.340566767524</v>
      </c>
      <c r="E64" s="130">
        <f>IF(EGR!$D$3=0,(EGR!Y134*1),IF(EGR!$D$3=5,(EGR!Y134*1.05),IF(EGR!$D$3=10,(EGR!Y134*1.1),IF(EGR!$D$3=15,(EGR!Y134*1.15),IF(EGR!$D$3=20,(EGR!Y134*1.2),IF(EGR!$D$3=25,(EGR!Y134*1.25),IF(EGR!$D$3=30,(EGR!Y134*1.3),IF(EGR!$D$3=35,(EGR!Y134*1.35),IF(EGR!$D$3=40,(EGR!Y134*1.4),IF(EGR!$D$3=45,(EGR!Y134*1.45),IF(EGR!$D$3=50,(EGR!Y134*1.5))))))))))))</f>
        <v>1296.6145199999999</v>
      </c>
      <c r="F64" s="71"/>
      <c r="G64" s="128">
        <f>IF(EGR!$D$3=0,('NOx Model (1)'!E70*1),IF(EGR!$D$3=5,('NOx Model (1)'!E70*1.05),IF(EGR!$D$3=10,('NOx Model (1)'!E70*1.1),IF(EGR!$D$3=15,('NOx Model (1)'!E70*1.15),IF(EGR!$D$3=20,('NOx Model (1)'!E70*1.2),IF(EGR!$D$3=25,('NOx Model (1)'!E70*1.25),IF(EGR!$D$3=30,('NOx Model (1)'!E70*1.3),IF(EGR!$D$3=35,('NOx Model (1)'!E70*1.35),IF(EGR!$D$3=40,('NOx Model (1)'!E70*1.4),IF(EGR!$D$3=45,('NOx Model (1)'!E70*1.45),IF(EGR!$D$3=50,('NOx Model (1)'!E70*1.5))))))))))))</f>
        <v>-334.17618406865313</v>
      </c>
      <c r="H64" s="130">
        <f>IF(EGR!$D$3=0,(EGR!AA134*1),IF(EGR!$D$3=5,(EGR!AA134*1.05),IF(EGR!$D$3=10,(EGR!AA134*1.1),IF(EGR!$D$3=15,(EGR!AA134*1.15),IF(EGR!$D$3=20,(EGR!AA134*1.2),IF(EGR!$D$3=25,(EGR!AA134*1.25),IF(EGR!$D$3=30,(EGR!AA134*1.3),IF(EGR!$D$3=35,(EGR!AA134*1.35),IF(EGR!$D$3=40,(EGR!AA134*1.4),IF(EGR!$D$3=45,(EGR!AA134*1.45),IF(EGR!$D$3=50,(EGR!AA134*1.5))))))))))))</f>
        <v>43.218000000000039</v>
      </c>
      <c r="I64" s="33"/>
      <c r="J64" s="128">
        <f>IF(EGR!$D$3=0,('NOx Model (1)'!G70*1),IF(EGR!$D$3=5,('NOx Model (1)'!G70*1.05),IF(EGR!$D$3=10,('NOx Model (1)'!G70*1.1),IF(EGR!$D$3=15,('NOx Model (1)'!G70*1.15),IF(EGR!$D$3=20,('NOx Model (1)'!G70*1.2),IF(EGR!$D$3=25,('NOx Model (1)'!G70*1.25),IF(EGR!$D$3=30,('NOx Model (1)'!G70*1.3),IF(EGR!$D$3=35,('NOx Model (1)'!G70*1.35),IF(EGR!$D$3=40,('NOx Model (1)'!G70*1.4),IF(EGR!$D$3=45,('NOx Model (1)'!G70*1.45),IF(EGR!$D$3=50,('NOx Model (1)'!G70*1.5))))))))))))</f>
        <v>21710.783133883931</v>
      </c>
      <c r="K64" s="130">
        <f>IF(EGR!$D$3=0,(EGR!AC134*1),IF(EGR!$D$3=5,(EGR!AC134*1.05),IF(EGR!$D$3=10,(EGR!AC134*1.1),IF(EGR!$D$3=15,(EGR!AC134*1.15),IF(EGR!$D$3=20,(EGR!AC134*1.2),IF(EGR!$D$3=25,(EGR!AC134*1.25),IF(EGR!$D$3=30,(EGR!AC134*1.3),IF(EGR!$D$3=35,(EGR!AC134*1.35),IF(EGR!$D$3=40,(EGR!AC134*1.4),IF(EGR!$D$3=45,(EGR!AC134*1.45),IF(EGR!$D$3=50,(EGR!AC134*1.5))))))))))))</f>
        <v>5125.6319999999996</v>
      </c>
      <c r="L64" s="128">
        <f t="shared" si="6"/>
        <v>27574.946369633879</v>
      </c>
      <c r="M64" s="130">
        <f t="shared" si="7"/>
        <v>7860.2158799999997</v>
      </c>
      <c r="N64" s="243">
        <v>2950</v>
      </c>
      <c r="P64" s="71"/>
    </row>
    <row r="65" spans="1:32" x14ac:dyDescent="0.25">
      <c r="B65" s="128">
        <f>IF(EGR!$D$3=0,('NOx Model (1)'!A71*1),IF(EGR!$D$3=5,('NOx Model (1)'!A71*1.05),IF(EGR!$D$3=10,('NOx Model (1)'!A71*1.1),IF(EGR!$D$3=15,('NOx Model (1)'!A71*1.15),IF(EGR!$D$3=20,('NOx Model (1)'!A71*1.2),IF(EGR!$D$3=25,('NOx Model (1)'!A71*1.25),IF(EGR!$D$3=30,('NOx Model (1)'!A71*1.3),IF(EGR!$D$3=35,('NOx Model (1)'!A71*1.35),IF(EGR!$D$3=40,('NOx Model (1)'!A71*1.4),IF(EGR!$D$3=45,('NOx Model (1)'!A71*1.45),IF(EGR!$D$3=50,('NOx Model (1)'!A71*1.5))))))))))))</f>
        <v>5375.7123802210663</v>
      </c>
      <c r="C65" s="130">
        <f>IF(EGR!$D$3=0,(EGR!W135*1),IF(EGR!$D$3=5,(EGR!W135*1.05),IF(EGR!$D$3=10,(EGR!W135*1.1),IF(EGR!$D$3=15,(EGR!W135*1.15),IF(EGR!$D$3=20,(EGR!W135*1.2),IF(EGR!$D$3=25,(EGR!W135*1.25),IF(EGR!$D$3=30,(EGR!W135*1.3),IF(EGR!$D$3=35,(EGR!W135*1.35),IF(EGR!$D$3=40,(EGR!W135*1.4),IF(EGR!$D$3=45,(EGR!W135*1.45),IF(EGR!$D$3=50,(EGR!W135*1.5))))))))))))</f>
        <v>1423.6185599999999</v>
      </c>
      <c r="D65" s="132">
        <f>IF(EGR!$D$3=0,('NOx Model (1)'!C71*1),IF(EGR!$D$3=5,('NOx Model (1)'!C71*1.05),IF(EGR!$D$3=10,('NOx Model (1)'!C71*1.1),IF(EGR!$D$3=15,('NOx Model (1)'!C71*1.15),IF(EGR!$D$3=20,('NOx Model (1)'!C71*1.2),IF(EGR!$D$3=25,('NOx Model (1)'!C71*1.25),IF(EGR!$D$3=30,('NOx Model (1)'!C71*1.3),IF(EGR!$D$3=35,('NOx Model (1)'!C71*1.35),IF(EGR!$D$3=40,('NOx Model (1)'!C71*1.4),IF(EGR!$D$3=45,('NOx Model (1)'!C71*1.45),IF(EGR!$D$3=50,('NOx Model (1)'!C71*1.5))))))))))))</f>
        <v>1353.5278336735043</v>
      </c>
      <c r="E65" s="130">
        <f>IF(EGR!$D$3=0,(EGR!Y135*1),IF(EGR!$D$3=5,(EGR!Y135*1.05),IF(EGR!$D$3=10,(EGR!Y135*1.1),IF(EGR!$D$3=15,(EGR!Y135*1.15),IF(EGR!$D$3=20,(EGR!Y135*1.2),IF(EGR!$D$3=25,(EGR!Y135*1.25),IF(EGR!$D$3=30,(EGR!Y135*1.3),IF(EGR!$D$3=35,(EGR!Y135*1.35),IF(EGR!$D$3=40,(EGR!Y135*1.4),IF(EGR!$D$3=45,(EGR!Y135*1.45),IF(EGR!$D$3=50,(EGR!Y135*1.5))))))))))))</f>
        <v>1325.8425599999998</v>
      </c>
      <c r="F65" s="71"/>
      <c r="G65" s="128">
        <f>IF(EGR!$D$3=0,('NOx Model (1)'!E71*1),IF(EGR!$D$3=5,('NOx Model (1)'!E71*1.05),IF(EGR!$D$3=10,('NOx Model (1)'!E71*1.1),IF(EGR!$D$3=15,('NOx Model (1)'!E71*1.15),IF(EGR!$D$3=20,('NOx Model (1)'!E71*1.2),IF(EGR!$D$3=25,('NOx Model (1)'!E71*1.25),IF(EGR!$D$3=30,('NOx Model (1)'!E71*1.3),IF(EGR!$D$3=35,('NOx Model (1)'!E71*1.35),IF(EGR!$D$3=40,('NOx Model (1)'!E71*1.4),IF(EGR!$D$3=45,('NOx Model (1)'!E71*1.45),IF(EGR!$D$3=50,('NOx Model (1)'!E71*1.5))))))))))))</f>
        <v>-379.54314739556901</v>
      </c>
      <c r="H65" s="130">
        <f>IF(EGR!$D$3=0,(EGR!AA135*1),IF(EGR!$D$3=5,(EGR!AA135*1.05),IF(EGR!$D$3=10,(EGR!AA135*1.1),IF(EGR!$D$3=15,(EGR!AA135*1.15),IF(EGR!$D$3=20,(EGR!AA135*1.2),IF(EGR!$D$3=25,(EGR!AA135*1.25),IF(EGR!$D$3=30,(EGR!AA135*1.3),IF(EGR!$D$3=35,(EGR!AA135*1.35),IF(EGR!$D$3=40,(EGR!AA135*1.4),IF(EGR!$D$3=45,(EGR!AA135*1.45),IF(EGR!$D$3=50,(EGR!AA135*1.5))))))))))))</f>
        <v>44.113500000000037</v>
      </c>
      <c r="I65" s="33"/>
      <c r="J65" s="128">
        <f>IF(EGR!$D$3=0,('NOx Model (1)'!G71*1),IF(EGR!$D$3=5,('NOx Model (1)'!G71*1.05),IF(EGR!$D$3=10,('NOx Model (1)'!G71*1.1),IF(EGR!$D$3=15,('NOx Model (1)'!G71*1.15),IF(EGR!$D$3=20,('NOx Model (1)'!G71*1.2),IF(EGR!$D$3=25,('NOx Model (1)'!G71*1.25),IF(EGR!$D$3=30,('NOx Model (1)'!G71*1.3),IF(EGR!$D$3=35,('NOx Model (1)'!G71*1.35),IF(EGR!$D$3=40,('NOx Model (1)'!G71*1.4),IF(EGR!$D$3=45,('NOx Model (1)'!G71*1.45),IF(EGR!$D$3=50,('NOx Model (1)'!G71*1.5))))))))))))</f>
        <v>24004.938003754836</v>
      </c>
      <c r="K65" s="130">
        <f>IF(EGR!$D$3=0,(EGR!AC135*1),IF(EGR!$D$3=5,(EGR!AC135*1.05),IF(EGR!$D$3=10,(EGR!AC135*1.1),IF(EGR!$D$3=15,(EGR!AC135*1.15),IF(EGR!$D$3=20,(EGR!AC135*1.2),IF(EGR!$D$3=25,(EGR!AC135*1.25),IF(EGR!$D$3=30,(EGR!AC135*1.3),IF(EGR!$D$3=35,(EGR!AC135*1.35),IF(EGR!$D$3=40,(EGR!AC135*1.4),IF(EGR!$D$3=45,(EGR!AC135*1.45),IF(EGR!$D$3=50,(EGR!AC135*1.5))))))))))))</f>
        <v>5229.9720000000007</v>
      </c>
      <c r="L65" s="128">
        <f t="shared" si="6"/>
        <v>30354.63507025384</v>
      </c>
      <c r="M65" s="130">
        <f t="shared" si="7"/>
        <v>8023.546620000001</v>
      </c>
      <c r="N65" s="243">
        <v>3000</v>
      </c>
      <c r="P65" s="71"/>
    </row>
    <row r="66" spans="1:32" x14ac:dyDescent="0.25">
      <c r="B66" s="128">
        <f>IF(EGR!$D$3=0,('NOx Model (1)'!A72*1),IF(EGR!$D$3=5,('NOx Model (1)'!A72*1.05),IF(EGR!$D$3=10,('NOx Model (1)'!A72*1.1),IF(EGR!$D$3=15,('NOx Model (1)'!A72*1.15),IF(EGR!$D$3=20,('NOx Model (1)'!A72*1.2),IF(EGR!$D$3=25,('NOx Model (1)'!A72*1.25),IF(EGR!$D$3=30,('NOx Model (1)'!A72*1.3),IF(EGR!$D$3=35,('NOx Model (1)'!A72*1.35),IF(EGR!$D$3=40,('NOx Model (1)'!A72*1.4),IF(EGR!$D$3=45,('NOx Model (1)'!A72*1.45),IF(EGR!$D$3=50,('NOx Model (1)'!A72*1.5))))))))))))</f>
        <v>5920.6998307386766</v>
      </c>
      <c r="C66" s="130">
        <f>IF(EGR!$D$3=0,(EGR!W136*1),IF(EGR!$D$3=5,(EGR!W136*1.05),IF(EGR!$D$3=10,(EGR!W136*1.1),IF(EGR!$D$3=15,(EGR!W136*1.15),IF(EGR!$D$3=20,(EGR!W136*1.2),IF(EGR!$D$3=25,(EGR!W136*1.25),IF(EGR!$D$3=30,(EGR!W136*1.3),IF(EGR!$D$3=35,(EGR!W136*1.35),IF(EGR!$D$3=40,(EGR!W136*1.4),IF(EGR!$D$3=45,(EGR!W136*1.45),IF(EGR!$D$3=50,(EGR!W136*1.5))))))))))))</f>
        <v>1452.57888</v>
      </c>
      <c r="D66" s="132">
        <f>IF(EGR!$D$3=0,('NOx Model (1)'!C72*1),IF(EGR!$D$3=5,('NOx Model (1)'!C72*1.05),IF(EGR!$D$3=10,('NOx Model (1)'!C72*1.1),IF(EGR!$D$3=15,('NOx Model (1)'!C72*1.15),IF(EGR!$D$3=20,('NOx Model (1)'!C72*1.2),IF(EGR!$D$3=25,('NOx Model (1)'!C72*1.25),IF(EGR!$D$3=30,('NOx Model (1)'!C72*1.3),IF(EGR!$D$3=35,('NOx Model (1)'!C72*1.35),IF(EGR!$D$3=40,('NOx Model (1)'!C72*1.4),IF(EGR!$D$3=45,('NOx Model (1)'!C72*1.45),IF(EGR!$D$3=50,('NOx Model (1)'!C72*1.5))))))))))))</f>
        <v>1382.7299391121121</v>
      </c>
      <c r="E66" s="130">
        <f>IF(EGR!$D$3=0,(EGR!Y136*1),IF(EGR!$D$3=5,(EGR!Y136*1.05),IF(EGR!$D$3=10,(EGR!Y136*1.1),IF(EGR!$D$3=15,(EGR!Y136*1.15),IF(EGR!$D$3=20,(EGR!Y136*1.2),IF(EGR!$D$3=25,(EGR!Y136*1.25),IF(EGR!$D$3=30,(EGR!Y136*1.3),IF(EGR!$D$3=35,(EGR!Y136*1.35),IF(EGR!$D$3=40,(EGR!Y136*1.4),IF(EGR!$D$3=45,(EGR!Y136*1.45),IF(EGR!$D$3=50,(EGR!Y136*1.5))))))))))))</f>
        <v>1355.0706</v>
      </c>
      <c r="F66" s="71"/>
      <c r="G66" s="128">
        <f>IF(EGR!$D$3=0,('NOx Model (1)'!E72*1),IF(EGR!$D$3=5,('NOx Model (1)'!E72*1.05),IF(EGR!$D$3=10,('NOx Model (1)'!E72*1.1),IF(EGR!$D$3=15,('NOx Model (1)'!E72*1.15),IF(EGR!$D$3=20,('NOx Model (1)'!E72*1.2),IF(EGR!$D$3=25,('NOx Model (1)'!E72*1.25),IF(EGR!$D$3=30,('NOx Model (1)'!E72*1.3),IF(EGR!$D$3=35,('NOx Model (1)'!E72*1.35),IF(EGR!$D$3=40,('NOx Model (1)'!E72*1.4),IF(EGR!$D$3=45,('NOx Model (1)'!E72*1.45),IF(EGR!$D$3=50,('NOx Model (1)'!E72*1.5))))))))))))</f>
        <v>-429.05672726844375</v>
      </c>
      <c r="H66" s="130">
        <f>IF(EGR!$D$3=0,(EGR!AA136*1),IF(EGR!$D$3=5,(EGR!AA136*1.05),IF(EGR!$D$3=10,(EGR!AA136*1.1),IF(EGR!$D$3=15,(EGR!AA136*1.15),IF(EGR!$D$3=20,(EGR!AA136*1.2),IF(EGR!$D$3=25,(EGR!AA136*1.25),IF(EGR!$D$3=30,(EGR!AA136*1.3),IF(EGR!$D$3=35,(EGR!AA136*1.35),IF(EGR!$D$3=40,(EGR!AA136*1.4),IF(EGR!$D$3=45,(EGR!AA136*1.45),IF(EGR!$D$3=50,(EGR!AA136*1.5))))))))))))</f>
        <v>45.013500000000036</v>
      </c>
      <c r="I66" s="33"/>
      <c r="J66" s="128">
        <f>IF(EGR!$D$3=0,('NOx Model (1)'!G72*1),IF(EGR!$D$3=5,('NOx Model (1)'!G72*1.05),IF(EGR!$D$3=10,('NOx Model (1)'!G72*1.1),IF(EGR!$D$3=15,('NOx Model (1)'!G72*1.15),IF(EGR!$D$3=20,('NOx Model (1)'!G72*1.2),IF(EGR!$D$3=25,('NOx Model (1)'!G72*1.25),IF(EGR!$D$3=30,('NOx Model (1)'!G72*1.3),IF(EGR!$D$3=35,('NOx Model (1)'!G72*1.35),IF(EGR!$D$3=40,('NOx Model (1)'!G72*1.4),IF(EGR!$D$3=45,('NOx Model (1)'!G72*1.45),IF(EGR!$D$3=50,('NOx Model (1)'!G72*1.5))))))))))))</f>
        <v>26498.256864565152</v>
      </c>
      <c r="K66" s="130">
        <f>IF(EGR!$D$3=0,(EGR!AC136*1),IF(EGR!$D$3=5,(EGR!AC136*1.05),IF(EGR!$D$3=10,(EGR!AC136*1.1),IF(EGR!$D$3=15,(EGR!AC136*1.15),IF(EGR!$D$3=20,(EGR!AC136*1.2),IF(EGR!$D$3=25,(EGR!AC136*1.25),IF(EGR!$D$3=30,(EGR!AC136*1.3),IF(EGR!$D$3=35,(EGR!AC136*1.35),IF(EGR!$D$3=40,(EGR!AC136*1.4),IF(EGR!$D$3=45,(EGR!AC136*1.45),IF(EGR!$D$3=50,(EGR!AC136*1.5))))))))))))</f>
        <v>5334.3119999999999</v>
      </c>
      <c r="L66" s="128">
        <f t="shared" si="6"/>
        <v>33372.629907147493</v>
      </c>
      <c r="M66" s="130">
        <f t="shared" si="7"/>
        <v>8186.97498</v>
      </c>
      <c r="N66" s="243">
        <v>3050</v>
      </c>
      <c r="P66" s="71"/>
    </row>
    <row r="67" spans="1:32" x14ac:dyDescent="0.25">
      <c r="B67" s="128">
        <f>IF(EGR!$D$3=0,('NOx Model (1)'!A73*1),IF(EGR!$D$3=5,('NOx Model (1)'!A73*1.05),IF(EGR!$D$3=10,('NOx Model (1)'!A73*1.1),IF(EGR!$D$3=15,('NOx Model (1)'!A73*1.15),IF(EGR!$D$3=20,('NOx Model (1)'!A73*1.2),IF(EGR!$D$3=25,('NOx Model (1)'!A73*1.25),IF(EGR!$D$3=30,('NOx Model (1)'!A73*1.3),IF(EGR!$D$3=35,('NOx Model (1)'!A73*1.35),IF(EGR!$D$3=40,('NOx Model (1)'!A73*1.4),IF(EGR!$D$3=45,('NOx Model (1)'!A73*1.45),IF(EGR!$D$3=50,('NOx Model (1)'!A73*1.5))))))))))))</f>
        <v>6511.9249767189895</v>
      </c>
      <c r="C67" s="130">
        <f>IF(EGR!$D$3=0,(EGR!W137*1),IF(EGR!$D$3=5,(EGR!W137*1.05),IF(EGR!$D$3=10,(EGR!W137*1.1),IF(EGR!$D$3=15,(EGR!W137*1.15),IF(EGR!$D$3=20,(EGR!W137*1.2),IF(EGR!$D$3=25,(EGR!W137*1.25),IF(EGR!$D$3=30,(EGR!W137*1.3),IF(EGR!$D$3=35,(EGR!W137*1.35),IF(EGR!$D$3=40,(EGR!W137*1.4),IF(EGR!$D$3=45,(EGR!W137*1.45),IF(EGR!$D$3=50,(EGR!W137*1.5))))))))))))</f>
        <v>1481.6323199999999</v>
      </c>
      <c r="D67" s="132">
        <f>IF(EGR!$D$3=0,('NOx Model (1)'!C73*1),IF(EGR!$D$3=5,('NOx Model (1)'!C73*1.05),IF(EGR!$D$3=10,('NOx Model (1)'!C73*1.1),IF(EGR!$D$3=15,('NOx Model (1)'!C73*1.15),IF(EGR!$D$3=20,('NOx Model (1)'!C73*1.2),IF(EGR!$D$3=25,('NOx Model (1)'!C73*1.25),IF(EGR!$D$3=30,('NOx Model (1)'!C73*1.3),IF(EGR!$D$3=35,('NOx Model (1)'!C73*1.35),IF(EGR!$D$3=40,('NOx Model (1)'!C73*1.4),IF(EGR!$D$3=45,('NOx Model (1)'!C73*1.45),IF(EGR!$D$3=50,('NOx Model (1)'!C73*1.5))))))))))))</f>
        <v>1411.9895475508656</v>
      </c>
      <c r="E67" s="130">
        <f>IF(EGR!$D$3=0,(EGR!Y137*1),IF(EGR!$D$3=5,(EGR!Y137*1.05),IF(EGR!$D$3=10,(EGR!Y137*1.1),IF(EGR!$D$3=15,(EGR!Y137*1.15),IF(EGR!$D$3=20,(EGR!Y137*1.2),IF(EGR!$D$3=25,(EGR!Y137*1.25),IF(EGR!$D$3=30,(EGR!Y137*1.3),IF(EGR!$D$3=35,(EGR!Y137*1.35),IF(EGR!$D$3=40,(EGR!Y137*1.4),IF(EGR!$D$3=45,(EGR!Y137*1.45),IF(EGR!$D$3=50,(EGR!Y137*1.5))))))))))))</f>
        <v>1384.4034000000001</v>
      </c>
      <c r="F67" s="71"/>
      <c r="G67" s="128">
        <f>IF(EGR!$D$3=0,('NOx Model (1)'!E73*1),IF(EGR!$D$3=5,('NOx Model (1)'!E73*1.05),IF(EGR!$D$3=10,('NOx Model (1)'!E73*1.1),IF(EGR!$D$3=15,('NOx Model (1)'!E73*1.15),IF(EGR!$D$3=20,('NOx Model (1)'!E73*1.2),IF(EGR!$D$3=25,('NOx Model (1)'!E73*1.25),IF(EGR!$D$3=30,('NOx Model (1)'!E73*1.3),IF(EGR!$D$3=35,('NOx Model (1)'!E73*1.35),IF(EGR!$D$3=40,('NOx Model (1)'!E73*1.4),IF(EGR!$D$3=45,('NOx Model (1)'!E73*1.45),IF(EGR!$D$3=50,('NOx Model (1)'!E73*1.5))))))))))))</f>
        <v>-482.99566894174433</v>
      </c>
      <c r="H67" s="130">
        <f>IF(EGR!$D$3=0,(EGR!AA137*1),IF(EGR!$D$3=5,(EGR!AA137*1.05),IF(EGR!$D$3=10,(EGR!AA137*1.1),IF(EGR!$D$3=15,(EGR!AA137*1.15),IF(EGR!$D$3=20,(EGR!AA137*1.2),IF(EGR!$D$3=25,(EGR!AA137*1.25),IF(EGR!$D$3=30,(EGR!AA137*1.3),IF(EGR!$D$3=35,(EGR!AA137*1.35),IF(EGR!$D$3=40,(EGR!AA137*1.4),IF(EGR!$D$3=45,(EGR!AA137*1.45),IF(EGR!$D$3=50,(EGR!AA137*1.5))))))))))))</f>
        <v>45.909000000000042</v>
      </c>
      <c r="I67" s="33"/>
      <c r="J67" s="128">
        <f>IF(EGR!$D$3=0,('NOx Model (1)'!G73*1),IF(EGR!$D$3=5,('NOx Model (1)'!G73*1.05),IF(EGR!$D$3=10,('NOx Model (1)'!G73*1.1),IF(EGR!$D$3=15,('NOx Model (1)'!G73*1.15),IF(EGR!$D$3=20,('NOx Model (1)'!G73*1.2),IF(EGR!$D$3=25,('NOx Model (1)'!G73*1.25),IF(EGR!$D$3=30,('NOx Model (1)'!G73*1.3),IF(EGR!$D$3=35,('NOx Model (1)'!G73*1.35),IF(EGR!$D$3=40,('NOx Model (1)'!G73*1.4),IF(EGR!$D$3=45,('NOx Model (1)'!G73*1.45),IF(EGR!$D$3=50,('NOx Model (1)'!G73*1.5))))))))))))</f>
        <v>29204.355712066874</v>
      </c>
      <c r="K67" s="130">
        <f>IF(EGR!$D$3=0,(EGR!AC137*1),IF(EGR!$D$3=5,(EGR!AC137*1.05),IF(EGR!$D$3=10,(EGR!AC137*1.1),IF(EGR!$D$3=15,(EGR!AC137*1.15),IF(EGR!$D$3=20,(EGR!AC137*1.2),IF(EGR!$D$3=25,(EGR!AC137*1.25),IF(EGR!$D$3=30,(EGR!AC137*1.3),IF(EGR!$D$3=35,(EGR!AC137*1.35),IF(EGR!$D$3=40,(EGR!AC137*1.4),IF(EGR!$D$3=45,(EGR!AC137*1.45),IF(EGR!$D$3=50,(EGR!AC137*1.5))))))))))))</f>
        <v>5438.652</v>
      </c>
      <c r="L67" s="128">
        <f t="shared" si="6"/>
        <v>36645.274567394983</v>
      </c>
      <c r="M67" s="130">
        <f t="shared" si="7"/>
        <v>8350.5967199999996</v>
      </c>
      <c r="N67" s="243">
        <v>3100</v>
      </c>
      <c r="P67" s="71"/>
    </row>
    <row r="68" spans="1:32" x14ac:dyDescent="0.25">
      <c r="B68" s="128">
        <f>IF(EGR!$D$3=0,('NOx Model (1)'!A74*1),IF(EGR!$D$3=5,('NOx Model (1)'!A74*1.05),IF(EGR!$D$3=10,('NOx Model (1)'!A74*1.1),IF(EGR!$D$3=15,('NOx Model (1)'!A74*1.15),IF(EGR!$D$3=20,('NOx Model (1)'!A74*1.2),IF(EGR!$D$3=25,('NOx Model (1)'!A74*1.25),IF(EGR!$D$3=30,('NOx Model (1)'!A74*1.3),IF(EGR!$D$3=35,('NOx Model (1)'!A74*1.35),IF(EGR!$D$3=40,('NOx Model (1)'!A74*1.4),IF(EGR!$D$3=45,('NOx Model (1)'!A74*1.45),IF(EGR!$D$3=50,('NOx Model (1)'!A74*1.5))))))))))))</f>
        <v>7152.5026885817342</v>
      </c>
      <c r="C68" s="130">
        <f>IF(EGR!$D$3=0,(EGR!W138*1),IF(EGR!$D$3=5,(EGR!W138*1.05),IF(EGR!$D$3=10,(EGR!W138*1.1),IF(EGR!$D$3=15,(EGR!W138*1.15),IF(EGR!$D$3=20,(EGR!W138*1.2),IF(EGR!$D$3=25,(EGR!W138*1.25),IF(EGR!$D$3=30,(EGR!W138*1.3),IF(EGR!$D$3=35,(EGR!W138*1.35),IF(EGR!$D$3=40,(EGR!W138*1.4),IF(EGR!$D$3=45,(EGR!W138*1.45),IF(EGR!$D$3=50,(EGR!W138*1.5))))))))))))</f>
        <v>1510.5926399999998</v>
      </c>
      <c r="D68" s="132">
        <f>IF(EGR!$D$3=0,('NOx Model (1)'!C74*1),IF(EGR!$D$3=5,('NOx Model (1)'!C74*1.05),IF(EGR!$D$3=10,('NOx Model (1)'!C74*1.1),IF(EGR!$D$3=15,('NOx Model (1)'!C74*1.15),IF(EGR!$D$3=20,('NOx Model (1)'!C74*1.2),IF(EGR!$D$3=25,('NOx Model (1)'!C74*1.25),IF(EGR!$D$3=30,('NOx Model (1)'!C74*1.3),IF(EGR!$D$3=35,('NOx Model (1)'!C74*1.35),IF(EGR!$D$3=40,('NOx Model (1)'!C74*1.4),IF(EGR!$D$3=45,('NOx Model (1)'!C74*1.45),IF(EGR!$D$3=50,('NOx Model (1)'!C74*1.5))))))))))))</f>
        <v>1441.3641410434523</v>
      </c>
      <c r="E68" s="130">
        <f>IF(EGR!$D$3=0,(EGR!Y138*1),IF(EGR!$D$3=5,(EGR!Y138*1.05),IF(EGR!$D$3=10,(EGR!Y138*1.1),IF(EGR!$D$3=15,(EGR!Y138*1.15),IF(EGR!$D$3=20,(EGR!Y138*1.2),IF(EGR!$D$3=25,(EGR!Y138*1.25),IF(EGR!$D$3=30,(EGR!Y138*1.3),IF(EGR!$D$3=35,(EGR!Y138*1.35),IF(EGR!$D$3=40,(EGR!Y138*1.4),IF(EGR!$D$3=45,(EGR!Y138*1.45),IF(EGR!$D$3=50,(EGR!Y138*1.5))))))))))))</f>
        <v>1413.84096</v>
      </c>
      <c r="F68" s="71"/>
      <c r="G68" s="128">
        <f>IF(EGR!$D$3=0,('NOx Model (1)'!E74*1),IF(EGR!$D$3=5,('NOx Model (1)'!E74*1.05),IF(EGR!$D$3=10,('NOx Model (1)'!E74*1.1),IF(EGR!$D$3=15,('NOx Model (1)'!E74*1.15),IF(EGR!$D$3=20,('NOx Model (1)'!E74*1.2),IF(EGR!$D$3=25,('NOx Model (1)'!E74*1.25),IF(EGR!$D$3=30,('NOx Model (1)'!E74*1.3),IF(EGR!$D$3=35,('NOx Model (1)'!E74*1.35),IF(EGR!$D$3=40,('NOx Model (1)'!E74*1.4),IF(EGR!$D$3=45,('NOx Model (1)'!E74*1.45),IF(EGR!$D$3=50,('NOx Model (1)'!E74*1.5))))))))))))</f>
        <v>-541.65146901866603</v>
      </c>
      <c r="H68" s="130">
        <f>IF(EGR!$D$3=0,(EGR!AA138*1),IF(EGR!$D$3=5,(EGR!AA138*1.05),IF(EGR!$D$3=10,(EGR!AA138*1.1),IF(EGR!$D$3=15,(EGR!AA138*1.15),IF(EGR!$D$3=20,(EGR!AA138*1.2),IF(EGR!$D$3=25,(EGR!AA138*1.25),IF(EGR!$D$3=30,(EGR!AA138*1.3),IF(EGR!$D$3=35,(EGR!AA138*1.35),IF(EGR!$D$3=40,(EGR!AA138*1.4),IF(EGR!$D$3=45,(EGR!AA138*1.45),IF(EGR!$D$3=50,(EGR!AA138*1.5))))))))))))</f>
        <v>46.81350000000004</v>
      </c>
      <c r="I68" s="33"/>
      <c r="J68" s="128">
        <f>IF(EGR!$D$3=0,('NOx Model (1)'!G74*1),IF(EGR!$D$3=5,('NOx Model (1)'!G74*1.05),IF(EGR!$D$3=10,('NOx Model (1)'!G74*1.1),IF(EGR!$D$3=15,('NOx Model (1)'!G74*1.15),IF(EGR!$D$3=20,('NOx Model (1)'!G74*1.2),IF(EGR!$D$3=25,('NOx Model (1)'!G74*1.25),IF(EGR!$D$3=30,('NOx Model (1)'!G74*1.3),IF(EGR!$D$3=35,('NOx Model (1)'!G74*1.35),IF(EGR!$D$3=40,('NOx Model (1)'!G74*1.4),IF(EGR!$D$3=45,('NOx Model (1)'!G74*1.45),IF(EGR!$D$3=50,('NOx Model (1)'!G74*1.5))))))))))))</f>
        <v>32137.538066027191</v>
      </c>
      <c r="K68" s="130">
        <f>IF(EGR!$D$3=0,(EGR!AC138*1),IF(EGR!$D$3=5,(EGR!AC138*1.05),IF(EGR!$D$3=10,(EGR!AC138*1.1),IF(EGR!$D$3=15,(EGR!AC138*1.15),IF(EGR!$D$3=20,(EGR!AC138*1.2),IF(EGR!$D$3=25,(EGR!AC138*1.25),IF(EGR!$D$3=30,(EGR!AC138*1.3),IF(EGR!$D$3=35,(EGR!AC138*1.35),IF(EGR!$D$3=40,(EGR!AC138*1.4),IF(EGR!$D$3=45,(EGR!AC138*1.45),IF(EGR!$D$3=50,(EGR!AC138*1.5))))))))))))</f>
        <v>5543.5559999999996</v>
      </c>
      <c r="L68" s="128">
        <f t="shared" si="6"/>
        <v>40189.75342663371</v>
      </c>
      <c r="M68" s="130">
        <f t="shared" si="7"/>
        <v>8514.8030999999992</v>
      </c>
      <c r="N68" s="243">
        <v>3150</v>
      </c>
      <c r="P68" s="71"/>
    </row>
    <row r="69" spans="1:32" x14ac:dyDescent="0.25">
      <c r="A69" s="201"/>
      <c r="B69" s="128">
        <f>IF(EGR!$D$3=0,('NOx Model (1)'!A75*1),IF(EGR!$D$3=5,('NOx Model (1)'!A75*1.05),IF(EGR!$D$3=10,('NOx Model (1)'!A75*1.1),IF(EGR!$D$3=15,('NOx Model (1)'!A75*1.15),IF(EGR!$D$3=20,('NOx Model (1)'!A75*1.2),IF(EGR!$D$3=25,('NOx Model (1)'!A75*1.25),IF(EGR!$D$3=30,('NOx Model (1)'!A75*1.3),IF(EGR!$D$3=35,('NOx Model (1)'!A75*1.35),IF(EGR!$D$3=40,('NOx Model (1)'!A75*1.4),IF(EGR!$D$3=45,('NOx Model (1)'!A75*1.45),IF(EGR!$D$3=50,('NOx Model (1)'!A75*1.5))))))))))))</f>
        <v>7845.7041080657036</v>
      </c>
      <c r="C69" s="130">
        <f>IF(EGR!$D$3=0,(EGR!W139*1),IF(EGR!$D$3=5,(EGR!W139*1.05),IF(EGR!$D$3=10,(EGR!W139*1.1),IF(EGR!$D$3=15,(EGR!W139*1.15),IF(EGR!$D$3=20,(EGR!W139*1.2),IF(EGR!$D$3=25,(EGR!W139*1.25),IF(EGR!$D$3=30,(EGR!W139*1.3),IF(EGR!$D$3=35,(EGR!W139*1.35),IF(EGR!$D$3=40,(EGR!W139*1.4),IF(EGR!$D$3=45,(EGR!W139*1.45),IF(EGR!$D$3=50,(EGR!W139*1.5))))))))))))</f>
        <v>1539.6460799999998</v>
      </c>
      <c r="D69" s="132">
        <f>IF(EGR!$D$3=0,('NOx Model (1)'!C75*1),IF(EGR!$D$3=5,('NOx Model (1)'!C75*1.05),IF(EGR!$D$3=10,('NOx Model (1)'!C75*1.1),IF(EGR!$D$3=15,('NOx Model (1)'!C75*1.15),IF(EGR!$D$3=20,('NOx Model (1)'!C75*1.2),IF(EGR!$D$3=25,('NOx Model (1)'!C75*1.25),IF(EGR!$D$3=30,('NOx Model (1)'!C75*1.3),IF(EGR!$D$3=35,('NOx Model (1)'!C75*1.35),IF(EGR!$D$3=40,('NOx Model (1)'!C75*1.4),IF(EGR!$D$3=45,('NOx Model (1)'!C75*1.45),IF(EGR!$D$3=50,('NOx Model (1)'!C75*1.5))))))))))))</f>
        <v>1470.9277722157235</v>
      </c>
      <c r="E69" s="130">
        <f>IF(EGR!$D$3=0,(EGR!Y139*1),IF(EGR!$D$3=5,(EGR!Y139*1.05),IF(EGR!$D$3=10,(EGR!Y139*1.1),IF(EGR!$D$3=15,(EGR!Y139*1.15),IF(EGR!$D$3=20,(EGR!Y139*1.2),IF(EGR!$D$3=25,(EGR!Y139*1.25),IF(EGR!$D$3=30,(EGR!Y139*1.3),IF(EGR!$D$3=35,(EGR!Y139*1.35),IF(EGR!$D$3=40,(EGR!Y139*1.4),IF(EGR!$D$3=45,(EGR!Y139*1.45),IF(EGR!$D$3=50,(EGR!Y139*1.5))))))))))))</f>
        <v>1443.2785200000001</v>
      </c>
      <c r="F69" s="71"/>
      <c r="G69" s="128">
        <f>IF(EGR!$D$3=0,('NOx Model (1)'!E75*1),IF(EGR!$D$3=5,('NOx Model (1)'!E75*1.05),IF(EGR!$D$3=10,('NOx Model (1)'!E75*1.1),IF(EGR!$D$3=15,('NOx Model (1)'!E75*1.15),IF(EGR!$D$3=20,('NOx Model (1)'!E75*1.2),IF(EGR!$D$3=25,('NOx Model (1)'!E75*1.25),IF(EGR!$D$3=30,('NOx Model (1)'!E75*1.3),IF(EGR!$D$3=35,('NOx Model (1)'!E75*1.35),IF(EGR!$D$3=40,('NOx Model (1)'!E75*1.4),IF(EGR!$D$3=45,('NOx Model (1)'!E75*1.45),IF(EGR!$D$3=50,('NOx Model (1)'!E75*1.5))))))))))))</f>
        <v>-605.32866004698235</v>
      </c>
      <c r="H69" s="130">
        <f>IF(EGR!$D$3=0,(EGR!AA139*1),IF(EGR!$D$3=5,(EGR!AA139*1.05),IF(EGR!$D$3=10,(EGR!AA139*1.1),IF(EGR!$D$3=15,(EGR!AA139*1.15),IF(EGR!$D$3=20,(EGR!AA139*1.2),IF(EGR!$D$3=25,(EGR!AA139*1.25),IF(EGR!$D$3=30,(EGR!AA139*1.3),IF(EGR!$D$3=35,(EGR!AA139*1.35),IF(EGR!$D$3=40,(EGR!AA139*1.4),IF(EGR!$D$3=45,(EGR!AA139*1.45),IF(EGR!$D$3=50,(EGR!AA139*1.5))))))))))))</f>
        <v>47.713500000000039</v>
      </c>
      <c r="I69" s="33"/>
      <c r="J69" s="128">
        <f>IF(EGR!$D$3=0,('NOx Model (1)'!G75*1),IF(EGR!$D$3=5,('NOx Model (1)'!G75*1.05),IF(EGR!$D$3=10,('NOx Model (1)'!G75*1.1),IF(EGR!$D$3=15,('NOx Model (1)'!G75*1.15),IF(EGR!$D$3=20,('NOx Model (1)'!G75*1.2),IF(EGR!$D$3=25,('NOx Model (1)'!G75*1.25),IF(EGR!$D$3=30,('NOx Model (1)'!G75*1.3),IF(EGR!$D$3=35,('NOx Model (1)'!G75*1.35),IF(EGR!$D$3=40,('NOx Model (1)'!G75*1.4),IF(EGR!$D$3=45,('NOx Model (1)'!G75*1.45),IF(EGR!$D$3=50,('NOx Model (1)'!G75*1.5))))))))))))</f>
        <v>35312.817820432116</v>
      </c>
      <c r="K69" s="130">
        <f>IF(EGR!$D$3=0,(EGR!AC139*1),IF(EGR!$D$3=5,(EGR!AC139*1.05),IF(EGR!$D$3=10,(EGR!AC139*1.1),IF(EGR!$D$3=15,(EGR!AC139*1.15),IF(EGR!$D$3=20,(EGR!AC139*1.2),IF(EGR!$D$3=25,(EGR!AC139*1.25),IF(EGR!$D$3=30,(EGR!AC139*1.3),IF(EGR!$D$3=35,(EGR!AC139*1.35),IF(EGR!$D$3=40,(EGR!AC139*1.4),IF(EGR!$D$3=45,(EGR!AC139*1.45),IF(EGR!$D$3=50,(EGR!AC139*1.5))))))))))))</f>
        <v>5647.8959999999997</v>
      </c>
      <c r="L69" s="128">
        <f t="shared" si="6"/>
        <v>44024.121040666563</v>
      </c>
      <c r="M69" s="130">
        <f t="shared" si="7"/>
        <v>8678.5340999999989</v>
      </c>
      <c r="N69" s="243">
        <v>3200</v>
      </c>
      <c r="P69" s="71"/>
    </row>
    <row r="70" spans="1:32" x14ac:dyDescent="0.25">
      <c r="A70" s="201">
        <v>0</v>
      </c>
      <c r="B70" s="128">
        <f>IF(EGR!$D$3=0,('NOx Model (1)'!A76*1),IF(EGR!$D$3=5,('NOx Model (1)'!A76*1.05),IF(EGR!$D$3=10,('NOx Model (1)'!A76*1.1),IF(EGR!$D$3=15,('NOx Model (1)'!A76*1.15),IF(EGR!$D$3=20,('NOx Model (1)'!A76*1.2),IF(EGR!$D$3=25,('NOx Model (1)'!A76*1.25),IF(EGR!$D$3=30,('NOx Model (1)'!A76*1.3),IF(EGR!$D$3=35,('NOx Model (1)'!A76*1.35),IF(EGR!$D$3=40,('NOx Model (1)'!A76*1.4),IF(EGR!$D$3=45,('NOx Model (1)'!A76*1.45),IF(EGR!$D$3=50,('NOx Model (1)'!A76*1.5))))))))))))</f>
        <v>8594.9619129485618</v>
      </c>
      <c r="C70" s="130">
        <f>IF(EGR!$D$3=0,(EGR!W140*1),IF(EGR!$D$3=5,(EGR!W140*1.05),IF(EGR!$D$3=10,(EGR!W140*1.1),IF(EGR!$D$3=15,(EGR!W140*1.15),IF(EGR!$D$3=20,(EGR!W140*1.2),IF(EGR!$D$3=25,(EGR!W140*1.25),IF(EGR!$D$3=30,(EGR!W140*1.3),IF(EGR!$D$3=35,(EGR!W140*1.35),IF(EGR!$D$3=40,(EGR!W140*1.4),IF(EGR!$D$3=45,(EGR!W140*1.45),IF(EGR!$D$3=50,(EGR!W140*1.5))))))))))))</f>
        <v>1568.6995200000001</v>
      </c>
      <c r="D70" s="132">
        <f>IF(EGR!$D$3=0,('NOx Model (1)'!C76*1),IF(EGR!$D$3=5,('NOx Model (1)'!C76*1.05),IF(EGR!$D$3=10,('NOx Model (1)'!C76*1.1),IF(EGR!$D$3=15,('NOx Model (1)'!C76*1.15),IF(EGR!$D$3=20,('NOx Model (1)'!C76*1.2),IF(EGR!$D$3=25,('NOx Model (1)'!C76*1.25),IF(EGR!$D$3=30,('NOx Model (1)'!C76*1.3),IF(EGR!$D$3=35,('NOx Model (1)'!C76*1.35),IF(EGR!$D$3=40,('NOx Model (1)'!C76*1.4),IF(EGR!$D$3=45,('NOx Model (1)'!C76*1.45),IF(EGR!$D$3=50,('NOx Model (1)'!C76*1.5))))))))))))</f>
        <v>1500.7728972493942</v>
      </c>
      <c r="E70" s="130">
        <f>IF(EGR!$D$3=0,(EGR!Y140*1),IF(EGR!$D$3=5,(EGR!Y140*1.05),IF(EGR!$D$3=10,(EGR!Y140*1.1),IF(EGR!$D$3=15,(EGR!Y140*1.15),IF(EGR!$D$3=20,(EGR!Y140*1.2),IF(EGR!$D$3=25,(EGR!Y140*1.25),IF(EGR!$D$3=30,(EGR!Y140*1.3),IF(EGR!$D$3=35,(EGR!Y140*1.35),IF(EGR!$D$3=40,(EGR!Y140*1.4),IF(EGR!$D$3=45,(EGR!Y140*1.45),IF(EGR!$D$3=50,(EGR!Y140*1.5))))))))))))</f>
        <v>1472.8208400000001</v>
      </c>
      <c r="F70" s="71"/>
      <c r="G70" s="128">
        <f>IF(EGR!$D$3=0,('NOx Model (1)'!E76*1),IF(EGR!$D$3=5,('NOx Model (1)'!E76*1.05),IF(EGR!$D$3=10,('NOx Model (1)'!E76*1.1),IF(EGR!$D$3=15,('NOx Model (1)'!E76*1.15),IF(EGR!$D$3=20,('NOx Model (1)'!E76*1.2),IF(EGR!$D$3=25,('NOx Model (1)'!E76*1.25),IF(EGR!$D$3=30,('NOx Model (1)'!E76*1.3),IF(EGR!$D$3=35,('NOx Model (1)'!E76*1.35),IF(EGR!$D$3=40,('NOx Model (1)'!E76*1.4),IF(EGR!$D$3=45,('NOx Model (1)'!E76*1.45),IF(EGR!$D$3=50,('NOx Model (1)'!E76*1.5))))))))))))</f>
        <v>-674.34509401872856</v>
      </c>
      <c r="H70" s="130">
        <f>IF(EGR!$D$3=0,(EGR!AA140*1),IF(EGR!$D$3=5,(EGR!AA140*1.05),IF(EGR!$D$3=10,(EGR!AA140*1.1),IF(EGR!$D$3=15,(EGR!AA140*1.15),IF(EGR!$D$3=20,(EGR!AA140*1.2),IF(EGR!$D$3=25,(EGR!AA140*1.25),IF(EGR!$D$3=30,(EGR!AA140*1.3),IF(EGR!$D$3=35,(EGR!AA140*1.35),IF(EGR!$D$3=40,(EGR!AA140*1.4),IF(EGR!$D$3=45,(EGR!AA140*1.45),IF(EGR!$D$3=50,(EGR!AA140*1.5))))))))))))</f>
        <v>48.622500000000038</v>
      </c>
      <c r="I70" s="33"/>
      <c r="J70" s="128">
        <f>IF(EGR!$D$3=0,('NOx Model (1)'!G76*1),IF(EGR!$D$3=5,('NOx Model (1)'!G76*1.05),IF(EGR!$D$3=10,('NOx Model (1)'!G76*1.1),IF(EGR!$D$3=15,('NOx Model (1)'!G76*1.15),IF(EGR!$D$3=20,('NOx Model (1)'!G76*1.2),IF(EGR!$D$3=25,('NOx Model (1)'!G76*1.25),IF(EGR!$D$3=30,('NOx Model (1)'!G76*1.3),IF(EGR!$D$3=35,('NOx Model (1)'!G76*1.35),IF(EGR!$D$3=40,('NOx Model (1)'!G76*1.4),IF(EGR!$D$3=45,('NOx Model (1)'!G76*1.45),IF(EGR!$D$3=50,('NOx Model (1)'!G76*1.5))))))))))))</f>
        <v>38745.942470434835</v>
      </c>
      <c r="K70" s="130">
        <f>IF(EGR!$D$3=0,(EGR!AC140*1),IF(EGR!$D$3=5,(EGR!AC140*1.05),IF(EGR!$D$3=10,(EGR!AC140*1.1),IF(EGR!$D$3=15,(EGR!AC140*1.15),IF(EGR!$D$3=20,(EGR!AC140*1.2),IF(EGR!$D$3=25,(EGR!AC140*1.25),IF(EGR!$D$3=30,(EGR!AC140*1.3),IF(EGR!$D$3=35,(EGR!AC140*1.35),IF(EGR!$D$3=40,(EGR!AC140*1.4),IF(EGR!$D$3=45,(EGR!AC140*1.45),IF(EGR!$D$3=50,(EGR!AC140*1.5))))))))))))</f>
        <v>5752.8</v>
      </c>
      <c r="L70" s="128">
        <f t="shared" si="6"/>
        <v>48167.332186614061</v>
      </c>
      <c r="M70" s="130">
        <f t="shared" si="7"/>
        <v>8842.942860000001</v>
      </c>
      <c r="N70" s="243">
        <v>3250</v>
      </c>
      <c r="P70" s="71"/>
    </row>
    <row r="71" spans="1:32" x14ac:dyDescent="0.25">
      <c r="A71" s="201">
        <v>5</v>
      </c>
      <c r="B71" s="128">
        <f>IF(EGR!$D$3=0,('NOx Model (1)'!A77*1),IF(EGR!$D$3=5,('NOx Model (1)'!A77*1.05),IF(EGR!$D$3=10,('NOx Model (1)'!A77*1.1),IF(EGR!$D$3=15,('NOx Model (1)'!A77*1.15),IF(EGR!$D$3=20,('NOx Model (1)'!A77*1.2),IF(EGR!$D$3=25,('NOx Model (1)'!A77*1.25),IF(EGR!$D$3=30,('NOx Model (1)'!A77*1.3),IF(EGR!$D$3=35,('NOx Model (1)'!A77*1.35),IF(EGR!$D$3=40,('NOx Model (1)'!A77*1.4),IF(EGR!$D$3=45,('NOx Model (1)'!A77*1.45),IF(EGR!$D$3=50,('NOx Model (1)'!A77*1.5))))))))))))</f>
        <v>9403.8756734721082</v>
      </c>
      <c r="C71" s="130">
        <f>IF(EGR!$D$3=0,(EGR!W141*1),IF(EGR!$D$3=5,(EGR!W141*1.05),IF(EGR!$D$3=10,(EGR!W141*1.1),IF(EGR!$D$3=15,(EGR!W141*1.15),IF(EGR!$D$3=20,(EGR!W141*1.2),IF(EGR!$D$3=25,(EGR!W141*1.25),IF(EGR!$D$3=30,(EGR!W141*1.3),IF(EGR!$D$3=35,(EGR!W141*1.35),IF(EGR!$D$3=40,(EGR!W141*1.4),IF(EGR!$D$3=45,(EGR!W141*1.45),IF(EGR!$D$3=50,(EGR!W141*1.5))))))))))))</f>
        <v>1597.8460799999998</v>
      </c>
      <c r="D71" s="132">
        <f>IF(EGR!$D$3=0,('NOx Model (1)'!C77*1),IF(EGR!$D$3=5,('NOx Model (1)'!C77*1.05),IF(EGR!$D$3=10,('NOx Model (1)'!C77*1.1),IF(EGR!$D$3=15,('NOx Model (1)'!C77*1.15),IF(EGR!$D$3=20,('NOx Model (1)'!C77*1.2),IF(EGR!$D$3=25,('NOx Model (1)'!C77*1.25),IF(EGR!$D$3=30,('NOx Model (1)'!C77*1.3),IF(EGR!$D$3=35,('NOx Model (1)'!C77*1.35),IF(EGR!$D$3=40,('NOx Model (1)'!C77*1.4),IF(EGR!$D$3=45,('NOx Model (1)'!C77*1.45),IF(EGR!$D$3=50,('NOx Model (1)'!C77*1.5))))))))))))</f>
        <v>1531.0122888635799</v>
      </c>
      <c r="E71" s="130">
        <f>IF(EGR!$D$3=0,(EGR!Y141*1),IF(EGR!$D$3=5,(EGR!Y141*1.05),IF(EGR!$D$3=10,(EGR!Y141*1.1),IF(EGR!$D$3=15,(EGR!Y141*1.15),IF(EGR!$D$3=20,(EGR!Y141*1.2),IF(EGR!$D$3=25,(EGR!Y141*1.25),IF(EGR!$D$3=30,(EGR!Y141*1.3),IF(EGR!$D$3=35,(EGR!Y141*1.35),IF(EGR!$D$3=40,(EGR!Y141*1.4),IF(EGR!$D$3=45,(EGR!Y141*1.45),IF(EGR!$D$3=50,(EGR!Y141*1.5))))))))))))</f>
        <v>1502.4679199999998</v>
      </c>
      <c r="F71" s="71"/>
      <c r="G71" s="128">
        <f>IF(EGR!$D$3=0,('NOx Model (1)'!E77*1),IF(EGR!$D$3=5,('NOx Model (1)'!E77*1.05),IF(EGR!$D$3=10,('NOx Model (1)'!E77*1.1),IF(EGR!$D$3=15,('NOx Model (1)'!E77*1.15),IF(EGR!$D$3=20,('NOx Model (1)'!E77*1.2),IF(EGR!$D$3=25,('NOx Model (1)'!E77*1.25),IF(EGR!$D$3=30,('NOx Model (1)'!E77*1.3),IF(EGR!$D$3=35,('NOx Model (1)'!E77*1.35),IF(EGR!$D$3=40,('NOx Model (1)'!E77*1.4),IF(EGR!$D$3=45,('NOx Model (1)'!E77*1.45),IF(EGR!$D$3=50,('NOx Model (1)'!E77*1.5))))))))))))</f>
        <v>-749.0322247737098</v>
      </c>
      <c r="H71" s="130">
        <f>IF(EGR!$D$3=0,(EGR!AA141*1),IF(EGR!$D$3=5,(EGR!AA141*1.05),IF(EGR!$D$3=10,(EGR!AA141*1.1),IF(EGR!$D$3=15,(EGR!AA141*1.15),IF(EGR!$D$3=20,(EGR!AA141*1.2),IF(EGR!$D$3=25,(EGR!AA141*1.25),IF(EGR!$D$3=30,(EGR!AA141*1.3),IF(EGR!$D$3=35,(EGR!AA141*1.35),IF(EGR!$D$3=40,(EGR!AA141*1.4),IF(EGR!$D$3=45,(EGR!AA141*1.45),IF(EGR!$D$3=50,(EGR!AA141*1.5))))))))))))</f>
        <v>49.527000000000044</v>
      </c>
      <c r="I71" s="33"/>
      <c r="J71" s="128">
        <f>IF(EGR!$D$3=0,('NOx Model (1)'!G77*1),IF(EGR!$D$3=5,('NOx Model (1)'!G77*1.05),IF(EGR!$D$3=10,('NOx Model (1)'!G77*1.1),IF(EGR!$D$3=15,('NOx Model (1)'!G77*1.15),IF(EGR!$D$3=20,('NOx Model (1)'!G77*1.2),IF(EGR!$D$3=25,('NOx Model (1)'!G77*1.25),IF(EGR!$D$3=30,('NOx Model (1)'!G77*1.3),IF(EGR!$D$3=35,('NOx Model (1)'!G77*1.35),IF(EGR!$D$3=40,('NOx Model (1)'!G77*1.4),IF(EGR!$D$3=45,('NOx Model (1)'!G77*1.45),IF(EGR!$D$3=50,('NOx Model (1)'!G77*1.5))))))))))))</f>
        <v>42453.41671604872</v>
      </c>
      <c r="K71" s="130">
        <f>IF(EGR!$D$3=0,(EGR!AC141*1),IF(EGR!$D$3=5,(EGR!AC141*1.05),IF(EGR!$D$3=10,(EGR!AC141*1.1),IF(EGR!$D$3=15,(EGR!AC141*1.15),IF(EGR!$D$3=20,(EGR!AC141*1.2),IF(EGR!$D$3=25,(EGR!AC141*1.25),IF(EGR!$D$3=30,(EGR!AC141*1.3),IF(EGR!$D$3=35,(EGR!AC141*1.35),IF(EGR!$D$3=40,(EGR!AC141*1.4),IF(EGR!$D$3=45,(EGR!AC141*1.45),IF(EGR!$D$3=50,(EGR!AC141*1.5))))))))))))</f>
        <v>5857.7039999999997</v>
      </c>
      <c r="L71" s="128">
        <f t="shared" si="6"/>
        <v>52639.272453610698</v>
      </c>
      <c r="M71" s="130">
        <f t="shared" si="7"/>
        <v>9007.5449999999983</v>
      </c>
      <c r="N71" s="243">
        <v>3300</v>
      </c>
      <c r="P71" s="71"/>
    </row>
    <row r="72" spans="1:32" x14ac:dyDescent="0.25">
      <c r="A72" s="201">
        <v>10</v>
      </c>
      <c r="B72" s="128">
        <f>IF(EGR!$D$3=0,('NOx Model (1)'!A78*1),IF(EGR!$D$3=5,('NOx Model (1)'!A78*1.05),IF(EGR!$D$3=10,('NOx Model (1)'!A78*1.1),IF(EGR!$D$3=15,('NOx Model (1)'!A78*1.15),IF(EGR!$D$3=20,('NOx Model (1)'!A78*1.2),IF(EGR!$D$3=25,('NOx Model (1)'!A78*1.25),IF(EGR!$D$3=30,('NOx Model (1)'!A78*1.3),IF(EGR!$D$3=35,('NOx Model (1)'!A78*1.35),IF(EGR!$D$3=40,('NOx Model (1)'!A78*1.4),IF(EGR!$D$3=45,('NOx Model (1)'!A78*1.45),IF(EGR!$D$3=50,('NOx Model (1)'!A78*1.5))))))))))))</f>
        <v>10276.217300472967</v>
      </c>
      <c r="C72" s="130">
        <f>IF(EGR!$D$3=0,(EGR!W142*1),IF(EGR!$D$3=5,(EGR!W142*1.05),IF(EGR!$D$3=10,(EGR!W142*1.1),IF(EGR!$D$3=15,(EGR!W142*1.15),IF(EGR!$D$3=20,(EGR!W142*1.2),IF(EGR!$D$3=25,(EGR!W142*1.25),IF(EGR!$D$3=30,(EGR!W142*1.3),IF(EGR!$D$3=35,(EGR!W142*1.35),IF(EGR!$D$3=40,(EGR!W142*1.4),IF(EGR!$D$3=45,(EGR!W142*1.45),IF(EGR!$D$3=50,(EGR!W142*1.5))))))))))))</f>
        <v>1626.9926399999999</v>
      </c>
      <c r="D72" s="132">
        <f>IF(EGR!$D$3=0,('NOx Model (1)'!C78*1),IF(EGR!$D$3=5,('NOx Model (1)'!C78*1.05),IF(EGR!$D$3=10,('NOx Model (1)'!C78*1.1),IF(EGR!$D$3=15,('NOx Model (1)'!C78*1.15),IF(EGR!$D$3=20,('NOx Model (1)'!C78*1.2),IF(EGR!$D$3=25,('NOx Model (1)'!C78*1.25),IF(EGR!$D$3=30,('NOx Model (1)'!C78*1.3),IF(EGR!$D$3=35,('NOx Model (1)'!C78*1.35),IF(EGR!$D$3=40,('NOx Model (1)'!C78*1.4),IF(EGR!$D$3=45,('NOx Model (1)'!C78*1.45),IF(EGR!$D$3=50,('NOx Model (1)'!C78*1.5))))))))))))</f>
        <v>1561.7810292940806</v>
      </c>
      <c r="E72" s="130">
        <f>IF(EGR!$D$3=0,(EGR!Y142*1),IF(EGR!$D$3=5,(EGR!Y142*1.05),IF(EGR!$D$3=10,(EGR!Y142*1.1),IF(EGR!$D$3=15,(EGR!Y142*1.15),IF(EGR!$D$3=20,(EGR!Y142*1.2),IF(EGR!$D$3=25,(EGR!Y142*1.25),IF(EGR!$D$3=30,(EGR!Y142*1.3),IF(EGR!$D$3=35,(EGR!Y142*1.35),IF(EGR!$D$3=40,(EGR!Y142*1.4),IF(EGR!$D$3=45,(EGR!Y142*1.45),IF(EGR!$D$3=50,(EGR!Y142*1.5))))))))))))</f>
        <v>1532.115</v>
      </c>
      <c r="F72" s="71"/>
      <c r="G72" s="128">
        <f>IF(EGR!$D$3=0,('NOx Model (1)'!E78*1),IF(EGR!$D$3=5,('NOx Model (1)'!E78*1.05),IF(EGR!$D$3=10,('NOx Model (1)'!E78*1.1),IF(EGR!$D$3=15,('NOx Model (1)'!E78*1.15),IF(EGR!$D$3=20,('NOx Model (1)'!E78*1.2),IF(EGR!$D$3=25,('NOx Model (1)'!E78*1.25),IF(EGR!$D$3=30,('NOx Model (1)'!E78*1.3),IF(EGR!$D$3=35,('NOx Model (1)'!E78*1.35),IF(EGR!$D$3=40,('NOx Model (1)'!E78*1.4),IF(EGR!$D$3=45,('NOx Model (1)'!E78*1.45),IF(EGR!$D$3=50,('NOx Model (1)'!E78*1.5))))))))))))</f>
        <v>-829.73538930683537</v>
      </c>
      <c r="H72" s="130">
        <f>IF(EGR!$D$3=0,(EGR!AA142*1),IF(EGR!$D$3=5,(EGR!AA142*1.05),IF(EGR!$D$3=10,(EGR!AA142*1.1),IF(EGR!$D$3=15,(EGR!AA142*1.15),IF(EGR!$D$3=20,(EGR!AA142*1.2),IF(EGR!$D$3=25,(EGR!AA142*1.25),IF(EGR!$D$3=30,(EGR!AA142*1.3),IF(EGR!$D$3=35,(EGR!AA142*1.35),IF(EGR!$D$3=40,(EGR!AA142*1.4),IF(EGR!$D$3=45,(EGR!AA142*1.45),IF(EGR!$D$3=50,(EGR!AA142*1.5))))))))))))</f>
        <v>50.436000000000043</v>
      </c>
      <c r="I72" s="33"/>
      <c r="J72" s="128">
        <f>IF(EGR!$D$3=0,('NOx Model (1)'!G78*1),IF(EGR!$D$3=5,('NOx Model (1)'!G78*1.05),IF(EGR!$D$3=10,('NOx Model (1)'!G78*1.1),IF(EGR!$D$3=15,('NOx Model (1)'!G78*1.15),IF(EGR!$D$3=20,('NOx Model (1)'!G78*1.2),IF(EGR!$D$3=25,('NOx Model (1)'!G78*1.25),IF(EGR!$D$3=30,('NOx Model (1)'!G78*1.3),IF(EGR!$D$3=35,('NOx Model (1)'!G78*1.35),IF(EGR!$D$3=40,('NOx Model (1)'!G78*1.4),IF(EGR!$D$3=45,('NOx Model (1)'!G78*1.45),IF(EGR!$D$3=50,('NOx Model (1)'!G78*1.5))))))))))))</f>
        <v>46452.526442584931</v>
      </c>
      <c r="K72" s="130">
        <f>IF(EGR!$D$3=0,(EGR!AC142*1),IF(EGR!$D$3=5,(EGR!AC142*1.05),IF(EGR!$D$3=10,(EGR!AC142*1.1),IF(EGR!$D$3=15,(EGR!AC142*1.15),IF(EGR!$D$3=20,(EGR!AC142*1.2),IF(EGR!$D$3=25,(EGR!AC142*1.25),IF(EGR!$D$3=30,(EGR!AC142*1.3),IF(EGR!$D$3=35,(EGR!AC142*1.35),IF(EGR!$D$3=40,(EGR!AC142*1.4),IF(EGR!$D$3=45,(EGR!AC142*1.45),IF(EGR!$D$3=50,(EGR!AC142*1.5))))))))))))</f>
        <v>5962.6080000000002</v>
      </c>
      <c r="L72" s="128">
        <f t="shared" si="6"/>
        <v>57460.789383045143</v>
      </c>
      <c r="M72" s="130">
        <f t="shared" si="7"/>
        <v>9172.15164</v>
      </c>
      <c r="N72" s="243">
        <v>3350</v>
      </c>
      <c r="P72" s="71"/>
    </row>
    <row r="73" spans="1:32" x14ac:dyDescent="0.25">
      <c r="A73" s="201">
        <v>15</v>
      </c>
      <c r="B73" s="128">
        <f>IF(EGR!$D$3=0,('NOx Model (1)'!A79*1),IF(EGR!$D$3=5,('NOx Model (1)'!A79*1.05),IF(EGR!$D$3=10,('NOx Model (1)'!A79*1.1),IF(EGR!$D$3=15,('NOx Model (1)'!A79*1.15),IF(EGR!$D$3=20,('NOx Model (1)'!A79*1.2),IF(EGR!$D$3=25,('NOx Model (1)'!A79*1.25),IF(EGR!$D$3=30,('NOx Model (1)'!A79*1.3),IF(EGR!$D$3=35,('NOx Model (1)'!A79*1.35),IF(EGR!$D$3=40,('NOx Model (1)'!A79*1.4),IF(EGR!$D$3=45,('NOx Model (1)'!A79*1.45),IF(EGR!$D$3=50,('NOx Model (1)'!A79*1.5))))))))))))</f>
        <v>11215.936585218695</v>
      </c>
      <c r="C73" s="130">
        <f>IF(EGR!$D$3=0,(EGR!W143*1),IF(EGR!$D$3=5,(EGR!W143*1.05),IF(EGR!$D$3=10,(EGR!W143*1.1),IF(EGR!$D$3=15,(EGR!W143*1.15),IF(EGR!$D$3=20,(EGR!W143*1.2),IF(EGR!$D$3=25,(EGR!W143*1.25),IF(EGR!$D$3=30,(EGR!W143*1.3),IF(EGR!$D$3=35,(EGR!W143*1.35),IF(EGR!$D$3=40,(EGR!W143*1.4),IF(EGR!$D$3=45,(EGR!W143*1.45),IF(EGR!$D$3=50,(EGR!W143*1.5))))))))))))</f>
        <v>1656.0460799999998</v>
      </c>
      <c r="D73" s="132">
        <f>IF(EGR!$D$3=0,('NOx Model (1)'!C79*1),IF(EGR!$D$3=5,('NOx Model (1)'!C79*1.05),IF(EGR!$D$3=10,('NOx Model (1)'!C79*1.1),IF(EGR!$D$3=15,('NOx Model (1)'!C79*1.15),IF(EGR!$D$3=20,('NOx Model (1)'!C79*1.2),IF(EGR!$D$3=25,('NOx Model (1)'!C79*1.25),IF(EGR!$D$3=30,('NOx Model (1)'!C79*1.3),IF(EGR!$D$3=35,('NOx Model (1)'!C79*1.35),IF(EGR!$D$3=40,('NOx Model (1)'!C79*1.4),IF(EGR!$D$3=45,('NOx Model (1)'!C79*1.45),IF(EGR!$D$3=50,('NOx Model (1)'!C79*1.5))))))))))))</f>
        <v>1593.238583270436</v>
      </c>
      <c r="E73" s="130">
        <f>IF(EGR!$D$3=0,(EGR!Y143*1),IF(EGR!$D$3=5,(EGR!Y143*1.05),IF(EGR!$D$3=10,(EGR!Y143*1.1),IF(EGR!$D$3=15,(EGR!Y143*1.15),IF(EGR!$D$3=20,(EGR!Y143*1.2),IF(EGR!$D$3=25,(EGR!Y143*1.25),IF(EGR!$D$3=30,(EGR!Y143*1.3),IF(EGR!$D$3=35,(EGR!Y143*1.35),IF(EGR!$D$3=40,(EGR!Y143*1.4),IF(EGR!$D$3=45,(EGR!Y143*1.45),IF(EGR!$D$3=50,(EGR!Y143*1.5))))))))))))</f>
        <v>1561.8668400000001</v>
      </c>
      <c r="F73" s="71"/>
      <c r="G73" s="128">
        <f>IF(EGR!$D$3=0,('NOx Model (1)'!E79*1),IF(EGR!$D$3=5,('NOx Model (1)'!E79*1.05),IF(EGR!$D$3=10,('NOx Model (1)'!E79*1.1),IF(EGR!$D$3=15,('NOx Model (1)'!E79*1.15),IF(EGR!$D$3=20,('NOx Model (1)'!E79*1.2),IF(EGR!$D$3=25,('NOx Model (1)'!E79*1.25),IF(EGR!$D$3=30,('NOx Model (1)'!E79*1.3),IF(EGR!$D$3=35,('NOx Model (1)'!E79*1.35),IF(EGR!$D$3=40,('NOx Model (1)'!E79*1.4),IF(EGR!$D$3=45,('NOx Model (1)'!E79*1.45),IF(EGR!$D$3=50,('NOx Model (1)'!E79*1.5))))))))))))</f>
        <v>-916.81408797928577</v>
      </c>
      <c r="H73" s="130">
        <f>IF(EGR!$D$3=0,(EGR!AA143*1),IF(EGR!$D$3=5,(EGR!AA143*1.05),IF(EGR!$D$3=10,(EGR!AA143*1.1),IF(EGR!$D$3=15,(EGR!AA143*1.15),IF(EGR!$D$3=20,(EGR!AA143*1.2),IF(EGR!$D$3=25,(EGR!AA143*1.25),IF(EGR!$D$3=30,(EGR!AA143*1.3),IF(EGR!$D$3=35,(EGR!AA143*1.35),IF(EGR!$D$3=40,(EGR!AA143*1.4),IF(EGR!$D$3=45,(EGR!AA143*1.45),IF(EGR!$D$3=50,(EGR!AA143*1.5))))))))))))</f>
        <v>51.349500000000049</v>
      </c>
      <c r="I73" s="33"/>
      <c r="J73" s="128">
        <f>IF(EGR!$D$3=0,('NOx Model (1)'!G79*1),IF(EGR!$D$3=5,('NOx Model (1)'!G79*1.05),IF(EGR!$D$3=10,('NOx Model (1)'!G79*1.1),IF(EGR!$D$3=15,('NOx Model (1)'!G79*1.15),IF(EGR!$D$3=20,('NOx Model (1)'!G79*1.2),IF(EGR!$D$3=25,('NOx Model (1)'!G79*1.25),IF(EGR!$D$3=30,('NOx Model (1)'!G79*1.3),IF(EGR!$D$3=35,('NOx Model (1)'!G79*1.35),IF(EGR!$D$3=40,('NOx Model (1)'!G79*1.4),IF(EGR!$D$3=45,('NOx Model (1)'!G79*1.45),IF(EGR!$D$3=50,('NOx Model (1)'!G79*1.5))))))))))))</f>
        <v>50761.363077834816</v>
      </c>
      <c r="K73" s="130">
        <f>IF(EGR!$D$3=0,(EGR!AC143*1),IF(EGR!$D$3=5,(EGR!AC143*1.05),IF(EGR!$D$3=10,(EGR!AC143*1.1),IF(EGR!$D$3=15,(EGR!AC143*1.15),IF(EGR!$D$3=20,(EGR!AC143*1.2),IF(EGR!$D$3=25,(EGR!AC143*1.25),IF(EGR!$D$3=30,(EGR!AC143*1.3),IF(EGR!$D$3=35,(EGR!AC143*1.35),IF(EGR!$D$3=40,(EGR!AC143*1.4),IF(EGR!$D$3=45,(EGR!AC143*1.45),IF(EGR!$D$3=50,(EGR!AC143*1.5))))))))))))</f>
        <v>6067.5119999999997</v>
      </c>
      <c r="L73" s="128">
        <f t="shared" si="6"/>
        <v>62653.724158344659</v>
      </c>
      <c r="M73" s="130">
        <f t="shared" si="7"/>
        <v>9336.7744199999997</v>
      </c>
      <c r="N73" s="243">
        <v>3400</v>
      </c>
      <c r="P73" s="71"/>
    </row>
    <row r="74" spans="1:32" x14ac:dyDescent="0.25">
      <c r="A74" s="201">
        <v>20</v>
      </c>
      <c r="B74" s="128">
        <f>IF(EGR!$D$3=0,('NOx Model (1)'!A80*1),IF(EGR!$D$3=5,('NOx Model (1)'!A80*1.05),IF(EGR!$D$3=10,('NOx Model (1)'!A80*1.1),IF(EGR!$D$3=15,('NOx Model (1)'!A80*1.15),IF(EGR!$D$3=20,('NOx Model (1)'!A80*1.2),IF(EGR!$D$3=25,('NOx Model (1)'!A80*1.25),IF(EGR!$D$3=30,('NOx Model (1)'!A80*1.3),IF(EGR!$D$3=35,('NOx Model (1)'!A80*1.35),IF(EGR!$D$3=40,('NOx Model (1)'!A80*1.4),IF(EGR!$D$3=45,('NOx Model (1)'!A80*1.45),IF(EGR!$D$3=50,('NOx Model (1)'!A80*1.5))))))))))))</f>
        <v>12227.166830949298</v>
      </c>
      <c r="C74" s="130">
        <f>IF(EGR!$D$3=0,(EGR!W144*1),IF(EGR!$D$3=5,(EGR!W144*1.05),IF(EGR!$D$3=10,(EGR!W144*1.1),IF(EGR!$D$3=15,(EGR!W144*1.15),IF(EGR!$D$3=20,(EGR!W144*1.2),IF(EGR!$D$3=25,(EGR!W144*1.25),IF(EGR!$D$3=30,(EGR!W144*1.3),IF(EGR!$D$3=35,(EGR!W144*1.35),IF(EGR!$D$3=40,(EGR!W144*1.4),IF(EGR!$D$3=45,(EGR!W144*1.45),IF(EGR!$D$3=50,(EGR!W144*1.5))))))))))))</f>
        <v>1685.2857599999998</v>
      </c>
      <c r="D74" s="132">
        <f>IF(EGR!$D$3=0,('NOx Model (1)'!C80*1),IF(EGR!$D$3=5,('NOx Model (1)'!C80*1.05),IF(EGR!$D$3=10,('NOx Model (1)'!C80*1.1),IF(EGR!$D$3=15,('NOx Model (1)'!C80*1.15),IF(EGR!$D$3=20,('NOx Model (1)'!C80*1.2),IF(EGR!$D$3=25,('NOx Model (1)'!C80*1.25),IF(EGR!$D$3=30,('NOx Model (1)'!C80*1.3),IF(EGR!$D$3=35,('NOx Model (1)'!C80*1.35),IF(EGR!$D$3=40,('NOx Model (1)'!C80*1.4),IF(EGR!$D$3=45,('NOx Model (1)'!C80*1.45),IF(EGR!$D$3=50,('NOx Model (1)'!C80*1.5))))))))))))</f>
        <v>1625.5709509907515</v>
      </c>
      <c r="E74" s="130">
        <f>IF(EGR!$D$3=0,(EGR!Y144*1),IF(EGR!$D$3=5,(EGR!Y144*1.05),IF(EGR!$D$3=10,(EGR!Y144*1.1),IF(EGR!$D$3=15,(EGR!Y144*1.15),IF(EGR!$D$3=20,(EGR!Y144*1.2),IF(EGR!$D$3=25,(EGR!Y144*1.25),IF(EGR!$D$3=30,(EGR!Y144*1.3),IF(EGR!$D$3=35,(EGR!Y144*1.35),IF(EGR!$D$3=40,(EGR!Y144*1.4),IF(EGR!$D$3=45,(EGR!Y144*1.45),IF(EGR!$D$3=50,(EGR!Y144*1.5))))))))))))</f>
        <v>1591.72344</v>
      </c>
      <c r="F74" s="71"/>
      <c r="G74" s="128">
        <f>IF(EGR!$D$3=0,('NOx Model (1)'!E80*1),IF(EGR!$D$3=5,('NOx Model (1)'!E80*1.05),IF(EGR!$D$3=10,('NOx Model (1)'!E80*1.1),IF(EGR!$D$3=15,('NOx Model (1)'!E80*1.15),IF(EGR!$D$3=20,('NOx Model (1)'!E80*1.2),IF(EGR!$D$3=25,('NOx Model (1)'!E80*1.25),IF(EGR!$D$3=30,('NOx Model (1)'!E80*1.3),IF(EGR!$D$3=35,('NOx Model (1)'!E80*1.35),IF(EGR!$D$3=40,('NOx Model (1)'!E80*1.4),IF(EGR!$D$3=45,('NOx Model (1)'!E80*1.45),IF(EGR!$D$3=50,('NOx Model (1)'!E80*1.5))))))))))))</f>
        <v>-1010.6422636335174</v>
      </c>
      <c r="H74" s="130">
        <f>IF(EGR!$D$3=0,(EGR!AA144*1),IF(EGR!$D$3=5,(EGR!AA144*1.05),IF(EGR!$D$3=10,(EGR!AA144*1.1),IF(EGR!$D$3=15,(EGR!AA144*1.15),IF(EGR!$D$3=20,(EGR!AA144*1.2),IF(EGR!$D$3=25,(EGR!AA144*1.25),IF(EGR!$D$3=30,(EGR!AA144*1.3),IF(EGR!$D$3=35,(EGR!AA144*1.35),IF(EGR!$D$3=40,(EGR!AA144*1.4),IF(EGR!$D$3=45,(EGR!AA144*1.45),IF(EGR!$D$3=50,(EGR!AA144*1.5))))))))))))</f>
        <v>52.258500000000041</v>
      </c>
      <c r="I74" s="33"/>
      <c r="J74" s="128">
        <f>IF(EGR!$D$3=0,('NOx Model (1)'!G80*1),IF(EGR!$D$3=5,('NOx Model (1)'!G80*1.05),IF(EGR!$D$3=10,('NOx Model (1)'!G80*1.1),IF(EGR!$D$3=15,('NOx Model (1)'!G80*1.15),IF(EGR!$D$3=20,('NOx Model (1)'!G80*1.2),IF(EGR!$D$3=25,('NOx Model (1)'!G80*1.25),IF(EGR!$D$3=30,('NOx Model (1)'!G80*1.3),IF(EGR!$D$3=35,('NOx Model (1)'!G80*1.35),IF(EGR!$D$3=40,('NOx Model (1)'!G80*1.4),IF(EGR!$D$3=45,('NOx Model (1)'!G80*1.45),IF(EGR!$D$3=50,('NOx Model (1)'!G80*1.5))))))))))))</f>
        <v>55398.848325996834</v>
      </c>
      <c r="K74" s="130">
        <f>IF(EGR!$D$3=0,(EGR!AC144*1),IF(EGR!$D$3=5,(EGR!AC144*1.05),IF(EGR!$D$3=10,(EGR!AC144*1.1),IF(EGR!$D$3=15,(EGR!AC144*1.15),IF(EGR!$D$3=20,(EGR!AC144*1.2),IF(EGR!$D$3=25,(EGR!AC144*1.25),IF(EGR!$D$3=30,(EGR!AC144*1.3),IF(EGR!$D$3=35,(EGR!AC144*1.35),IF(EGR!$D$3=40,(EGR!AC144*1.4),IF(EGR!$D$3=45,(EGR!AC144*1.45),IF(EGR!$D$3=50,(EGR!AC144*1.5))))))))))))</f>
        <v>6172.9800000000005</v>
      </c>
      <c r="L74" s="128">
        <f t="shared" si="6"/>
        <v>68240.943844303372</v>
      </c>
      <c r="M74" s="130">
        <f t="shared" si="7"/>
        <v>9502.2476999999999</v>
      </c>
      <c r="N74" s="243">
        <v>3450</v>
      </c>
      <c r="P74" s="71"/>
    </row>
    <row r="75" spans="1:32" ht="15.75" thickBot="1" x14ac:dyDescent="0.3">
      <c r="A75" s="201">
        <v>25</v>
      </c>
      <c r="B75" s="136">
        <f>IF(EGR!$D$3=0,('NOx Model (1)'!A81*1),IF(EGR!$D$3=5,('NOx Model (1)'!A81*1.05),IF(EGR!$D$3=10,('NOx Model (1)'!A81*1.1),IF(EGR!$D$3=15,('NOx Model (1)'!A81*1.15),IF(EGR!$D$3=20,('NOx Model (1)'!A81*1.2),IF(EGR!$D$3=25,('NOx Model (1)'!A81*1.25),IF(EGR!$D$3=30,('NOx Model (1)'!A81*1.3),IF(EGR!$D$3=35,('NOx Model (1)'!A81*1.35),IF(EGR!$D$3=40,('NOx Model (1)'!A81*1.4),IF(EGR!$D$3=45,('NOx Model (1)'!A81*1.45),IF(EGR!$D$3=50,('NOx Model (1)'!A81*1.5))))))))))))</f>
        <v>13314.230576124248</v>
      </c>
      <c r="C75" s="42">
        <f>IF(EGR!$D$3=0,(EGR!W145*1),IF(EGR!$D$3=5,(EGR!W145*1.05),IF(EGR!$D$3=10,(EGR!W145*1.1),IF(EGR!$D$3=15,(EGR!W145*1.15),IF(EGR!$D$3=20,(EGR!W145*1.2),IF(EGR!$D$3=25,(EGR!W145*1.25),IF(EGR!$D$3=30,(EGR!W145*1.3),IF(EGR!$D$3=35,(EGR!W145*1.35),IF(EGR!$D$3=40,(EGR!W145*1.4),IF(EGR!$D$3=45,(EGR!W145*1.45),IF(EGR!$D$3=50,(EGR!W145*1.5))))))))))))</f>
        <v>1714.4323200000001</v>
      </c>
      <c r="D75" s="133">
        <f>IF(EGR!$D$3=0,('NOx Model (1)'!C81*1),IF(EGR!$D$3=5,('NOx Model (1)'!C81*1.05),IF(EGR!$D$3=10,('NOx Model (1)'!C81*1.1),IF(EGR!$D$3=15,('NOx Model (1)'!C81*1.15),IF(EGR!$D$3=20,('NOx Model (1)'!C81*1.2),IF(EGR!$D$3=25,('NOx Model (1)'!C81*1.25),IF(EGR!$D$3=30,('NOx Model (1)'!C81*1.3),IF(EGR!$D$3=35,('NOx Model (1)'!C81*1.35),IF(EGR!$D$3=40,('NOx Model (1)'!C81*1.4),IF(EGR!$D$3=45,('NOx Model (1)'!C81*1.45),IF(EGR!$D$3=50,('NOx Model (1)'!C81*1.5))))))))))))</f>
        <v>1658.9929010943351</v>
      </c>
      <c r="E75" s="42">
        <f>IF(EGR!$D$3=0,(EGR!Y145*1),IF(EGR!$D$3=5,(EGR!Y145*1.05),IF(EGR!$D$3=10,(EGR!Y145*1.1),IF(EGR!$D$3=15,(EGR!Y145*1.15),IF(EGR!$D$3=20,(EGR!Y145*1.2),IF(EGR!$D$3=25,(EGR!Y145*1.25),IF(EGR!$D$3=30,(EGR!Y145*1.3),IF(EGR!$D$3=35,(EGR!Y145*1.35),IF(EGR!$D$3=40,(EGR!Y145*1.4),IF(EGR!$D$3=45,(EGR!Y145*1.45),IF(EGR!$D$3=50,(EGR!Y145*1.5))))))))))))</f>
        <v>1621.5800400000001</v>
      </c>
      <c r="F75" s="71"/>
      <c r="G75" s="136">
        <f>IF(EGR!$D$3=0,('NOx Model (1)'!E81*1),IF(EGR!$D$3=5,('NOx Model (1)'!E81*1.05),IF(EGR!$D$3=10,('NOx Model (1)'!E81*1.1),IF(EGR!$D$3=15,('NOx Model (1)'!E81*1.15),IF(EGR!$D$3=20,('NOx Model (1)'!E81*1.2),IF(EGR!$D$3=25,('NOx Model (1)'!E81*1.25),IF(EGR!$D$3=30,('NOx Model (1)'!E81*1.3),IF(EGR!$D$3=35,('NOx Model (1)'!E81*1.35),IF(EGR!$D$3=40,('NOx Model (1)'!E81*1.4),IF(EGR!$D$3=45,('NOx Model (1)'!E81*1.45),IF(EGR!$D$3=50,('NOx Model (1)'!E81*1.5))))))))))))</f>
        <v>-1111.6085796120717</v>
      </c>
      <c r="H75" s="42">
        <f>IF(EGR!$D$3=0,(EGR!AA145*1),IF(EGR!$D$3=5,(EGR!AA145*1.05),IF(EGR!$D$3=10,(EGR!AA145*1.1),IF(EGR!$D$3=15,(EGR!AA145*1.15),IF(EGR!$D$3=20,(EGR!AA145*1.2),IF(EGR!$D$3=25,(EGR!AA145*1.25),IF(EGR!$D$3=30,(EGR!AA145*1.3),IF(EGR!$D$3=35,(EGR!AA145*1.35),IF(EGR!$D$3=40,(EGR!AA145*1.4),IF(EGR!$D$3=45,(EGR!AA145*1.45),IF(EGR!$D$3=50,(EGR!AA145*1.5))))))))))))</f>
        <v>53.176500000000047</v>
      </c>
      <c r="I75" s="33"/>
      <c r="J75" s="136">
        <f>IF(EGR!$D$3=0,('NOx Model (1)'!G81*1),IF(EGR!$D$3=5,('NOx Model (1)'!G81*1.05),IF(EGR!$D$3=10,('NOx Model (1)'!G81*1.1),IF(EGR!$D$3=15,('NOx Model (1)'!G81*1.15),IF(EGR!$D$3=20,('NOx Model (1)'!G81*1.2),IF(EGR!$D$3=25,('NOx Model (1)'!G81*1.25),IF(EGR!$D$3=30,('NOx Model (1)'!G81*1.3),IF(EGR!$D$3=35,('NOx Model (1)'!G81*1.35),IF(EGR!$D$3=40,('NOx Model (1)'!G81*1.4),IF(EGR!$D$3=45,('NOx Model (1)'!G81*1.45),IF(EGR!$D$3=50,('NOx Model (1)'!G81*1.5))))))))))))</f>
        <v>60384.759278348218</v>
      </c>
      <c r="K75" s="42">
        <f>IF(EGR!$D$3=0,(EGR!AC145*1),IF(EGR!$D$3=5,(EGR!AC145*1.05),IF(EGR!$D$3=10,(EGR!AC145*1.1),IF(EGR!$D$3=15,(EGR!AC145*1.15),IF(EGR!$D$3=20,(EGR!AC145*1.2),IF(EGR!$D$3=25,(EGR!AC145*1.25),IF(EGR!$D$3=30,(EGR!AC145*1.3),IF(EGR!$D$3=35,(EGR!AC145*1.35),IF(EGR!$D$3=40,(EGR!AC145*1.4),IF(EGR!$D$3=45,(EGR!AC145*1.45),IF(EGR!$D$3=50,(EGR!AC145*1.5))))))))))))</f>
        <v>6277.8839999999991</v>
      </c>
      <c r="L75" s="136">
        <f t="shared" si="6"/>
        <v>74246.374175954727</v>
      </c>
      <c r="M75" s="42">
        <f t="shared" si="7"/>
        <v>9667.0728600000002</v>
      </c>
      <c r="N75" s="244">
        <v>3500</v>
      </c>
      <c r="P75" s="71"/>
      <c r="V75" s="564" t="s">
        <v>192</v>
      </c>
      <c r="W75" s="564"/>
      <c r="X75" s="564"/>
      <c r="Y75" s="564"/>
      <c r="Z75" s="564"/>
      <c r="AA75" s="564"/>
      <c r="AB75" s="564"/>
      <c r="AC75" s="564"/>
      <c r="AD75" s="564"/>
      <c r="AE75" s="564"/>
      <c r="AF75" s="564"/>
    </row>
    <row r="76" spans="1:32" x14ac:dyDescent="0.25">
      <c r="A76" s="201">
        <v>30</v>
      </c>
      <c r="V76" s="565" t="s">
        <v>127</v>
      </c>
      <c r="W76" s="565"/>
      <c r="X76" s="565" t="s">
        <v>133</v>
      </c>
      <c r="Y76" s="565"/>
      <c r="Z76" s="565" t="s">
        <v>10</v>
      </c>
      <c r="AA76" s="565"/>
      <c r="AB76" s="565" t="s">
        <v>11</v>
      </c>
      <c r="AC76" s="565"/>
      <c r="AD76" s="565" t="s">
        <v>180</v>
      </c>
      <c r="AE76" s="565"/>
      <c r="AF76" s="222" t="s">
        <v>179</v>
      </c>
    </row>
    <row r="77" spans="1:32" x14ac:dyDescent="0.25">
      <c r="A77" s="201">
        <v>35</v>
      </c>
      <c r="V77" s="222" t="s">
        <v>191</v>
      </c>
      <c r="W77" s="222" t="s">
        <v>154</v>
      </c>
      <c r="X77" s="222" t="s">
        <v>191</v>
      </c>
      <c r="Y77" s="222" t="s">
        <v>154</v>
      </c>
      <c r="Z77" s="222" t="s">
        <v>191</v>
      </c>
      <c r="AA77" s="222" t="s">
        <v>154</v>
      </c>
      <c r="AB77" s="222" t="s">
        <v>191</v>
      </c>
      <c r="AC77" s="222" t="s">
        <v>154</v>
      </c>
      <c r="AD77" s="222" t="s">
        <v>191</v>
      </c>
      <c r="AE77" s="222" t="s">
        <v>154</v>
      </c>
      <c r="AF77" s="222" t="s">
        <v>193</v>
      </c>
    </row>
    <row r="78" spans="1:32" x14ac:dyDescent="0.25">
      <c r="A78" s="201">
        <v>40</v>
      </c>
      <c r="V78" s="358">
        <f>(8.5770134353*(10^-19)*(AF78^6))-(1.0374875556*(10^-14)*(AF78^5))+(4.9689475953*(10^-11)*(AF78^4))-(1.2019118054*(10^-7)*(AF78^3))+(1.5650954893*(10^-4)*(AF78^2))-(4.8239362033*(10^-2)*(AF78))+(5.2084519626)</f>
        <v>0.93567016311286633</v>
      </c>
      <c r="W78" s="358">
        <f>Properties!D7*EGR!$G$3</f>
        <v>26.539199999999997</v>
      </c>
      <c r="X78" s="358">
        <f>((6.6506859177*(10^-19)*(AF78^6)) -(7.8984343104*(10^-15)*(AF78^5))+(3.6879849877*(10^-11)*(AF78^4))-(8.6386228559*(10^-8)*(AF78^3))+(1.1074017861*(10^-4)*(AF78^2))-(3.1241611608*(10^-2)*(AF78))+(3.3006694533))</f>
        <v>0.84738727284174553</v>
      </c>
      <c r="Y78" s="358">
        <f>Properties!J7*EGR!$J$3</f>
        <v>28.197900000000001</v>
      </c>
      <c r="Z78" s="358">
        <f t="shared" ref="Z78:Z109" si="8">(6.4958291549*(10^-19)*(AF78^6))-(7.8224528491*(10^-15)*(AF78^5))+(3.7120417697*(10^-11)*(AF78^4))-(8.798317617*(10^-8)*(AF78^3))+(1.0982327235*(10^-4)*(AF78^2))-(3.2606444641*(10^-2)*(AF78))+(3.5786489003)</f>
        <v>0.80335651345007886</v>
      </c>
      <c r="AA78" s="358">
        <f>Properties!P7*EGR!$L$3</f>
        <v>1.0650000000000008</v>
      </c>
      <c r="AB78" s="358">
        <f t="shared" ref="AB78:AB109" si="9">(5.9376621671*(10^-19)*(AF78^6))-(7.1020711589*(10^-15)*(AF78^5))+(3.3460896805*(10^-11)*(AF78^4))-(7.8909601634*(10^-8)*(AF78^3))+(9.8599769212*(10^-5)*(AF78^2))-(2.8172899156*(10^-2)*(AF78))+(3.05378908)</f>
        <v>0.78322597736302146</v>
      </c>
      <c r="AC78" s="358">
        <f>Properties!V7*EGR!$N$3</f>
        <v>133.47999999999999</v>
      </c>
      <c r="AD78" s="358">
        <f t="shared" ref="AD78:AD109" si="10">V78+X78+Z78+AB78</f>
        <v>3.3696399267677122</v>
      </c>
      <c r="AE78" s="358">
        <f t="shared" ref="AE78:AE109" si="11">W78+Y78+AA78+AC78</f>
        <v>189.28209999999999</v>
      </c>
      <c r="AF78" s="359">
        <v>200</v>
      </c>
    </row>
    <row r="79" spans="1:32" x14ac:dyDescent="0.25">
      <c r="A79" s="201">
        <v>45</v>
      </c>
      <c r="V79" s="358">
        <f>'NOx Model (2)'!$F$3*(8.5770134353*(10^-19)*(AF79^6))-(1.0374875556*(10^-14)*(AF79^5))+(4.9689475953*(10^-11)*(AF79^4))-(1.2019118054*(10^-7)*(AF79^3))+(1.5650954893*(10^-4)*(AF79^2))-(4.8239362033*(10^-2)*(AF79))+(5.2084519626)</f>
        <v>1.2380973135259659</v>
      </c>
      <c r="W79" s="358">
        <f>Properties!D8*EGR!$G$3</f>
        <v>13.5024</v>
      </c>
      <c r="X79" s="358">
        <f>'NOx Model (2)'!$H$3* ((6.6506859177*(10^-19)*(AF79^6)) -(7.8984343104*(10^-15)*(AF79^5))+(3.6879849877*(10^-11)*(AF79^4))-(8.6386228559*(10^-8)*(AF79^3))+(1.1074017861*(10^-4)*(AF79^2))-(3.1241611608*(10^-2)*(AF79))+(3.3006694533))</f>
        <v>10.676441912897596</v>
      </c>
      <c r="Y79" s="358">
        <f>Properties!J8*EGR!$J$3</f>
        <v>13.968000000000002</v>
      </c>
      <c r="Z79" s="358">
        <f t="shared" si="8"/>
        <v>1.053776241366184</v>
      </c>
      <c r="AA79" s="358">
        <f>Properties!P8*EGR!$L$3</f>
        <v>0.52500000000000047</v>
      </c>
      <c r="AB79" s="358">
        <f t="shared" si="9"/>
        <v>1.0640033154524198</v>
      </c>
      <c r="AC79" s="358">
        <f>Properties!V8*EGR!$N$3</f>
        <v>65.8</v>
      </c>
      <c r="AD79" s="358">
        <f t="shared" si="10"/>
        <v>14.032318783242166</v>
      </c>
      <c r="AE79" s="358">
        <f t="shared" si="11"/>
        <v>93.795400000000001</v>
      </c>
      <c r="AF79" s="359">
        <v>250</v>
      </c>
    </row>
    <row r="80" spans="1:32" x14ac:dyDescent="0.25">
      <c r="A80" s="201">
        <v>50</v>
      </c>
      <c r="V80" s="358">
        <f>'NOx Model (2)'!$F$3*(8.5770134353*(10^-19)*(AF80^6))-(1.0374875556*(10^-14)*(AF80^5))+(4.9689475953*(10^-11)*(AF80^4))-(1.2019118054*(10^-7)*(AF80^3))+(1.5650954893*(10^-4)*(AF80^2))-(4.8239362033*(10^-2)*(AF80))+(5.2084519626)</f>
        <v>1.9233399460635709</v>
      </c>
      <c r="W80" s="358">
        <f>Properties!D9*EGR!$G$3</f>
        <v>0</v>
      </c>
      <c r="X80" s="358">
        <f>'NOx Model (2)'!$H$3* ((6.6506859177*(10^-19)*(AF80^6)) -(7.8984343104*(10^-15)*(AF80^5))+(3.6879849877*(10^-11)*(AF80^4))-(8.6386228559*(10^-8)*(AF80^3))+(1.1074017861*(10^-4)*(AF80^2))-(3.1241611608*(10^-2)*(AF80))+(3.3006694533))</f>
        <v>16.140411700263304</v>
      </c>
      <c r="Y80" s="358">
        <f>Properties!J9*EGR!$J$3</f>
        <v>0</v>
      </c>
      <c r="Z80" s="358">
        <f t="shared" si="8"/>
        <v>1.5611321786429153</v>
      </c>
      <c r="AA80" s="358">
        <f>Properties!P9*EGR!$L$3</f>
        <v>0</v>
      </c>
      <c r="AB80" s="358">
        <f t="shared" si="9"/>
        <v>1.5736906422910093</v>
      </c>
      <c r="AC80" s="358">
        <f>Properties!V9*EGR!$N$3</f>
        <v>0</v>
      </c>
      <c r="AD80" s="358">
        <f t="shared" si="10"/>
        <v>21.198574467260798</v>
      </c>
      <c r="AE80" s="358">
        <f t="shared" si="11"/>
        <v>0</v>
      </c>
      <c r="AF80" s="359">
        <v>298</v>
      </c>
    </row>
    <row r="81" spans="1:32" x14ac:dyDescent="0.25">
      <c r="A81" s="201"/>
      <c r="V81" s="358">
        <f>'NOx Model (2)'!$F$3*(8.5770134353*(10^-19)*(AF81^6))-(1.0374875556*(10^-14)*(AF81^5))+(4.9689475953*(10^-11)*(AF81^4))-(1.2019118054*(10^-7)*(AF81^3))+(1.5650954893*(10^-4)*(AF81^2))-(4.8239362033*(10^-2)*(AF81))+(5.2084519626)</f>
        <v>1.959566782531331</v>
      </c>
      <c r="W81" s="358">
        <f>Properties!D10*EGR!$G$3</f>
        <v>0.54320000000000002</v>
      </c>
      <c r="X81" s="358">
        <f>'NOx Model (2)'!$H$3* ((6.6506859177*(10^-19)*(AF81^6)) -(7.8984343104*(10^-15)*(AF81^5))+(3.6879849877*(10^-11)*(AF81^4))-(8.6386228559*(10^-8)*(AF81^3))+(1.1074017861*(10^-4)*(AF81^2))-(3.1241611608*(10^-2)*(AF81))+(3.3006694533))</f>
        <v>16.415715378207885</v>
      </c>
      <c r="Y81" s="358">
        <f>Properties!J10*EGR!$J$3</f>
        <v>0.52380000000000004</v>
      </c>
      <c r="Z81" s="358">
        <f t="shared" si="8"/>
        <v>1.5874046317777788</v>
      </c>
      <c r="AA81" s="358">
        <f>Properties!P10*EGR!$L$3</f>
        <v>1.8750000000000017E-2</v>
      </c>
      <c r="AB81" s="358">
        <f t="shared" si="9"/>
        <v>1.5995474049383547</v>
      </c>
      <c r="AC81" s="358">
        <f>Properties!V10*EGR!$N$3</f>
        <v>2.35</v>
      </c>
      <c r="AD81" s="358">
        <f t="shared" si="10"/>
        <v>21.562234197455354</v>
      </c>
      <c r="AE81" s="358">
        <f t="shared" si="11"/>
        <v>3.4357500000000005</v>
      </c>
      <c r="AF81" s="359">
        <v>300</v>
      </c>
    </row>
    <row r="82" spans="1:32" x14ac:dyDescent="0.25">
      <c r="A82" s="201"/>
      <c r="V82" s="358">
        <f>'NOx Model (2)'!$F$3*(8.5770134353*(10^-19)*(AF82^6))-(1.0374875556*(10^-14)*(AF82^5))+(4.9689475953*(10^-11)*(AF82^4))-(1.2019118054*(10^-7)*(AF82^3))+(1.5650954893*(10^-4)*(AF82^2))-(4.8239362033*(10^-2)*(AF82))+(5.2084519626)</f>
        <v>3.047547364671841</v>
      </c>
      <c r="W82" s="358">
        <f>Properties!D11*EGR!$G$3</f>
        <v>15.442399999999999</v>
      </c>
      <c r="X82" s="358">
        <f>'NOx Model (2)'!$H$3* ((6.6506859177*(10^-19)*(AF82^6)) -(7.8984343104*(10^-15)*(AF82^5))+(3.6879849877*(10^-11)*(AF82^4))-(8.6386228559*(10^-8)*(AF82^3))+(1.1074017861*(10^-4)*(AF82^2))-(3.1241611608*(10^-2)*(AF82))+(3.3006694533))</f>
        <v>24.423508241306703</v>
      </c>
      <c r="Y82" s="358">
        <f>Properties!J11*EGR!$J$3</f>
        <v>15.2775</v>
      </c>
      <c r="Z82" s="358">
        <f t="shared" si="8"/>
        <v>2.3646128454726076</v>
      </c>
      <c r="AA82" s="358">
        <f>Properties!P11*EGR!$L$3</f>
        <v>0.57375000000000054</v>
      </c>
      <c r="AB82" s="358">
        <f t="shared" si="9"/>
        <v>2.3544096071528604</v>
      </c>
      <c r="AC82" s="358">
        <f>Properties!V11*EGR!$N$3</f>
        <v>70.97</v>
      </c>
      <c r="AD82" s="358">
        <f t="shared" si="10"/>
        <v>32.190078058604009</v>
      </c>
      <c r="AE82" s="358">
        <f t="shared" si="11"/>
        <v>102.26365</v>
      </c>
      <c r="AF82" s="359">
        <v>350</v>
      </c>
    </row>
    <row r="83" spans="1:32" x14ac:dyDescent="0.25">
      <c r="A83" s="201"/>
      <c r="V83" s="358">
        <f>'NOx Model (2)'!$F$3*(8.5770134353*(10^-19)*(AF83^6))-(1.0374875556*(10^-14)*(AF83^5))+(4.9689475953*(10^-11)*(AF83^4))-(1.2019118054*(10^-7)*(AF83^3))+(1.5650954893*(10^-4)*(AF83^2))-(4.8239362033*(10^-2)*(AF83))+(5.2084519626)</f>
        <v>4.4556353883919062</v>
      </c>
      <c r="W83" s="358">
        <f>Properties!D12*EGR!$G$3</f>
        <v>31.04</v>
      </c>
      <c r="X83" s="358">
        <f>'NOx Model (2)'!$H$3* ((6.6506859177*(10^-19)*(AF83^6)) -(7.8984343104*(10^-15)*(AF83^5))+(3.6879849877*(10^-11)*(AF83^4))-(8.6386228559*(10^-8)*(AF83^3))+(1.1074017861*(10^-4)*(AF83^2))-(3.1241611608*(10^-2)*(AF83))+(3.3006694533))</f>
        <v>34.389954357162381</v>
      </c>
      <c r="Y83" s="358">
        <f>Properties!J12*EGR!$J$3</f>
        <v>30.2058</v>
      </c>
      <c r="Z83" s="358">
        <f t="shared" si="8"/>
        <v>3.3497128125102611</v>
      </c>
      <c r="AA83" s="358">
        <f>Properties!P12*EGR!$L$3</f>
        <v>1.1362500000000009</v>
      </c>
      <c r="AB83" s="358">
        <f t="shared" si="9"/>
        <v>3.2966838029085079</v>
      </c>
      <c r="AC83" s="358">
        <f>Properties!V12*EGR!$N$3</f>
        <v>139.59</v>
      </c>
      <c r="AD83" s="358">
        <f t="shared" si="10"/>
        <v>45.491986360973058</v>
      </c>
      <c r="AE83" s="358">
        <f t="shared" si="11"/>
        <v>201.97205000000002</v>
      </c>
      <c r="AF83" s="359">
        <v>400</v>
      </c>
    </row>
    <row r="84" spans="1:32" x14ac:dyDescent="0.25">
      <c r="A84" s="201"/>
      <c r="V84" s="358">
        <f>'NOx Model (2)'!$F$3*(8.5770134353*(10^-19)*(AF84^6))-(1.0374875556*(10^-14)*(AF84^5))+(4.9689475953*(10^-11)*(AF84^4))-(1.2019118054*(10^-7)*(AF84^3))+(1.5650954893*(10^-4)*(AF84^2))-(4.8239362033*(10^-2)*(AF84))+(5.2084519626)</f>
        <v>6.1440422547082374</v>
      </c>
      <c r="W84" s="358">
        <f>Properties!D13*EGR!$G$3</f>
        <v>47.413600000000002</v>
      </c>
      <c r="X84" s="358">
        <f>'NOx Model (2)'!$H$3* ((6.6506859177*(10^-19)*(AF84^6)) -(7.8984343104*(10^-15)*(AF84^5))+(3.6879849877*(10^-11)*(AF84^4))-(8.6386228559*(10^-8)*(AF84^3))+(1.1074017861*(10^-4)*(AF84^2))-(3.1241611608*(10^-2)*(AF84))+(3.3006694533))</f>
        <v>46.037648448275995</v>
      </c>
      <c r="Y84" s="358">
        <f>Properties!J13*EGR!$J$3</f>
        <v>45.308700000000009</v>
      </c>
      <c r="Z84" s="358">
        <f t="shared" si="8"/>
        <v>4.5107113909910543</v>
      </c>
      <c r="AA84" s="358">
        <f>Properties!P13*EGR!$L$3</f>
        <v>1.7062500000000014</v>
      </c>
      <c r="AB84" s="358">
        <f t="shared" si="9"/>
        <v>4.3977834839845453</v>
      </c>
      <c r="AC84" s="358">
        <f>Properties!V13*EGR!$N$3</f>
        <v>208.68</v>
      </c>
      <c r="AD84" s="358">
        <f t="shared" si="10"/>
        <v>61.090185577959836</v>
      </c>
      <c r="AE84" s="358">
        <f t="shared" si="11"/>
        <v>303.10855000000004</v>
      </c>
      <c r="AF84" s="359">
        <v>450</v>
      </c>
    </row>
    <row r="85" spans="1:32" x14ac:dyDescent="0.25">
      <c r="V85" s="358">
        <f>'NOx Model (2)'!$F$3*(8.5770134353*(10^-19)*(AF85^6))-(1.0374875556*(10^-14)*(AF85^5))+(4.9689475953*(10^-11)*(AF85^4))-(1.2019118054*(10^-7)*(AF85^3))+(1.5650954893*(10^-4)*(AF85^2))-(4.8239362033*(10^-2)*(AF85))+(5.2084519626)</f>
        <v>8.0797785382993386</v>
      </c>
      <c r="W85" s="358">
        <f>Properties!D14*EGR!$G$3</f>
        <v>64.408000000000001</v>
      </c>
      <c r="X85" s="358">
        <f>'NOx Model (2)'!$H$3* ((6.6506859177*(10^-19)*(AF85^6)) -(7.8984343104*(10^-15)*(AF85^5))+(3.6879849877*(10^-11)*(AF85^4))-(8.6386228559*(10^-8)*(AF85^3))+(1.1074017861*(10^-4)*(AF85^2))-(3.1241611608*(10^-2)*(AF85))+(3.3006694533))</f>
        <v>59.119507026414624</v>
      </c>
      <c r="Y85" s="358">
        <f>Properties!J14*EGR!$J$3</f>
        <v>60.673500000000004</v>
      </c>
      <c r="Z85" s="358">
        <f t="shared" si="8"/>
        <v>5.8190718336326563</v>
      </c>
      <c r="AA85" s="358">
        <f>Properties!P14*EGR!$L$3</f>
        <v>2.2875000000000019</v>
      </c>
      <c r="AB85" s="358">
        <f t="shared" si="9"/>
        <v>5.6322255244829673</v>
      </c>
      <c r="AC85" s="358">
        <f>Properties!V14*EGR!$N$3</f>
        <v>278.24</v>
      </c>
      <c r="AD85" s="358">
        <f t="shared" si="10"/>
        <v>78.650582922829585</v>
      </c>
      <c r="AE85" s="358">
        <f t="shared" si="11"/>
        <v>405.60900000000004</v>
      </c>
      <c r="AF85" s="359">
        <v>500</v>
      </c>
    </row>
    <row r="86" spans="1:32" x14ac:dyDescent="0.25">
      <c r="V86" s="358">
        <f>'NOx Model (2)'!$F$3*(8.5770134353*(10^-19)*(AF86^6))-(1.0374875556*(10^-14)*(AF86^5))+(4.9689475953*(10^-11)*(AF86^4))-(1.2019118054*(10^-7)*(AF86^3))+(1.5650954893*(10^-4)*(AF86^2))-(4.8239362033*(10^-2)*(AF86))+(5.2084519626)</f>
        <v>10.236914509784642</v>
      </c>
      <c r="W86" s="358">
        <f>Properties!D15*EGR!$G$3</f>
        <v>81.945599999999999</v>
      </c>
      <c r="X86" s="358">
        <f>'NOx Model (2)'!$H$3* ((6.6506859177*(10^-19)*(AF86^6)) -(7.8984343104*(10^-15)*(AF86^5))+(3.6879849877*(10^-11)*(AF86^4))-(8.6386228559*(10^-8)*(AF86^3))+(1.1074017861*(10^-4)*(AF86^2))-(3.1241611608*(10^-2)*(AF86))+(3.3006694533))</f>
        <v>73.416695979157623</v>
      </c>
      <c r="Y86" s="358">
        <f>Properties!J15*EGR!$J$3</f>
        <v>76.212900000000005</v>
      </c>
      <c r="Z86" s="358">
        <f t="shared" si="8"/>
        <v>7.2494825621545518</v>
      </c>
      <c r="AA86" s="358">
        <f>Properties!P15*EGR!$L$3</f>
        <v>2.8725000000000027</v>
      </c>
      <c r="AB86" s="358">
        <f t="shared" si="9"/>
        <v>6.9774206320545442</v>
      </c>
      <c r="AC86" s="358">
        <f>Properties!V15*EGR!$N$3</f>
        <v>348.27</v>
      </c>
      <c r="AD86" s="358">
        <f t="shared" si="10"/>
        <v>97.880513683151364</v>
      </c>
      <c r="AE86" s="358">
        <f t="shared" si="11"/>
        <v>509.30099999999999</v>
      </c>
      <c r="AF86" s="359">
        <v>550</v>
      </c>
    </row>
    <row r="87" spans="1:32" x14ac:dyDescent="0.25">
      <c r="V87" s="358">
        <f>'NOx Model (2)'!$F$3*(8.5770134353*(10^-19)*(AF87^6))-(1.0374875556*(10^-14)*(AF87^5))+(4.9689475953*(10^-11)*(AF87^4))-(1.2019118054*(10^-7)*(AF87^3))+(1.5650954893*(10^-4)*(AF87^2))-(4.8239362033*(10^-2)*(AF87))+(5.2084519626)</f>
        <v>12.596917079193426</v>
      </c>
      <c r="W87" s="358">
        <f>Properties!D16*EGR!$G$3</f>
        <v>100.104</v>
      </c>
      <c r="X87" s="358">
        <f>'NOx Model (2)'!$H$3* ((6.6506859177*(10^-19)*(AF87^6)) -(7.8984343104*(10^-15)*(AF87^5))+(3.6879849877*(10^-11)*(AF87^4))-(8.6386228559*(10^-8)*(AF87^3))+(1.1074017861*(10^-4)*(AF87^2))-(3.1241611608*(10^-2)*(AF87))+(3.3006694533))</f>
        <v>88.736624821256058</v>
      </c>
      <c r="Y87" s="358">
        <f>Properties!J16*EGR!$J$3</f>
        <v>91.926900000000003</v>
      </c>
      <c r="Z87" s="358">
        <f t="shared" si="8"/>
        <v>8.7796332494702831</v>
      </c>
      <c r="AA87" s="358">
        <f>Properties!P16*EGR!$L$3</f>
        <v>3.4687500000000031</v>
      </c>
      <c r="AB87" s="358">
        <f t="shared" si="9"/>
        <v>8.4134704789947587</v>
      </c>
      <c r="AC87" s="358">
        <f>Properties!V16*EGR!$N$3</f>
        <v>418.3</v>
      </c>
      <c r="AD87" s="358">
        <f t="shared" si="10"/>
        <v>118.52664562891452</v>
      </c>
      <c r="AE87" s="358">
        <f t="shared" si="11"/>
        <v>613.79965000000004</v>
      </c>
      <c r="AF87" s="359">
        <v>600</v>
      </c>
    </row>
    <row r="88" spans="1:32" x14ac:dyDescent="0.25">
      <c r="V88" s="358">
        <f>'NOx Model (2)'!$F$3*(8.5770134353*(10^-19)*(AF88^6))-(1.0374875556*(10^-14)*(AF88^5))+(4.9689475953*(10^-11)*(AF88^4))-(1.2019118054*(10^-7)*(AF88^3))+(1.5650954893*(10^-4)*(AF88^2))-(4.8239362033*(10^-2)*(AF88))+(5.2084519626)</f>
        <v>15.149063160623369</v>
      </c>
      <c r="W88" s="358">
        <f>Properties!D17*EGR!$G$3</f>
        <v>118.65039999999999</v>
      </c>
      <c r="X88" s="358">
        <f>'NOx Model (2)'!$H$3* ((6.6506859177*(10^-19)*(AF88^6)) -(7.8984343104*(10^-15)*(AF88^5))+(3.6879849877*(10^-11)*(AF88^4))-(8.6386228559*(10^-8)*(AF88^3))+(1.1074017861*(10^-4)*(AF88^2))-(3.1241611608*(10^-2)*(AF88))+(3.3006694533))</f>
        <v>104.91100761080438</v>
      </c>
      <c r="Y88" s="358">
        <f>Properties!J17*EGR!$J$3</f>
        <v>107.8155</v>
      </c>
      <c r="Z88" s="358">
        <f t="shared" si="8"/>
        <v>10.389998209687537</v>
      </c>
      <c r="AA88" s="358">
        <f>Properties!P17*EGR!$L$3</f>
        <v>4.0762500000000035</v>
      </c>
      <c r="AB88" s="358">
        <f t="shared" si="9"/>
        <v>9.9229715132097009</v>
      </c>
      <c r="AC88" s="358">
        <f>Properties!V17*EGR!$N$3</f>
        <v>489.74</v>
      </c>
      <c r="AD88" s="358">
        <f t="shared" si="10"/>
        <v>140.37304049432498</v>
      </c>
      <c r="AE88" s="358">
        <f t="shared" si="11"/>
        <v>720.28215</v>
      </c>
      <c r="AF88" s="359">
        <v>650</v>
      </c>
    </row>
    <row r="89" spans="1:32" x14ac:dyDescent="0.25">
      <c r="V89" s="358">
        <f>'NOx Model (2)'!$F$3*(8.5770134353*(10^-19)*(AF89^6))-(1.0374875556*(10^-14)*(AF89^5))+(4.9689475953*(10^-11)*(AF89^4))-(1.2019118054*(10^-7)*(AF89^3))+(1.5650954893*(10^-4)*(AF89^2))-(4.8239362033*(10^-2)*(AF89))+(5.2084519626)</f>
        <v>17.89092945808887</v>
      </c>
      <c r="W89" s="358">
        <f>Properties!D18*EGR!$G$3</f>
        <v>137.74</v>
      </c>
      <c r="X89" s="358">
        <f>'NOx Model (2)'!$H$3* ((6.6506859177*(10^-19)*(AF89^6)) -(7.8984343104*(10^-15)*(AF89^5))+(3.6879849877*(10^-11)*(AF89^4))-(8.6386228559*(10^-8)*(AF89^3))+(1.1074017861*(10^-4)*(AF89^2))-(3.1241611608*(10^-2)*(AF89))+(3.3006694533))</f>
        <v>121.79399053022624</v>
      </c>
      <c r="Y89" s="358">
        <f>Properties!J18*EGR!$J$3</f>
        <v>124.05330000000001</v>
      </c>
      <c r="Z89" s="358">
        <f t="shared" si="8"/>
        <v>12.063627095915948</v>
      </c>
      <c r="AA89" s="358">
        <f>Properties!P18*EGR!$L$3</f>
        <v>4.6875000000000044</v>
      </c>
      <c r="AB89" s="358">
        <f t="shared" si="9"/>
        <v>11.490825449051888</v>
      </c>
      <c r="AC89" s="358">
        <f>Properties!V18*EGR!$N$3</f>
        <v>561.17999999999995</v>
      </c>
      <c r="AD89" s="358">
        <f t="shared" si="10"/>
        <v>163.23937253328296</v>
      </c>
      <c r="AE89" s="358">
        <f t="shared" si="11"/>
        <v>827.66079999999999</v>
      </c>
      <c r="AF89" s="359">
        <v>700</v>
      </c>
    </row>
    <row r="90" spans="1:32" x14ac:dyDescent="0.25">
      <c r="V90" s="358">
        <f>'NOx Model (2)'!$F$3*(8.5770134353*(10^-19)*(AF90^6))-(1.0374875556*(10^-14)*(AF90^5))+(4.9689475953*(10^-11)*(AF90^4))-(1.2019118054*(10^-7)*(AF90^3))+(1.5650954893*(10^-4)*(AF90^2))-(4.8239362033*(10^-2)*(AF90))+(5.2084519626)</f>
        <v>20.828958672559054</v>
      </c>
      <c r="W90" s="358">
        <f>Properties!D19*EGR!$G$3</f>
        <v>157.13999999999999</v>
      </c>
      <c r="X90" s="358">
        <f>'NOx Model (2)'!$H$3* ((6.6506859177*(10^-19)*(AF90^6)) -(7.8984343104*(10^-15)*(AF90^5))+(3.6879849877*(10^-11)*(AF90^4))-(8.6386228559*(10^-8)*(AF90^3))+(1.1074017861*(10^-4)*(AF90^2))-(3.1241611608*(10^-2)*(AF90))+(3.3006694533))</f>
        <v>139.2603461320721</v>
      </c>
      <c r="Y90" s="358">
        <f>Properties!J19*EGR!$J$3</f>
        <v>140.4657</v>
      </c>
      <c r="Z90" s="358">
        <f t="shared" si="8"/>
        <v>13.78594290588277</v>
      </c>
      <c r="AA90" s="358">
        <f>Properties!P19*EGR!$L$3</f>
        <v>5.3100000000000049</v>
      </c>
      <c r="AB90" s="358">
        <f t="shared" si="9"/>
        <v>13.104056438026069</v>
      </c>
      <c r="AC90" s="358">
        <f>Properties!V19*EGR!$N$3</f>
        <v>633.56000000000006</v>
      </c>
      <c r="AD90" s="358">
        <f t="shared" si="10"/>
        <v>186.97930414854</v>
      </c>
      <c r="AE90" s="358">
        <f t="shared" si="11"/>
        <v>936.47569999999996</v>
      </c>
      <c r="AF90" s="359">
        <v>750</v>
      </c>
    </row>
    <row r="91" spans="1:32" x14ac:dyDescent="0.25">
      <c r="V91" s="358">
        <f>'NOx Model (2)'!$F$3*(8.5770134353*(10^-19)*(AF91^6))-(1.0374875556*(10^-14)*(AF91^5))+(4.9689475953*(10^-11)*(AF91^4))-(1.2019118054*(10^-7)*(AF91^3))+(1.5650954893*(10^-4)*(AF91^2))-(4.8239362033*(10^-2)*(AF91))+(5.2084519626)</f>
        <v>23.979102130185488</v>
      </c>
      <c r="W91" s="358">
        <f>Properties!D20*EGR!$G$3</f>
        <v>177.00559999999999</v>
      </c>
      <c r="X91" s="358">
        <f>'NOx Model (2)'!$H$3* ((6.6506859177*(10^-19)*(AF91^6)) -(7.8984343104*(10^-15)*(AF91^5))+(3.6879849877*(10^-11)*(AF91^4))-(8.6386228559*(10^-8)*(AF91^3))+(1.1074017861*(10^-4)*(AF91^2))-(3.1241611608*(10^-2)*(AF91))+(3.3006694533))</f>
        <v>157.2037342496306</v>
      </c>
      <c r="Y91" s="358">
        <f>Properties!J20*EGR!$J$3</f>
        <v>157.14000000000001</v>
      </c>
      <c r="Z91" s="358">
        <f t="shared" si="8"/>
        <v>15.544547295356313</v>
      </c>
      <c r="AA91" s="358">
        <f>Properties!P20*EGR!$L$3</f>
        <v>5.9400000000000048</v>
      </c>
      <c r="AB91" s="358">
        <f t="shared" si="9"/>
        <v>14.751634919364873</v>
      </c>
      <c r="AC91" s="358">
        <f>Properties!V20*EGR!$N$3</f>
        <v>706.88</v>
      </c>
      <c r="AD91" s="358">
        <f t="shared" si="10"/>
        <v>211.47901859453728</v>
      </c>
      <c r="AE91" s="358">
        <f t="shared" si="11"/>
        <v>1046.9656</v>
      </c>
      <c r="AF91" s="359">
        <v>800</v>
      </c>
    </row>
    <row r="92" spans="1:32" x14ac:dyDescent="0.25">
      <c r="V92" s="358">
        <f>'NOx Model (2)'!$F$3*(8.5770134353*(10^-19)*(AF92^6))-(1.0374875556*(10^-14)*(AF92^5))+(4.9689475953*(10^-11)*(AF92^4))-(1.2019118054*(10^-7)*(AF92^3))+(1.5650954893*(10^-4)*(AF92^2))-(4.8239362033*(10^-2)*(AF92))+(5.2084519626)</f>
        <v>27.367538831719571</v>
      </c>
      <c r="W92" s="358">
        <f>Properties!D21*EGR!$G$3</f>
        <v>197.1816</v>
      </c>
      <c r="X92" s="358">
        <f>'NOx Model (2)'!$H$3* ((6.6506859177*(10^-19)*(AF92^6)) -(7.8984343104*(10^-15)*(AF92^5))+(3.6879849877*(10^-11)*(AF92^4))-(8.6386228559*(10^-8)*(AF92^3))+(1.1074017861*(10^-4)*(AF92^2))-(3.1241611608*(10^-2)*(AF92))+(3.3006694533))</f>
        <v>175.53502957235273</v>
      </c>
      <c r="Y92" s="358">
        <f>Properties!J21*EGR!$J$3</f>
        <v>174.1635</v>
      </c>
      <c r="Z92" s="358">
        <f t="shared" si="8"/>
        <v>17.32903319937726</v>
      </c>
      <c r="AA92" s="358">
        <f>Properties!P21*EGR!$L$3</f>
        <v>6.5737500000000066</v>
      </c>
      <c r="AB92" s="358">
        <f t="shared" si="9"/>
        <v>16.424308150474481</v>
      </c>
      <c r="AC92" s="358">
        <f>Properties!V21*EGR!$N$3</f>
        <v>781.1400000000001</v>
      </c>
      <c r="AD92" s="358">
        <f t="shared" si="10"/>
        <v>236.65590975392402</v>
      </c>
      <c r="AE92" s="358">
        <f t="shared" si="11"/>
        <v>1159.0588500000001</v>
      </c>
      <c r="AF92" s="359">
        <v>850</v>
      </c>
    </row>
    <row r="93" spans="1:32" x14ac:dyDescent="0.25">
      <c r="V93" s="358">
        <f>'NOx Model (2)'!$F$3*(8.5770134353*(10^-19)*(AF93^6))-(1.0374875556*(10^-14)*(AF93^5))+(4.9689475953*(10^-11)*(AF93^4))-(1.2019118054*(10^-7)*(AF93^3))+(1.5650954893*(10^-4)*(AF93^2))-(4.8239362033*(10^-2)*(AF93))+(5.2084519626)</f>
        <v>31.031470923119734</v>
      </c>
      <c r="W93" s="358">
        <f>Properties!D22*EGR!$G$3</f>
        <v>217.66800000000001</v>
      </c>
      <c r="X93" s="358">
        <f>'NOx Model (2)'!$H$3* ((6.6506859177*(10^-19)*(AF93^6)) -(7.8984343104*(10^-15)*(AF93^5))+(3.6879849877*(10^-11)*(AF93^4))-(8.6386228559*(10^-8)*(AF93^3))+(1.1074017861*(10^-4)*(AF93^2))-(3.1241611608*(10^-2)*(AF93))+(3.3006694533))</f>
        <v>194.18071588608831</v>
      </c>
      <c r="Y93" s="358">
        <f>Properties!J22*EGR!$J$3</f>
        <v>191.44890000000001</v>
      </c>
      <c r="Z93" s="358">
        <f t="shared" si="8"/>
        <v>19.130804761297554</v>
      </c>
      <c r="AA93" s="358">
        <f>Properties!P22*EGR!$L$3</f>
        <v>7.2187500000000062</v>
      </c>
      <c r="AB93" s="358">
        <f t="shared" si="9"/>
        <v>18.114437417250222</v>
      </c>
      <c r="AC93" s="358">
        <f>Properties!V22*EGR!$N$3</f>
        <v>856.33999999999992</v>
      </c>
      <c r="AD93" s="358">
        <f t="shared" si="10"/>
        <v>262.4574289877558</v>
      </c>
      <c r="AE93" s="358">
        <f t="shared" si="11"/>
        <v>1272.6756499999999</v>
      </c>
      <c r="AF93" s="359">
        <v>900</v>
      </c>
    </row>
    <row r="94" spans="1:32" x14ac:dyDescent="0.25">
      <c r="V94" s="358">
        <f>'NOx Model (2)'!$F$3*(8.5770134353*(10^-19)*(AF94^6))-(1.0374875556*(10^-14)*(AF94^5))+(4.9689475953*(10^-11)*(AF94^4))-(1.2019118054*(10^-7)*(AF94^3))+(1.5650954893*(10^-4)*(AF94^2))-(4.8239362033*(10^-2)*(AF94))+(5.2084519626)</f>
        <v>35.019995587348198</v>
      </c>
      <c r="W94" s="358">
        <f>Properties!D23*EGR!$G$3</f>
        <v>238.38719999999998</v>
      </c>
      <c r="X94" s="358">
        <f>'NOx Model (2)'!$H$3* ((6.6506859177*(10^-19)*(AF94^6)) -(7.8984343104*(10^-15)*(AF94^5))+(3.6879849877*(10^-11)*(AF94^4))-(8.6386228559*(10^-8)*(AF94^3))+(1.1074017861*(10^-4)*(AF94^2))-(3.1241611608*(10^-2)*(AF94))+(3.3006694533))</f>
        <v>213.08134697813688</v>
      </c>
      <c r="Y94" s="358">
        <f>Properties!J23*EGR!$J$3</f>
        <v>208.99620000000002</v>
      </c>
      <c r="Z94" s="358">
        <f t="shared" si="8"/>
        <v>20.942904569627466</v>
      </c>
      <c r="AA94" s="358">
        <f>Properties!P23*EGR!$L$3</f>
        <v>7.8675000000000068</v>
      </c>
      <c r="AB94" s="358">
        <f t="shared" si="9"/>
        <v>19.815841924262031</v>
      </c>
      <c r="AC94" s="358">
        <f>Properties!V23*EGR!$N$3</f>
        <v>932.48</v>
      </c>
      <c r="AD94" s="358">
        <f t="shared" si="10"/>
        <v>288.86008905937456</v>
      </c>
      <c r="AE94" s="358">
        <f t="shared" si="11"/>
        <v>1387.7309</v>
      </c>
      <c r="AF94" s="359">
        <v>950</v>
      </c>
    </row>
    <row r="95" spans="1:32" x14ac:dyDescent="0.25">
      <c r="V95" s="358">
        <f>'NOx Model (2)'!$F$3*(8.5770134353*(10^-19)*(AF95^6))-(1.0374875556*(10^-14)*(AF95^5))+(4.9689475953*(10^-11)*(AF95^4))-(1.2019118054*(10^-7)*(AF95^3))+(1.5650954893*(10^-4)*(AF95^2))-(4.8239362033*(10^-2)*(AF95))+(5.2084519626)</f>
        <v>39.395053357357611</v>
      </c>
      <c r="W95" s="358">
        <f>Properties!D24*EGR!$G$3</f>
        <v>259.33920000000001</v>
      </c>
      <c r="X95" s="358">
        <f>'NOx Model (2)'!$H$3* ((6.6506859177*(10^-19)*(AF95^6)) -(7.8984343104*(10^-15)*(AF95^5))+(3.6879849877*(10^-11)*(AF95^4))-(8.6386228559*(10^-8)*(AF95^3))+(1.1074017861*(10^-4)*(AF95^2))-(3.1241611608*(10^-2)*(AF95))+(3.3006694533))</f>
        <v>232.19007420710983</v>
      </c>
      <c r="Y95" s="358">
        <f>Properties!J24*EGR!$J$3</f>
        <v>226.89269999999999</v>
      </c>
      <c r="Z95" s="358">
        <f t="shared" si="8"/>
        <v>22.759848202689998</v>
      </c>
      <c r="AA95" s="358">
        <f>Properties!P24*EGR!$L$3</f>
        <v>8.5200000000000067</v>
      </c>
      <c r="AB95" s="358">
        <f t="shared" si="9"/>
        <v>21.523649364809998</v>
      </c>
      <c r="AC95" s="358">
        <f>Properties!V24*EGR!$N$3</f>
        <v>1009.0899999999999</v>
      </c>
      <c r="AD95" s="358">
        <f t="shared" si="10"/>
        <v>315.86862513196746</v>
      </c>
      <c r="AE95" s="358">
        <f t="shared" si="11"/>
        <v>1503.8418999999999</v>
      </c>
      <c r="AF95" s="360">
        <v>1000</v>
      </c>
    </row>
    <row r="96" spans="1:32" x14ac:dyDescent="0.25">
      <c r="V96" s="358">
        <f>'NOx Model (2)'!$F$3*(8.5770134353*(10^-19)*(AF96^6))-(1.0374875556*(10^-14)*(AF96^5))+(4.9689475953*(10^-11)*(AF96^4))-(1.2019118054*(10^-7)*(AF96^3))+(1.5650954893*(10^-4)*(AF96^2))-(4.8239362033*(10^-2)*(AF96))+(5.2084519626)</f>
        <v>44.232452850267236</v>
      </c>
      <c r="W96" s="358">
        <f>Properties!D25*EGR!$G$3</f>
        <v>280.524</v>
      </c>
      <c r="X96" s="358">
        <f>'NOx Model (2)'!$H$3* ((6.6506859177*(10^-19)*(AF96^6)) -(7.8984343104*(10^-15)*(AF96^5))+(3.6879849877*(10^-11)*(AF96^4))-(8.6386228559*(10^-8)*(AF96^3))+(1.1074017861*(10^-4)*(AF96^2))-(3.1241611608*(10^-2)*(AF96))+(3.3006694533))</f>
        <v>251.47124073760671</v>
      </c>
      <c r="Y96" s="358">
        <f>Properties!J25*EGR!$J$3</f>
        <v>245.05110000000002</v>
      </c>
      <c r="Z96" s="358">
        <f t="shared" si="8"/>
        <v>24.577466081083561</v>
      </c>
      <c r="AA96" s="358">
        <f>Properties!P25*EGR!$L$3</f>
        <v>9.1762500000000085</v>
      </c>
      <c r="AB96" s="358">
        <f t="shared" si="9"/>
        <v>23.234153170849673</v>
      </c>
      <c r="AC96" s="358">
        <f>Properties!V25*EGR!$N$3</f>
        <v>1086.17</v>
      </c>
      <c r="AD96" s="358">
        <f t="shared" si="10"/>
        <v>343.51531283980717</v>
      </c>
      <c r="AE96" s="358">
        <f t="shared" si="11"/>
        <v>1620.9213500000001</v>
      </c>
      <c r="AF96" s="360">
        <v>1050</v>
      </c>
    </row>
    <row r="97" spans="22:32" x14ac:dyDescent="0.25">
      <c r="V97" s="358">
        <f>'NOx Model (2)'!$F$3*(8.5770134353*(10^-19)*(AF97^6))-(1.0374875556*(10^-14)*(AF97^5))+(4.9689475953*(10^-11)*(AF97^4))-(1.2019118054*(10^-7)*(AF97^3))+(1.5650954893*(10^-4)*(AF97^2))-(4.8239362033*(10^-2)*(AF97))+(5.2084519626)</f>
        <v>49.622971922728901</v>
      </c>
      <c r="W97" s="358">
        <f>Properties!D26*EGR!$G$3</f>
        <v>301.94159999999994</v>
      </c>
      <c r="X97" s="358">
        <f>'NOx Model (2)'!$H$3* ((6.6506859177*(10^-19)*(AF97^6)) -(7.8984343104*(10^-15)*(AF97^5))+(3.6879849877*(10^-11)*(AF97^4))-(8.6386228559*(10^-8)*(AF97^3))+(1.1074017861*(10^-4)*(AF97^2))-(3.1241611608*(10^-2)*(AF97))+(3.3006694533))</f>
        <v>270.89904243970398</v>
      </c>
      <c r="Y97" s="358">
        <f>Properties!J26*EGR!$J$3</f>
        <v>263.55870000000004</v>
      </c>
      <c r="Z97" s="358">
        <f t="shared" si="8"/>
        <v>26.392752627952046</v>
      </c>
      <c r="AA97" s="358">
        <f>Properties!P26*EGR!$L$3</f>
        <v>9.8362500000000086</v>
      </c>
      <c r="AB97" s="358">
        <f t="shared" si="9"/>
        <v>24.94467644278744</v>
      </c>
      <c r="AC97" s="358">
        <f>Properties!V26*EGR!$N$3</f>
        <v>1164.19</v>
      </c>
      <c r="AD97" s="358">
        <f t="shared" si="10"/>
        <v>371.85944343317237</v>
      </c>
      <c r="AE97" s="358">
        <f t="shared" si="11"/>
        <v>1739.52655</v>
      </c>
      <c r="AF97" s="360">
        <v>1100</v>
      </c>
    </row>
    <row r="98" spans="22:32" x14ac:dyDescent="0.25">
      <c r="V98" s="358">
        <f>'NOx Model (2)'!$F$3*(8.5770134353*(10^-19)*(AF98^6))-(1.0374875556*(10^-14)*(AF98^5))+(4.9689475953*(10^-11)*(AF98^4))-(1.2019118054*(10^-7)*(AF98^3))+(1.5650954893*(10^-4)*(AF98^2))-(4.8239362033*(10^-2)*(AF98))+(5.2084519626)</f>
        <v>55.673535247482874</v>
      </c>
      <c r="W98" s="358">
        <f>Properties!D27*EGR!$G$3</f>
        <v>323.51439999999997</v>
      </c>
      <c r="X98" s="358">
        <f>'NOx Model (2)'!$H$3* ((6.6506859177*(10^-19)*(AF98^6)) -(7.8984343104*(10^-15)*(AF98^5))+(3.6879849877*(10^-11)*(AF98^4))-(8.6386228559*(10^-8)*(AF98^3))+(1.1074017861*(10^-4)*(AF98^2))-(3.1241611608*(10^-2)*(AF98))+(3.3006694533))</f>
        <v>290.45625545325765</v>
      </c>
      <c r="Y98" s="358">
        <f>Properties!J27*EGR!$J$3</f>
        <v>282.32820000000004</v>
      </c>
      <c r="Z98" s="358">
        <f t="shared" si="8"/>
        <v>28.203722737062964</v>
      </c>
      <c r="AA98" s="358">
        <f>Properties!P27*EGR!$L$3</f>
        <v>10.500000000000009</v>
      </c>
      <c r="AB98" s="358">
        <f t="shared" si="9"/>
        <v>26.653442559145809</v>
      </c>
      <c r="AC98" s="358">
        <f>Properties!V27*EGR!$N$3</f>
        <v>1242.68</v>
      </c>
      <c r="AD98" s="358">
        <f t="shared" si="10"/>
        <v>400.98695599694923</v>
      </c>
      <c r="AE98" s="358">
        <f t="shared" si="11"/>
        <v>1859.0226</v>
      </c>
      <c r="AF98" s="360">
        <v>1150</v>
      </c>
    </row>
    <row r="99" spans="22:32" x14ac:dyDescent="0.25">
      <c r="V99" s="358">
        <f>'NOx Model (2)'!$F$3*(8.5770134353*(10^-19)*(AF99^6))-(1.0374875556*(10^-14)*(AF99^5))+(4.9689475953*(10^-11)*(AF99^4))-(1.2019118054*(10^-7)*(AF99^3))+(1.5650954893*(10^-4)*(AF99^2))-(4.8239362033*(10^-2)*(AF99))+(5.2084519626)</f>
        <v>62.508468311102831</v>
      </c>
      <c r="W99" s="358">
        <f>Properties!D28*EGR!$G$3</f>
        <v>345.24240000000003</v>
      </c>
      <c r="X99" s="358">
        <f>'NOx Model (2)'!$H$3* ((6.6506859177*(10^-19)*(AF99^6)) -(7.8984343104*(10^-15)*(AF99^5))+(3.6879849877*(10^-11)*(AF99^4))-(8.6386228559*(10^-8)*(AF99^3))+(1.1074017861*(10^-4)*(AF99^2))-(3.1241611608*(10^-2)*(AF99))+(3.3006694533))</f>
        <v>310.13303041701681</v>
      </c>
      <c r="Y99" s="358">
        <f>Properties!J28*EGR!$J$3</f>
        <v>301.35960000000006</v>
      </c>
      <c r="Z99" s="358">
        <f t="shared" si="8"/>
        <v>30.009275548693171</v>
      </c>
      <c r="AA99" s="358">
        <f>Properties!P28*EGR!$L$3</f>
        <v>11.163750000000009</v>
      </c>
      <c r="AB99" s="358">
        <f t="shared" si="9"/>
        <v>28.359452466098546</v>
      </c>
      <c r="AC99" s="358">
        <f>Properties!V28*EGR!$N$3</f>
        <v>1321.64</v>
      </c>
      <c r="AD99" s="358">
        <f t="shared" si="10"/>
        <v>431.01022674291136</v>
      </c>
      <c r="AE99" s="358">
        <f t="shared" si="11"/>
        <v>1979.4057500000004</v>
      </c>
      <c r="AF99" s="360">
        <v>1200</v>
      </c>
    </row>
    <row r="100" spans="22:32" x14ac:dyDescent="0.25">
      <c r="V100" s="358">
        <f>'NOx Model (2)'!$F$3*(8.5770134353*(10^-19)*(AF100^6))-(1.0374875556*(10^-14)*(AF100^5))+(4.9689475953*(10^-11)*(AF100^4))-(1.2019118054*(10^-7)*(AF100^3))+(1.5650954893*(10^-4)*(AF100^2))-(4.8239362033*(10^-2)*(AF100))+(5.2084519626)</f>
        <v>70.270827832931431</v>
      </c>
      <c r="W100" s="358">
        <f>Properties!D29*EGR!$G$3</f>
        <v>367.12560000000002</v>
      </c>
      <c r="X100" s="358">
        <f>'NOx Model (2)'!$H$3* ((6.6506859177*(10^-19)*(AF100^6)) -(7.8984343104*(10^-15)*(AF100^5))+(3.6879849877*(10^-11)*(AF100^4))-(8.6386228559*(10^-8)*(AF100^3))+(1.1074017861*(10^-4)*(AF100^2))-(3.1241611608*(10^-2)*(AF100))+(3.3006694533))</f>
        <v>329.92575336255237</v>
      </c>
      <c r="Y100" s="358">
        <f>Properties!J29*EGR!$J$3</f>
        <v>320.56560000000002</v>
      </c>
      <c r="Z100" s="358">
        <f t="shared" si="8"/>
        <v>31.809065533322748</v>
      </c>
      <c r="AA100" s="358">
        <f>Properties!P29*EGR!$L$3</f>
        <v>11.83500000000001</v>
      </c>
      <c r="AB100" s="358">
        <f t="shared" si="9"/>
        <v>30.062368646875903</v>
      </c>
      <c r="AC100" s="358">
        <f>Properties!V29*EGR!$N$3</f>
        <v>1401.07</v>
      </c>
      <c r="AD100" s="358">
        <f t="shared" si="10"/>
        <v>462.06801537568242</v>
      </c>
      <c r="AE100" s="358">
        <f t="shared" si="11"/>
        <v>2100.5962</v>
      </c>
      <c r="AF100" s="360">
        <v>1250</v>
      </c>
    </row>
    <row r="101" spans="22:32" x14ac:dyDescent="0.25">
      <c r="V101" s="358">
        <f>'NOx Model (2)'!$F$3*(8.5770134353*(10^-19)*(AF101^6))-(1.0374875556*(10^-14)*(AF101^5))+(4.9689475953*(10^-11)*(AF101^4))-(1.2019118054*(10^-7)*(AF101^3))+(1.5650954893*(10^-4)*(AF101^2))-(4.8239362033*(10^-2)*(AF101))+(5.2084519626)</f>
        <v>79.123808605204772</v>
      </c>
      <c r="W101" s="358">
        <f>Properties!D30*EGR!$G$3</f>
        <v>389.16399999999999</v>
      </c>
      <c r="X101" s="358">
        <f>'NOx Model (2)'!$H$3* ((6.6506859177*(10^-19)*(AF101^6)) -(7.8984343104*(10^-15)*(AF101^5))+(3.6879849877*(10^-11)*(AF101^4))-(8.6386228559*(10^-8)*(AF101^3))+(1.1074017861*(10^-4)*(AF101^2))-(3.1241611608*(10^-2)*(AF101))+(3.3006694533))</f>
        <v>349.83597327299685</v>
      </c>
      <c r="Y101" s="358">
        <f>Properties!J30*EGR!$J$3</f>
        <v>340.12080000000003</v>
      </c>
      <c r="Z101" s="358">
        <f t="shared" si="8"/>
        <v>33.603380883136204</v>
      </c>
      <c r="AA101" s="358">
        <f>Properties!P30*EGR!$L$3</f>
        <v>12.506250000000012</v>
      </c>
      <c r="AB101" s="358">
        <f t="shared" si="9"/>
        <v>31.76240577103971</v>
      </c>
      <c r="AC101" s="358">
        <f>Properties!V30*EGR!$N$3</f>
        <v>1480.97</v>
      </c>
      <c r="AD101" s="358">
        <f t="shared" si="10"/>
        <v>494.32556853237753</v>
      </c>
      <c r="AE101" s="358">
        <f t="shared" si="11"/>
        <v>2222.7610500000001</v>
      </c>
      <c r="AF101" s="360">
        <v>1300</v>
      </c>
    </row>
    <row r="102" spans="22:32" x14ac:dyDescent="0.25">
      <c r="V102" s="358">
        <f>'NOx Model (2)'!$F$3*(8.5770134353*(10^-19)*(AF102^6))-(1.0374875556*(10^-14)*(AF102^5))+(4.9689475953*(10^-11)*(AF102^4))-(1.2019118054*(10^-7)*(AF102^3))+(1.5650954893*(10^-4)*(AF102^2))-(4.8239362033*(10^-2)*(AF102))+(5.2084519626)</f>
        <v>89.252226754367072</v>
      </c>
      <c r="W102" s="358">
        <f>Properties!D31*EGR!$G$3</f>
        <v>411.28</v>
      </c>
      <c r="X102" s="358">
        <f>'NOx Model (2)'!$H$3* ((6.6506859177*(10^-19)*(AF102^6)) -(7.8984343104*(10^-15)*(AF102^5))+(3.6879849877*(10^-11)*(AF102^4))-(8.6386228559*(10^-8)*(AF102^3))+(1.1074017861*(10^-4)*(AF102^2))-(3.1241611608*(10^-2)*(AF102))+(3.3006694533))</f>
        <v>369.86939630660021</v>
      </c>
      <c r="Y102" s="358">
        <f>Properties!J31*EGR!$J$3</f>
        <v>359.93790000000001</v>
      </c>
      <c r="Z102" s="358">
        <f t="shared" si="8"/>
        <v>35.393029211331765</v>
      </c>
      <c r="AA102" s="358">
        <f>Properties!P31*EGR!$L$3</f>
        <v>13.181250000000011</v>
      </c>
      <c r="AB102" s="358">
        <f t="shared" si="9"/>
        <v>33.460228023628254</v>
      </c>
      <c r="AC102" s="358">
        <f>Properties!V31*EGR!$N$3</f>
        <v>1561.34</v>
      </c>
      <c r="AD102" s="358">
        <f t="shared" si="10"/>
        <v>527.97488029592728</v>
      </c>
      <c r="AE102" s="358">
        <f t="shared" si="11"/>
        <v>2345.7391499999999</v>
      </c>
      <c r="AF102" s="360">
        <v>1350</v>
      </c>
    </row>
    <row r="103" spans="22:32" x14ac:dyDescent="0.25">
      <c r="V103" s="358">
        <f>'NOx Model (2)'!$F$3*(8.5770134353*(10^-19)*(AF103^6))-(1.0374875556*(10^-14)*(AF103^5))+(4.9689475953*(10^-11)*(AF103^4))-(1.2019118054*(10^-7)*(AF103^3))+(1.5650954893*(10^-4)*(AF103^2))-(4.8239362033*(10^-2)*(AF103))+(5.2084519626)</f>
        <v>100.86407942357475</v>
      </c>
      <c r="W103" s="358">
        <f>Properties!D32*EGR!$G$3</f>
        <v>433.62880000000001</v>
      </c>
      <c r="X103" s="358">
        <f>'NOx Model (2)'!$H$3* ((6.6506859177*(10^-19)*(AF103^6)) -(7.8984343104*(10^-15)*(AF103^5))+(3.6879849877*(10^-11)*(AF103^4))-(8.6386228559*(10^-8)*(AF103^3))+(1.1074017861*(10^-4)*(AF103^2))-(3.1241611608*(10^-2)*(AF103))+(3.3006694533))</f>
        <v>390.03494668509444</v>
      </c>
      <c r="Y103" s="358">
        <f>Properties!J32*EGR!$J$3</f>
        <v>379.92960000000005</v>
      </c>
      <c r="Z103" s="358">
        <f t="shared" si="8"/>
        <v>37.179230559238533</v>
      </c>
      <c r="AA103" s="358">
        <f>Properties!P32*EGR!$L$3</f>
        <v>13.856250000000014</v>
      </c>
      <c r="AB103" s="358">
        <f t="shared" si="9"/>
        <v>35.156853114171383</v>
      </c>
      <c r="AC103" s="358">
        <f>Properties!V32*EGR!$N$3</f>
        <v>1642.1799999999998</v>
      </c>
      <c r="AD103" s="358">
        <f t="shared" si="10"/>
        <v>563.23510978207901</v>
      </c>
      <c r="AE103" s="358">
        <f t="shared" si="11"/>
        <v>2469.59465</v>
      </c>
      <c r="AF103" s="360">
        <v>1400</v>
      </c>
    </row>
    <row r="104" spans="22:32" x14ac:dyDescent="0.25">
      <c r="V104" s="358">
        <f>'NOx Model (2)'!$F$3*(8.5770134353*(10^-19)*(AF104^6))-(1.0374875556*(10^-14)*(AF104^5))+(4.9689475953*(10^-11)*(AF104^4))-(1.2019118054*(10^-7)*(AF104^3))+(1.5650954893*(10^-4)*(AF104^2))-(4.8239362033*(10^-2)*(AF104))+(5.2084519626)</f>
        <v>114.19218087639064</v>
      </c>
      <c r="W104" s="358">
        <f>Properties!D33*EGR!$G$3</f>
        <v>456.05520000000001</v>
      </c>
      <c r="X104" s="358">
        <f>'NOx Model (2)'!$H$3* ((6.6506859177*(10^-19)*(AF104^6)) -(7.8984343104*(10^-15)*(AF104^5))+(3.6879849877*(10^-11)*(AF104^4))-(8.6386228559*(10^-8)*(AF104^3))+(1.1074017861*(10^-4)*(AF104^2))-(3.1241611608*(10^-2)*(AF104))+(3.3006694533))</f>
        <v>410.34389424687362</v>
      </c>
      <c r="Y104" s="358">
        <f>Properties!J33*EGR!$J$3</f>
        <v>400.18320000000006</v>
      </c>
      <c r="Z104" s="358">
        <f t="shared" si="8"/>
        <v>38.96351771124116</v>
      </c>
      <c r="AA104" s="358">
        <f>Properties!P33*EGR!$L$3</f>
        <v>14.538750000000014</v>
      </c>
      <c r="AB104" s="358">
        <f t="shared" si="9"/>
        <v>36.853562965575485</v>
      </c>
      <c r="AC104" s="358">
        <f>Properties!V33*EGR!$N$3</f>
        <v>1723.49</v>
      </c>
      <c r="AD104" s="358">
        <f t="shared" si="10"/>
        <v>600.35315580008091</v>
      </c>
      <c r="AE104" s="358">
        <f t="shared" si="11"/>
        <v>2594.2671500000001</v>
      </c>
      <c r="AF104" s="360">
        <v>1450</v>
      </c>
    </row>
    <row r="105" spans="22:32" x14ac:dyDescent="0.25">
      <c r="V105" s="358">
        <f>'NOx Model (2)'!$F$3*(8.5770134353*(10^-19)*(AF105^6))-(1.0374875556*(10^-14)*(AF105^5))+(4.9689475953*(10^-11)*(AF105^4))-(1.2019118054*(10^-7)*(AF105^3))+(1.5650954893*(10^-4)*(AF105^2))-(4.8239362033*(10^-2)*(AF105))+(5.2084519626)</f>
        <v>129.49587502166705</v>
      </c>
      <c r="W105" s="358">
        <f>Properties!D34*EGR!$G$3</f>
        <v>478.63679999999999</v>
      </c>
      <c r="X105" s="358">
        <f>'NOx Model (2)'!$H$3* ((6.6506859177*(10^-19)*(AF105^6)) -(7.8984343104*(10^-15)*(AF105^5))+(3.6879849877*(10^-11)*(AF105^4))-(8.6386228559*(10^-8)*(AF105^3))+(1.1074017861*(10^-4)*(AF105^2))-(3.1241611608*(10^-2)*(AF105))+(3.3006694533))</f>
        <v>430.80904866498764</v>
      </c>
      <c r="Y105" s="358">
        <f>Properties!J34*EGR!$J$3</f>
        <v>420.6114</v>
      </c>
      <c r="Z105" s="358">
        <f t="shared" si="8"/>
        <v>40.747643817512667</v>
      </c>
      <c r="AA105" s="358">
        <f>Properties!P34*EGR!$L$3</f>
        <v>15.221250000000015</v>
      </c>
      <c r="AB105" s="358">
        <f t="shared" si="9"/>
        <v>38.551821082877964</v>
      </c>
      <c r="AC105" s="358">
        <f>Properties!V34*EGR!$N$3</f>
        <v>1804.8</v>
      </c>
      <c r="AD105" s="358">
        <f t="shared" si="10"/>
        <v>639.60438858704526</v>
      </c>
      <c r="AE105" s="358">
        <f t="shared" si="11"/>
        <v>2719.2694499999998</v>
      </c>
      <c r="AF105" s="360">
        <v>1500</v>
      </c>
    </row>
    <row r="106" spans="22:32" x14ac:dyDescent="0.25">
      <c r="V106" s="358">
        <f>'NOx Model (2)'!$F$3*(8.5770134353*(10^-19)*(AF106^6))-(1.0374875556*(10^-14)*(AF106^5))+(4.9689475953*(10^-11)*(AF106^4))-(1.2019118054*(10^-7)*(AF106^3))+(1.5650954893*(10^-4)*(AF106^2))-(4.8239362033*(10^-2)*(AF106))+(5.2084519626)</f>
        <v>147.06282435961992</v>
      </c>
      <c r="W106" s="358">
        <f>Properties!D35*EGR!$G$3</f>
        <v>501.29599999999994</v>
      </c>
      <c r="X106" s="358">
        <f>'NOx Model (2)'!$H$3* ((6.6506859177*(10^-19)*(AF106^6)) -(7.8984343104*(10^-15)*(AF106^5))+(3.6879849877*(10^-11)*(AF106^4))-(8.6386228559*(10^-8)*(AF106^3))+(1.1074017861*(10^-4)*(AF106^2))-(3.1241611608*(10^-2)*(AF106))+(3.3006694533))</f>
        <v>451.4440203299464</v>
      </c>
      <c r="Y106" s="358">
        <f>Properties!J35*EGR!$J$3</f>
        <v>441.30149999999998</v>
      </c>
      <c r="Z106" s="358">
        <f t="shared" si="8"/>
        <v>42.533497324554652</v>
      </c>
      <c r="AA106" s="358">
        <f>Properties!P35*EGR!$L$3</f>
        <v>15.907500000000015</v>
      </c>
      <c r="AB106" s="358">
        <f t="shared" si="9"/>
        <v>40.253196601872482</v>
      </c>
      <c r="AC106" s="358">
        <f>Properties!V35*EGR!$N$3</f>
        <v>1887.05</v>
      </c>
      <c r="AD106" s="358">
        <f t="shared" si="10"/>
        <v>681.2935386159935</v>
      </c>
      <c r="AE106" s="358">
        <f t="shared" si="11"/>
        <v>2845.5549999999998</v>
      </c>
      <c r="AF106" s="360">
        <v>1550</v>
      </c>
    </row>
    <row r="107" spans="22:32" x14ac:dyDescent="0.25">
      <c r="V107" s="358">
        <f>'NOx Model (2)'!$F$3*(8.5770134353*(10^-19)*(AF107^6))-(1.0374875556*(10^-14)*(AF107^5))+(4.9689475953*(10^-11)*(AF107^4))-(1.2019118054*(10^-7)*(AF107^3))+(1.5650954893*(10^-4)*(AF107^2))-(4.8239362033*(10^-2)*(AF107))+(5.2084519626)</f>
        <v>167.21087534909094</v>
      </c>
      <c r="W107" s="358">
        <f>Properties!D36*EGR!$G$3</f>
        <v>524.11040000000003</v>
      </c>
      <c r="X107" s="358">
        <f>'NOx Model (2)'!$H$3* ((6.6506859177*(10^-19)*(AF107^6)) -(7.8984343104*(10^-15)*(AF107^5))+(3.6879849877*(10^-11)*(AF107^4))-(8.6386228559*(10^-8)*(AF107^3))+(1.1074017861*(10^-4)*(AF107^2))-(3.1241611608*(10^-2)*(AF107))+(3.3006694533))</f>
        <v>472.26254789734037</v>
      </c>
      <c r="Y107" s="358">
        <f>Properties!J36*EGR!$J$3</f>
        <v>462.1662</v>
      </c>
      <c r="Z107" s="358">
        <f t="shared" si="8"/>
        <v>44.3230242135458</v>
      </c>
      <c r="AA107" s="358">
        <f>Properties!P36*EGR!$L$3</f>
        <v>16.593750000000014</v>
      </c>
      <c r="AB107" s="358">
        <f t="shared" si="9"/>
        <v>41.959295017603182</v>
      </c>
      <c r="AC107" s="358">
        <f>Properties!V36*EGR!$N$3</f>
        <v>1969.3</v>
      </c>
      <c r="AD107" s="358">
        <f t="shared" si="10"/>
        <v>725.75574247758027</v>
      </c>
      <c r="AE107" s="358">
        <f t="shared" si="11"/>
        <v>2972.1703499999999</v>
      </c>
      <c r="AF107" s="360">
        <v>1600</v>
      </c>
    </row>
    <row r="108" spans="22:32" x14ac:dyDescent="0.25">
      <c r="V108" s="358">
        <f>'NOx Model (2)'!$F$3*(8.5770134353*(10^-19)*(AF108^6))-(1.0374875556*(10^-14)*(AF108^5))+(4.9689475953*(10^-11)*(AF108^4))-(1.2019118054*(10^-7)*(AF108^3))+(1.5650954893*(10^-4)*(AF108^2))-(4.8239362033*(10^-2)*(AF108))+(5.2084519626)</f>
        <v>190.29000019600133</v>
      </c>
      <c r="W108" s="358">
        <f>Properties!D37*EGR!$G$3</f>
        <v>546.9248</v>
      </c>
      <c r="X108" s="358">
        <f>'NOx Model (2)'!$H$3* ((6.6506859177*(10^-19)*(AF108^6)) -(7.8984343104*(10^-15)*(AF108^5))+(3.6879849877*(10^-11)*(AF108^4))-(8.6386228559*(10^-8)*(AF108^3))+(1.1074017861*(10^-4)*(AF108^2))-(3.1241611608*(10^-2)*(AF108))+(3.3006694533))</f>
        <v>493.27789250026859</v>
      </c>
      <c r="Y108" s="358">
        <f>Properties!J37*EGR!$J$3</f>
        <v>483.20550000000003</v>
      </c>
      <c r="Z108" s="358">
        <f t="shared" si="8"/>
        <v>46.118157546497784</v>
      </c>
      <c r="AA108" s="358">
        <f>Properties!P37*EGR!$L$3</f>
        <v>17.283750000000015</v>
      </c>
      <c r="AB108" s="358">
        <f t="shared" si="9"/>
        <v>43.671695592729968</v>
      </c>
      <c r="AC108" s="358">
        <f>Properties!V37*EGR!$N$3</f>
        <v>2052.02</v>
      </c>
      <c r="AD108" s="358">
        <f t="shared" si="10"/>
        <v>773.35774583549767</v>
      </c>
      <c r="AE108" s="358">
        <f t="shared" si="11"/>
        <v>3099.4340499999998</v>
      </c>
      <c r="AF108" s="360">
        <v>1650</v>
      </c>
    </row>
    <row r="109" spans="22:32" x14ac:dyDescent="0.25">
      <c r="V109" s="358">
        <f>'NOx Model (2)'!$F$3*(8.5770134353*(10^-19)*(AF109^6))-(1.0374875556*(10^-14)*(AF109^5))+(4.9689475953*(10^-11)*(AF109^4))-(1.2019118054*(10^-7)*(AF109^3))+(1.5650954893*(10^-4)*(AF109^2))-(4.8239362033*(10^-2)*(AF109))+(5.2084519626)</f>
        <v>216.68431506299328</v>
      </c>
      <c r="W109" s="358">
        <f>Properties!D38*EGR!$G$3</f>
        <v>569.89440000000002</v>
      </c>
      <c r="X109" s="358">
        <f>'NOx Model (2)'!$H$3* ((6.6506859177*(10^-19)*(AF109^6)) -(7.8984343104*(10^-15)*(AF109^5))+(3.6879849877*(10^-11)*(AF109^4))-(8.6386228559*(10^-8)*(AF109^3))+(1.1074017861*(10^-4)*(AF109^2))-(3.1241611608*(10^-2)*(AF109))+(3.3006694533))</f>
        <v>514.50229862658807</v>
      </c>
      <c r="Y109" s="358">
        <f>Properties!J38*EGR!$J$3</f>
        <v>504.41940000000005</v>
      </c>
      <c r="Z109" s="358">
        <f t="shared" si="8"/>
        <v>47.920754320218983</v>
      </c>
      <c r="AA109" s="358">
        <f>Properties!P38*EGR!$L$3</f>
        <v>17.977500000000013</v>
      </c>
      <c r="AB109" s="358">
        <f t="shared" si="9"/>
        <v>45.391895445762245</v>
      </c>
      <c r="AC109" s="358">
        <f>Properties!V38*EGR!$N$3</f>
        <v>2134.7400000000002</v>
      </c>
      <c r="AD109" s="358">
        <f t="shared" si="10"/>
        <v>824.49926345556253</v>
      </c>
      <c r="AE109" s="358">
        <f t="shared" si="11"/>
        <v>3227.0313000000006</v>
      </c>
      <c r="AF109" s="360">
        <v>1700</v>
      </c>
    </row>
    <row r="110" spans="22:32" x14ac:dyDescent="0.25">
      <c r="V110" s="358">
        <f>'NOx Model (2)'!$F$3*(8.5770134353*(10^-19)*(AF110^6))-(1.0374875556*(10^-14)*(AF110^5))+(4.9689475953*(10^-11)*(AF110^4))-(1.2019118054*(10^-7)*(AF110^3))+(1.5650954893*(10^-4)*(AF110^2))-(4.8239362033*(10^-2)*(AF110))+(5.2084519626)</f>
        <v>246.81417470026281</v>
      </c>
      <c r="W110" s="358">
        <f>Properties!D39*EGR!$G$3</f>
        <v>592.94159999999999</v>
      </c>
      <c r="X110" s="358">
        <f>'NOx Model (2)'!$H$3* ((6.6506859177*(10^-19)*(AF110^6)) -(7.8984343104*(10^-15)*(AF110^5))+(3.6879849877*(10^-11)*(AF110^4))-(8.6386228559*(10^-8)*(AF110^3))+(1.1074017861*(10^-4)*(AF110^2))-(3.1241611608*(10^-2)*(AF110))+(3.3006694533))</f>
        <v>535.94652166096728</v>
      </c>
      <c r="Y110" s="358">
        <f>Properties!J39*EGR!$J$3</f>
        <v>525.89520000000005</v>
      </c>
      <c r="Z110" s="358">
        <f t="shared" ref="Z110:Z145" si="12">(6.4958291549*(10^-19)*(AF110^6))-(7.8224528491*(10^-15)*(AF110^5))+(3.7120417697*(10^-11)*(AF110^4))-(8.798317617*(10^-8)*(AF110^3))+(1.0982327235*(10^-4)*(AF110^2))-(3.2606444641*(10^-2)*(AF110))+(3.5786489003)</f>
        <v>49.732539628086215</v>
      </c>
      <c r="AA110" s="358">
        <f>Properties!P39*EGR!$L$3</f>
        <v>18.675000000000015</v>
      </c>
      <c r="AB110" s="358">
        <f t="shared" ref="AB110:AB145" si="13">(5.9376621671*(10^-19)*(AF110^6))-(7.1020711589*(10^-15)*(AF110^5))+(3.3460896805*(10^-11)*(AF110^4))-(7.8909601634*(10^-8)*(AF110^3))+(9.8599769212*(10^-5)*(AF110^2))-(2.8172899156*(10^-2)*(AF110))+(3.05378908)</f>
        <v>47.121260319164442</v>
      </c>
      <c r="AC110" s="358">
        <f>Properties!V39*EGR!$N$3</f>
        <v>2217.9299999999998</v>
      </c>
      <c r="AD110" s="358">
        <f t="shared" ref="AD110:AD145" si="14">V110+X110+Z110+AB110</f>
        <v>879.61449630848074</v>
      </c>
      <c r="AE110" s="358">
        <f t="shared" ref="AE110:AE145" si="15">W110+Y110+AA110+AC110</f>
        <v>3355.4417999999996</v>
      </c>
      <c r="AF110" s="360">
        <v>1750</v>
      </c>
    </row>
    <row r="111" spans="22:32" x14ac:dyDescent="0.25">
      <c r="V111" s="358">
        <f>'NOx Model (2)'!$F$3*(8.5770134353*(10^-19)*(AF111^6))-(1.0374875556*(10^-14)*(AF111^5))+(4.9689475953*(10^-11)*(AF111^4))-(1.2019118054*(10^-7)*(AF111^3))+(1.5650954893*(10^-4)*(AF111^2))-(4.8239362033*(10^-2)*(AF111))+(5.2084519626)</f>
        <v>281.13834349758184</v>
      </c>
      <c r="W111" s="358">
        <f>Properties!D40*EGR!$G$3</f>
        <v>616.14400000000001</v>
      </c>
      <c r="X111" s="358">
        <f>'NOx Model (2)'!$H$3* ((6.6506859177*(10^-19)*(AF111^6)) -(7.8984343104*(10^-15)*(AF111^5))+(3.6879849877*(10^-11)*(AF111^4))-(8.6386228559*(10^-8)*(AF111^3))+(1.1074017861*(10^-4)*(AF111^2))-(3.1241611608*(10^-2)*(AF111))+(3.3006694533))</f>
        <v>557.61942209175709</v>
      </c>
      <c r="Y111" s="358">
        <f>Properties!J40*EGR!$J$3</f>
        <v>547.45830000000001</v>
      </c>
      <c r="Z111" s="358">
        <f t="shared" si="12"/>
        <v>51.555058129624157</v>
      </c>
      <c r="AA111" s="358">
        <f>Properties!P40*EGR!$L$3</f>
        <v>19.372500000000016</v>
      </c>
      <c r="AB111" s="358">
        <f t="shared" si="13"/>
        <v>48.86098202732947</v>
      </c>
      <c r="AC111" s="358">
        <f>Properties!V40*EGR!$N$3</f>
        <v>2301.59</v>
      </c>
      <c r="AD111" s="358">
        <f t="shared" si="14"/>
        <v>939.1738057462926</v>
      </c>
      <c r="AE111" s="358">
        <f t="shared" si="15"/>
        <v>3484.5648000000001</v>
      </c>
      <c r="AF111" s="360">
        <v>1800</v>
      </c>
    </row>
    <row r="112" spans="22:32" x14ac:dyDescent="0.25">
      <c r="V112" s="358">
        <f>'NOx Model (2)'!$F$3*(8.5770134353*(10^-19)*(AF112^6))-(1.0374875556*(10^-14)*(AF112^5))+(4.9689475953*(10^-11)*(AF112^4))-(1.2019118054*(10^-7)*(AF112^3))+(1.5650954893*(10^-4)*(AF112^2))-(4.8239362033*(10^-2)*(AF112))+(5.2084519626)</f>
        <v>320.1562429575086</v>
      </c>
      <c r="W112" s="358">
        <f>Properties!D41*EGR!$G$3</f>
        <v>639.34640000000002</v>
      </c>
      <c r="X112" s="358">
        <f>'NOx Model (2)'!$H$3* ((6.6506859177*(10^-19)*(AF112^6)) -(7.8984343104*(10^-15)*(AF112^5))+(3.6879849877*(10^-11)*(AF112^4))-(8.6386228559*(10^-8)*(AF112^3))+(1.1074017861*(10^-4)*(AF112^2))-(3.1241611608*(10^-2)*(AF112))+(3.3006694533))</f>
        <v>579.52762638267666</v>
      </c>
      <c r="Y112" s="358">
        <f>Properties!J41*EGR!$J$3</f>
        <v>569.28329999999994</v>
      </c>
      <c r="Z112" s="358">
        <f t="shared" si="12"/>
        <v>53.38963282789306</v>
      </c>
      <c r="AA112" s="358">
        <f>Properties!P41*EGR!$L$3</f>
        <v>20.073750000000018</v>
      </c>
      <c r="AB112" s="358">
        <f t="shared" si="13"/>
        <v>50.612042584423953</v>
      </c>
      <c r="AC112" s="358">
        <f>Properties!V41*EGR!$N$3</f>
        <v>2385.25</v>
      </c>
      <c r="AD112" s="358">
        <f t="shared" si="14"/>
        <v>1003.6855447525023</v>
      </c>
      <c r="AE112" s="358">
        <f t="shared" si="15"/>
        <v>3613.95345</v>
      </c>
      <c r="AF112" s="360">
        <v>1850</v>
      </c>
    </row>
    <row r="113" spans="22:32" x14ac:dyDescent="0.25">
      <c r="V113" s="358">
        <f>'NOx Model (2)'!$F$3*(8.5770134353*(10^-19)*(AF113^6))-(1.0374875556*(10^-14)*(AF113^5))+(4.9689475953*(10^-11)*(AF113^4))-(1.2019118054*(10^-7)*(AF113^3))+(1.5650954893*(10^-4)*(AF113^2))-(4.8239362033*(10^-2)*(AF113))+(5.2084519626)</f>
        <v>364.41027558979061</v>
      </c>
      <c r="W113" s="358">
        <f>Properties!D42*EGR!$G$3</f>
        <v>662.62639999999999</v>
      </c>
      <c r="X113" s="358">
        <f>'NOx Model (2)'!$H$3* ((6.6506859177*(10^-19)*(AF113^6)) -(7.8984343104*(10^-15)*(AF113^5))+(3.6879849877*(10^-11)*(AF113^4))-(8.6386228559*(10^-8)*(AF113^3))+(1.1074017861*(10^-4)*(AF113^2))-(3.1241611608*(10^-2)*(AF113))+(3.3006694533))</f>
        <v>601.6752545093093</v>
      </c>
      <c r="Y113" s="358">
        <f>Properties!J42*EGR!$J$3</f>
        <v>591.19560000000001</v>
      </c>
      <c r="Z113" s="358">
        <f t="shared" si="12"/>
        <v>55.237331154682664</v>
      </c>
      <c r="AA113" s="358">
        <f>Properties!P42*EGR!$L$3</f>
        <v>20.775000000000016</v>
      </c>
      <c r="AB113" s="358">
        <f t="shared" si="13"/>
        <v>52.375185012101966</v>
      </c>
      <c r="AC113" s="358">
        <f>Properties!V42*EGR!$N$3</f>
        <v>2469.38</v>
      </c>
      <c r="AD113" s="358">
        <f t="shared" si="14"/>
        <v>1073.6980462658846</v>
      </c>
      <c r="AE113" s="358">
        <f t="shared" si="15"/>
        <v>3743.9770000000003</v>
      </c>
      <c r="AF113" s="360">
        <v>1900</v>
      </c>
    </row>
    <row r="114" spans="22:32" x14ac:dyDescent="0.25">
      <c r="V114" s="358">
        <f>'NOx Model (2)'!$F$3*(8.5770134353*(10^-19)*(AF114^6))-(1.0374875556*(10^-14)*(AF114^5))+(4.9689475953*(10^-11)*(AF114^4))-(1.2019118054*(10^-7)*(AF114^3))+(1.5650954893*(10^-4)*(AF114^2))-(4.8239362033*(10^-2)*(AF114))+(5.2084519626)</f>
        <v>414.48822522695428</v>
      </c>
      <c r="W114" s="358">
        <f>Properties!D43*EGR!$G$3</f>
        <v>685.98400000000004</v>
      </c>
      <c r="X114" s="358">
        <f>'NOx Model (2)'!$H$3* ((6.6506859177*(10^-19)*(AF114^6)) -(7.8984343104*(10^-15)*(AF114^5))+(3.6879849877*(10^-11)*(AF114^4))-(8.6386228559*(10^-8)*(AF114^3))+(1.1074017861*(10^-4)*(AF114^2))-(3.1241611608*(10^-2)*(AF114))+(3.3006694533))</f>
        <v>624.06371416040793</v>
      </c>
      <c r="Y114" s="358">
        <f>Properties!J43*EGR!$J$3</f>
        <v>613.28250000000003</v>
      </c>
      <c r="Z114" s="358">
        <f t="shared" si="12"/>
        <v>57.098938363516105</v>
      </c>
      <c r="AA114" s="358">
        <f>Properties!P43*EGR!$L$3</f>
        <v>21.480000000000018</v>
      </c>
      <c r="AB114" s="358">
        <f t="shared" si="13"/>
        <v>54.150890827089832</v>
      </c>
      <c r="AC114" s="358">
        <f>Properties!V43*EGR!$N$3</f>
        <v>2553.5099999999998</v>
      </c>
      <c r="AD114" s="358">
        <f t="shared" si="14"/>
        <v>1149.801768577968</v>
      </c>
      <c r="AE114" s="358">
        <f t="shared" si="15"/>
        <v>3874.2565</v>
      </c>
      <c r="AF114" s="360">
        <v>1950</v>
      </c>
    </row>
    <row r="115" spans="22:32" x14ac:dyDescent="0.25">
      <c r="V115" s="358">
        <f>'NOx Model (2)'!$F$3*(8.5770134353*(10^-19)*(AF115^6))-(1.0374875556*(10^-14)*(AF115^5))+(4.9689475953*(10^-11)*(AF115^4))-(1.2019118054*(10^-7)*(AF115^3))+(1.5650954893*(10^-4)*(AF115^2))-(4.8239362033*(10^-2)*(AF115))+(5.2084519626)</f>
        <v>471.02573376108649</v>
      </c>
      <c r="W115" s="358">
        <f>Properties!D44*EGR!$G$3</f>
        <v>709.41920000000005</v>
      </c>
      <c r="X115" s="358">
        <f>'NOx Model (2)'!$H$3* ((6.6506859177*(10^-19)*(AF115^6)) -(7.8984343104*(10^-15)*(AF115^5))+(3.6879849877*(10^-11)*(AF115^4))-(8.6386228559*(10^-8)*(AF115^3))+(1.1074017861*(10^-4)*(AF115^2))-(3.1241611608*(10^-2)*(AF115))+(3.3006694533))</f>
        <v>646.69156160401963</v>
      </c>
      <c r="Y115" s="358">
        <f>Properties!J44*EGR!$J$3</f>
        <v>635.54399999999998</v>
      </c>
      <c r="Z115" s="358">
        <f t="shared" si="12"/>
        <v>58.974938230459948</v>
      </c>
      <c r="AA115" s="358">
        <f>Properties!P44*EGR!$L$3</f>
        <v>22.18875000000002</v>
      </c>
      <c r="AB115" s="358">
        <f t="shared" si="13"/>
        <v>55.939364208639915</v>
      </c>
      <c r="AC115" s="358">
        <f>Properties!V44*EGR!$N$3</f>
        <v>2638.11</v>
      </c>
      <c r="AD115" s="358">
        <f t="shared" si="14"/>
        <v>1232.631597804206</v>
      </c>
      <c r="AE115" s="358">
        <f t="shared" si="15"/>
        <v>4005.2619500000001</v>
      </c>
      <c r="AF115" s="360">
        <v>2000</v>
      </c>
    </row>
    <row r="116" spans="22:32" x14ac:dyDescent="0.25">
      <c r="V116" s="358">
        <f>'NOx Model (2)'!$F$3*(8.5770134353*(10^-19)*(AF116^6))-(1.0374875556*(10^-14)*(AF116^5))+(4.9689475953*(10^-11)*(AF116^4))-(1.2019118054*(10^-7)*(AF116^3))+(1.5650954893*(10^-4)*(AF116^2))-(4.8239362033*(10^-2)*(AF116))+(5.2084519626)</f>
        <v>534.70885430180408</v>
      </c>
      <c r="W116" s="358">
        <f>Properties!D45*EGR!$G$3</f>
        <v>732.85439999999994</v>
      </c>
      <c r="X116" s="358">
        <f>'NOx Model (2)'!$H$3* ((6.6506859177*(10^-19)*(AF116^6)) -(7.8984343104*(10^-15)*(AF116^5))+(3.6879849877*(10^-11)*(AF116^4))-(8.6386228559*(10^-8)*(AF116^3))+(1.1074017861*(10^-4)*(AF116^2))-(3.1241611608*(10^-2)*(AF116))+(3.3006694533))</f>
        <v>669.55442921842518</v>
      </c>
      <c r="Y116" s="358">
        <f>Properties!J45*EGR!$J$3</f>
        <v>657.98010000000011</v>
      </c>
      <c r="Z116" s="358">
        <f t="shared" si="12"/>
        <v>60.865501062742915</v>
      </c>
      <c r="AA116" s="358">
        <f>Properties!P45*EGR!$L$3</f>
        <v>22.897500000000022</v>
      </c>
      <c r="AB116" s="358">
        <f t="shared" si="13"/>
        <v>57.740522845854905</v>
      </c>
      <c r="AC116" s="358">
        <f>Properties!V45*EGR!$N$3</f>
        <v>2722.71</v>
      </c>
      <c r="AD116" s="358">
        <f t="shared" si="14"/>
        <v>1322.8693074288271</v>
      </c>
      <c r="AE116" s="358">
        <f t="shared" si="15"/>
        <v>4136.442</v>
      </c>
      <c r="AF116" s="360">
        <v>2050</v>
      </c>
    </row>
    <row r="117" spans="22:32" x14ac:dyDescent="0.25">
      <c r="V117" s="358">
        <f>'NOx Model (2)'!$F$3*(8.5770134353*(10^-19)*(AF117^6))-(1.0374875556*(10^-14)*(AF117^5))+(4.9689475953*(10^-11)*(AF117^4))-(1.2019118054*(10^-7)*(AF117^3))+(1.5650954893*(10^-4)*(AF117^2))-(4.8239362033*(10^-2)*(AF117))+(5.2084519626)</f>
        <v>606.27668075541544</v>
      </c>
      <c r="W117" s="358">
        <f>Properties!D46*EGR!$G$3</f>
        <v>756.36720000000003</v>
      </c>
      <c r="X117" s="358">
        <f>'NOx Model (2)'!$H$3* ((6.6506859177*(10^-19)*(AF117^6)) -(7.8984343104*(10^-15)*(AF117^5))+(3.6879849877*(10^-11)*(AF117^4))-(8.6386228559*(10^-8)*(AF117^3))+(1.1074017861*(10^-4)*(AF117^2))-(3.1241611608*(10^-2)*(AF117))+(3.3006694533))</f>
        <v>692.64501968788431</v>
      </c>
      <c r="Y117" s="358">
        <f>Properties!J46*EGR!$J$3</f>
        <v>680.50350000000003</v>
      </c>
      <c r="Z117" s="358">
        <f t="shared" si="12"/>
        <v>62.770479015182097</v>
      </c>
      <c r="AA117" s="358">
        <f>Properties!P46*EGR!$L$3</f>
        <v>23.610000000000021</v>
      </c>
      <c r="AB117" s="358">
        <f t="shared" si="13"/>
        <v>59.553995464881993</v>
      </c>
      <c r="AC117" s="358">
        <f>Properties!V46*EGR!$N$3</f>
        <v>2807.31</v>
      </c>
      <c r="AD117" s="358">
        <f t="shared" si="14"/>
        <v>1421.2461749233639</v>
      </c>
      <c r="AE117" s="358">
        <f t="shared" si="15"/>
        <v>4267.7906999999996</v>
      </c>
      <c r="AF117" s="360">
        <v>2100</v>
      </c>
    </row>
    <row r="118" spans="22:32" x14ac:dyDescent="0.25">
      <c r="V118" s="358">
        <f>'NOx Model (2)'!$F$3*(8.5770134353*(10^-19)*(AF118^6))-(1.0374875556*(10^-14)*(AF118^5))+(4.9689475953*(10^-11)*(AF118^4))-(1.2019118054*(10^-7)*(AF118^3))+(1.5650954893*(10^-4)*(AF118^2))-(4.8239362033*(10^-2)*(AF118))+(5.2084519626)</f>
        <v>686.52405382526911</v>
      </c>
      <c r="W118" s="358">
        <f>Properties!D47*EGR!$G$3</f>
        <v>779.95760000000007</v>
      </c>
      <c r="X118" s="358">
        <f>'NOx Model (2)'!$H$3* ((6.6506859177*(10^-19)*(AF118^6)) -(7.8984343104*(10^-15)*(AF118^5))+(3.6879849877*(10^-11)*(AF118^4))-(8.6386228559*(10^-8)*(AF118^3))+(1.1074017861*(10^-4)*(AF118^2))-(3.1241611608*(10^-2)*(AF118))+(3.3006694533))</f>
        <v>715.95316686318847</v>
      </c>
      <c r="Y118" s="358">
        <f>Properties!J47*EGR!$J$3</f>
        <v>703.1142000000001</v>
      </c>
      <c r="Z118" s="358">
        <f t="shared" si="12"/>
        <v>64.689408714416658</v>
      </c>
      <c r="AA118" s="358">
        <f>Properties!P47*EGR!$L$3</f>
        <v>24.322500000000023</v>
      </c>
      <c r="AB118" s="358">
        <f t="shared" si="13"/>
        <v>61.379126035976959</v>
      </c>
      <c r="AC118" s="358">
        <f>Properties!V47*EGR!$N$3</f>
        <v>2892.38</v>
      </c>
      <c r="AD118" s="358">
        <f t="shared" si="14"/>
        <v>1528.5457554388513</v>
      </c>
      <c r="AE118" s="358">
        <f t="shared" si="15"/>
        <v>4399.7743</v>
      </c>
      <c r="AF118" s="360">
        <v>2150</v>
      </c>
    </row>
    <row r="119" spans="22:32" x14ac:dyDescent="0.25">
      <c r="V119" s="358">
        <f>'NOx Model (2)'!$F$3*(8.5770134353*(10^-19)*(AF119^6))-(1.0374875556*(10^-14)*(AF119^5))+(4.9689475953*(10^-11)*(AF119^4))-(1.2019118054*(10^-7)*(AF119^3))+(1.5650954893*(10^-4)*(AF119^2))-(4.8239362033*(10^-2)*(AF119))+(5.2084519626)</f>
        <v>776.30434343329387</v>
      </c>
      <c r="W119" s="358">
        <f>Properties!D48*EGR!$G$3</f>
        <v>803.62559999999996</v>
      </c>
      <c r="X119" s="358">
        <f>'NOx Model (2)'!$H$3* ((6.6506859177*(10^-19)*(AF119^6)) -(7.8984343104*(10^-15)*(AF119^5))+(3.6879849877*(10^-11)*(AF119^4))-(8.6386228559*(10^-8)*(AF119^3))+(1.1074017861*(10^-4)*(AF119^2))-(3.1241611608*(10^-2)*(AF119))+(3.3006694533))</f>
        <v>739.465963287053</v>
      </c>
      <c r="Y119" s="358">
        <f>Properties!J48*EGR!$J$3</f>
        <v>725.98680000000002</v>
      </c>
      <c r="Z119" s="358">
        <f t="shared" si="12"/>
        <v>66.621521190950119</v>
      </c>
      <c r="AA119" s="358">
        <f>Properties!P48*EGR!$L$3</f>
        <v>25.038750000000022</v>
      </c>
      <c r="AB119" s="358">
        <f t="shared" si="13"/>
        <v>63.214984660437636</v>
      </c>
      <c r="AC119" s="358">
        <f>Properties!V48*EGR!$N$3</f>
        <v>2977.92</v>
      </c>
      <c r="AD119" s="358">
        <f t="shared" si="14"/>
        <v>1645.6068125717347</v>
      </c>
      <c r="AE119" s="358">
        <f t="shared" si="15"/>
        <v>4532.5711499999998</v>
      </c>
      <c r="AF119" s="360">
        <v>2200</v>
      </c>
    </row>
    <row r="120" spans="22:32" x14ac:dyDescent="0.25">
      <c r="V120" s="358">
        <f>'NOx Model (2)'!$F$3*(8.5770134353*(10^-19)*(AF120^6))-(1.0374875556*(10^-14)*(AF120^5))+(4.9689475953*(10^-11)*(AF120^4))-(1.2019118054*(10^-7)*(AF120^3))+(1.5650954893*(10^-4)*(AF120^2))-(4.8239362033*(10^-2)*(AF120))+(5.2084519626)</f>
        <v>876.53230756272796</v>
      </c>
      <c r="W120" s="358">
        <f>Properties!D49*EGR!$G$3</f>
        <v>827.29359999999997</v>
      </c>
      <c r="X120" s="358">
        <f>'NOx Model (2)'!$H$3* ((6.6506859177*(10^-19)*(AF120^6)) -(7.8984343104*(10^-15)*(AF120^5))+(3.6879849877*(10^-11)*(AF120^4))-(8.6386228559*(10^-8)*(AF120^3))+(1.1074017861*(10^-4)*(AF120^2))-(3.1241611608*(10^-2)*(AF120))+(3.3006694533))</f>
        <v>763.16795438428778</v>
      </c>
      <c r="Y120" s="358">
        <f>Properties!J49*EGR!$J$3</f>
        <v>748.85940000000005</v>
      </c>
      <c r="Z120" s="358">
        <f t="shared" si="12"/>
        <v>68.565759118999395</v>
      </c>
      <c r="AA120" s="358">
        <f>Properties!P49*EGR!$L$3</f>
        <v>25.75875000000002</v>
      </c>
      <c r="AB120" s="358">
        <f t="shared" si="13"/>
        <v>65.060385137408744</v>
      </c>
      <c r="AC120" s="358">
        <f>Properties!V49*EGR!$N$3</f>
        <v>3062.9900000000002</v>
      </c>
      <c r="AD120" s="358">
        <f t="shared" si="14"/>
        <v>1773.3264062034241</v>
      </c>
      <c r="AE120" s="358">
        <f t="shared" si="15"/>
        <v>4664.90175</v>
      </c>
      <c r="AF120" s="360">
        <v>2250</v>
      </c>
    </row>
    <row r="121" spans="22:32" x14ac:dyDescent="0.25">
      <c r="V121" s="358">
        <f>'NOx Model (2)'!$F$3*(8.5770134353*(10^-19)*(AF121^6))-(1.0374875556*(10^-14)*(AF121^5))+(4.9689475953*(10^-11)*(AF121^4))-(1.2019118054*(10^-7)*(AF121^3))+(1.5650954893*(10^-4)*(AF121^2))-(4.8239362033*(10^-2)*(AF121))+(5.2084519626)</f>
        <v>988.18702752203717</v>
      </c>
      <c r="W121" s="358">
        <f>Properties!D50*EGR!$G$3</f>
        <v>850.96159999999998</v>
      </c>
      <c r="X121" s="358">
        <f>'NOx Model (2)'!$H$3* ((6.6506859177*(10^-19)*(AF121^6)) -(7.8984343104*(10^-15)*(AF121^5))+(3.6879849877*(10^-11)*(AF121^4))-(8.6386228559*(10^-8)*(AF121^3))+(1.1074017861*(10^-4)*(AF121^2))-(3.1241611608*(10^-2)*(AF121))+(3.3006694533))</f>
        <v>787.04139931680334</v>
      </c>
      <c r="Y121" s="358">
        <f>Properties!J50*EGR!$J$3</f>
        <v>771.90660000000003</v>
      </c>
      <c r="Z121" s="358">
        <f t="shared" si="12"/>
        <v>70.520801364153343</v>
      </c>
      <c r="AA121" s="358">
        <f>Properties!P50*EGR!$L$3</f>
        <v>26.478750000000023</v>
      </c>
      <c r="AB121" s="358">
        <f t="shared" si="13"/>
        <v>66.913909210554849</v>
      </c>
      <c r="AC121" s="358">
        <f>Properties!V50*EGR!$N$3</f>
        <v>3148.5299999999997</v>
      </c>
      <c r="AD121" s="358">
        <f t="shared" si="14"/>
        <v>1912.6631374135488</v>
      </c>
      <c r="AE121" s="358">
        <f t="shared" si="15"/>
        <v>4797.8769499999999</v>
      </c>
      <c r="AF121" s="360">
        <v>2300</v>
      </c>
    </row>
    <row r="122" spans="22:32" x14ac:dyDescent="0.25">
      <c r="V122" s="358">
        <f>'NOx Model (2)'!$F$3*(8.5770134353*(10^-19)*(AF122^6))-(1.0374875556*(10^-14)*(AF122^5))+(4.9689475953*(10^-11)*(AF122^4))-(1.2019118054*(10^-7)*(AF122^3))+(1.5650954893*(10^-4)*(AF122^2))-(4.8239362033*(10^-2)*(AF122))+(5.2084519626)</f>
        <v>1112.3149196300258</v>
      </c>
      <c r="W122" s="358">
        <f>Properties!D51*EGR!$G$3</f>
        <v>874.78480000000002</v>
      </c>
      <c r="X122" s="358">
        <f>'NOx Model (2)'!$H$3* ((6.6506859177*(10^-19)*(AF122^6)) -(7.8984343104*(10^-15)*(AF122^5))+(3.6879849877*(10^-11)*(AF122^4))-(8.6386228559*(10^-8)*(AF122^3))+(1.1074017861*(10^-4)*(AF122^2))-(3.1241611608*(10^-2)*(AF122))+(3.3006694533))</f>
        <v>811.06659850342987</v>
      </c>
      <c r="Y122" s="358">
        <f>Properties!J51*EGR!$J$3</f>
        <v>795.04110000000003</v>
      </c>
      <c r="Z122" s="358">
        <f t="shared" si="12"/>
        <v>72.485094838835948</v>
      </c>
      <c r="AA122" s="358">
        <f>Properties!P51*EGR!$L$3</f>
        <v>27.198750000000025</v>
      </c>
      <c r="AB122" s="358">
        <f t="shared" si="13"/>
        <v>68.773937494604539</v>
      </c>
      <c r="AC122" s="358">
        <f>Properties!V51*EGR!$N$3</f>
        <v>3234.5399999999995</v>
      </c>
      <c r="AD122" s="358">
        <f t="shared" si="14"/>
        <v>2064.6405504668965</v>
      </c>
      <c r="AE122" s="358">
        <f t="shared" si="15"/>
        <v>4931.5646499999993</v>
      </c>
      <c r="AF122" s="360">
        <v>2350</v>
      </c>
    </row>
    <row r="123" spans="22:32" x14ac:dyDescent="0.25">
      <c r="V123" s="358">
        <f>'NOx Model (2)'!$F$3*(8.5770134353*(10^-19)*(AF123^6))-(1.0374875556*(10^-14)*(AF123^5))+(4.9689475953*(10^-11)*(AF123^4))-(1.2019118054*(10^-7)*(AF123^3))+(1.5650954893*(10^-4)*(AF123^2))-(4.8239362033*(10^-2)*(AF123))+(5.2084519626)</f>
        <v>1250.0328233221319</v>
      </c>
      <c r="W123" s="358">
        <f>Properties!D52*EGR!$G$3</f>
        <v>898.53039999999999</v>
      </c>
      <c r="X123" s="358">
        <f>'NOx Model (2)'!$H$3* ((6.6506859177*(10^-19)*(AF123^6)) -(7.8984343104*(10^-15)*(AF123^5))+(3.6879849877*(10^-11)*(AF123^4))-(8.6386228559*(10^-8)*(AF123^3))+(1.1074017861*(10^-4)*(AF123^2))-(3.1241611608*(10^-2)*(AF123))+(3.3006694533))</f>
        <v>835.22228780453258</v>
      </c>
      <c r="Y123" s="358">
        <f>Properties!J52*EGR!$J$3</f>
        <v>818.35019999999997</v>
      </c>
      <c r="Z123" s="358">
        <f t="shared" si="12"/>
        <v>74.456893665582058</v>
      </c>
      <c r="AA123" s="358">
        <f>Properties!P52*EGR!$L$3</f>
        <v>27.922500000000021</v>
      </c>
      <c r="AB123" s="358">
        <f t="shared" si="13"/>
        <v>70.63868708176426</v>
      </c>
      <c r="AC123" s="358">
        <f>Properties!V52*EGR!$N$3</f>
        <v>3320.08</v>
      </c>
      <c r="AD123" s="358">
        <f t="shared" si="14"/>
        <v>2230.3506918740104</v>
      </c>
      <c r="AE123" s="358">
        <f t="shared" si="15"/>
        <v>5064.8831</v>
      </c>
      <c r="AF123" s="360">
        <v>2400</v>
      </c>
    </row>
    <row r="124" spans="22:32" x14ac:dyDescent="0.25">
      <c r="V124" s="358">
        <f>'NOx Model (2)'!$F$3*(8.5770134353*(10^-19)*(AF124^6))-(1.0374875556*(10^-14)*(AF124^5))+(4.9689475953*(10^-11)*(AF124^4))-(1.2019118054*(10^-7)*(AF124^3))+(1.5650954893*(10^-4)*(AF124^2))-(4.8239362033*(10^-2)*(AF124))+(5.2084519626)</f>
        <v>1402.5311656779181</v>
      </c>
      <c r="W124" s="358">
        <f>Properties!D53*EGR!$G$3</f>
        <v>922.35359999999991</v>
      </c>
      <c r="X124" s="358">
        <f>'NOx Model (2)'!$H$3* ((6.6506859177*(10^-19)*(AF124^6)) -(7.8984343104*(10^-15)*(AF124^5))+(3.6879849877*(10^-11)*(AF124^4))-(8.6386228559*(10^-8)*(AF124^3))+(1.1074017861*(10^-4)*(AF124^2))-(3.1241611608*(10^-2)*(AF124))+(3.3006694533))</f>
        <v>859.48609937145432</v>
      </c>
      <c r="Y124" s="358">
        <f>Properties!J53*EGR!$J$3</f>
        <v>841.74660000000006</v>
      </c>
      <c r="Z124" s="358">
        <f t="shared" si="12"/>
        <v>76.434305648116137</v>
      </c>
      <c r="AA124" s="358">
        <f>Properties!P53*EGR!$L$3</f>
        <v>28.650000000000027</v>
      </c>
      <c r="AB124" s="358">
        <f t="shared" si="13"/>
        <v>72.506255828001485</v>
      </c>
      <c r="AC124" s="358">
        <f>Properties!V53*EGR!$N$3</f>
        <v>3406.09</v>
      </c>
      <c r="AD124" s="358">
        <f t="shared" si="14"/>
        <v>2410.95782652549</v>
      </c>
      <c r="AE124" s="358">
        <f t="shared" si="15"/>
        <v>5198.8402000000006</v>
      </c>
      <c r="AF124" s="360">
        <v>2450</v>
      </c>
    </row>
    <row r="125" spans="22:32" x14ac:dyDescent="0.25">
      <c r="V125" s="358">
        <f>'NOx Model (2)'!$F$3*(8.5770134353*(10^-19)*(AF125^6))-(1.0374875556*(10^-14)*(AF125^5))+(4.9689475953*(10^-11)*(AF125^4))-(1.2019118054*(10^-7)*(AF125^3))+(1.5650954893*(10^-4)*(AF125^2))-(4.8239362033*(10^-2)*(AF125))+(5.2084519626)</f>
        <v>1571.0772023697482</v>
      </c>
      <c r="W125" s="358">
        <f>Properties!D54*EGR!$G$3</f>
        <v>946.25439999999992</v>
      </c>
      <c r="X125" s="358">
        <f>'NOx Model (2)'!$H$3* ((6.6506859177*(10^-19)*(AF125^6)) -(7.8984343104*(10^-15)*(AF125^5))+(3.6879849877*(10^-11)*(AF125^4))-(8.6386228559*(10^-8)*(AF125^3))+(1.1074017861*(10^-4)*(AF125^2))-(3.1241611608*(10^-2)*(AF125))+(3.3006694533))</f>
        <v>883.83508916077744</v>
      </c>
      <c r="Y125" s="358">
        <f>Properties!J54*EGR!$J$3</f>
        <v>865.23030000000006</v>
      </c>
      <c r="Z125" s="358">
        <f t="shared" si="12"/>
        <v>78.415346050241084</v>
      </c>
      <c r="AA125" s="358">
        <f>Properties!P54*EGR!$L$3</f>
        <v>29.377500000000026</v>
      </c>
      <c r="AB125" s="358">
        <f t="shared" si="13"/>
        <v>74.374673319199005</v>
      </c>
      <c r="AC125" s="358">
        <f>Properties!V54*EGR!$N$3</f>
        <v>3492.1</v>
      </c>
      <c r="AD125" s="358">
        <f t="shared" si="14"/>
        <v>2607.7023108999656</v>
      </c>
      <c r="AE125" s="358">
        <f t="shared" si="15"/>
        <v>5332.9621999999999</v>
      </c>
      <c r="AF125" s="360">
        <v>2500</v>
      </c>
    </row>
    <row r="126" spans="22:32" x14ac:dyDescent="0.25">
      <c r="V126" s="358">
        <f>'NOx Model (2)'!$F$3*(8.5770134353*(10^-19)*(AF126^6))-(1.0374875556*(10^-14)*(AF126^5))+(4.9689475953*(10^-11)*(AF126^4))-(1.2019118054*(10^-7)*(AF126^3))+(1.5650954893*(10^-4)*(AF126^2))-(4.8239362033*(10^-2)*(AF126))+(5.2084519626)</f>
        <v>1757.0183350326556</v>
      </c>
      <c r="W126" s="358">
        <f>Properties!D55*EGR!$G$3</f>
        <v>970.15519999999992</v>
      </c>
      <c r="X126" s="358">
        <f>'NOx Model (2)'!$H$3* ((6.6506859177*(10^-19)*(AF126^6)) -(7.8984343104*(10^-15)*(AF126^5))+(3.6879849877*(10^-11)*(AF126^4))-(8.6386228559*(10^-8)*(AF126^3))+(1.1074017861*(10^-4)*(AF126^2))-(3.1241611608*(10^-2)*(AF126))+(3.3006694533))</f>
        <v>908.24633111337187</v>
      </c>
      <c r="Y126" s="358">
        <f>Properties!J55*EGR!$J$3</f>
        <v>888.80130000000008</v>
      </c>
      <c r="Z126" s="358">
        <f t="shared" si="12"/>
        <v>80.397998682536198</v>
      </c>
      <c r="AA126" s="358">
        <f>Properties!P55*EGR!$L$3</f>
        <v>30.108750000000029</v>
      </c>
      <c r="AB126" s="358">
        <f t="shared" si="13"/>
        <v>76.241958517178077</v>
      </c>
      <c r="AC126" s="358">
        <f>Properties!V55*EGR!$N$3</f>
        <v>3578.1099999999997</v>
      </c>
      <c r="AD126" s="358">
        <f t="shared" si="14"/>
        <v>2821.9046233457416</v>
      </c>
      <c r="AE126" s="358">
        <f t="shared" si="15"/>
        <v>5467.1752500000002</v>
      </c>
      <c r="AF126" s="360">
        <v>2550</v>
      </c>
    </row>
    <row r="127" spans="22:32" x14ac:dyDescent="0.25">
      <c r="V127" s="358">
        <f>'NOx Model (2)'!$F$3*(8.5770134353*(10^-19)*(AF127^6))-(1.0374875556*(10^-14)*(AF127^5))+(4.9689475953*(10^-11)*(AF127^4))-(1.2019118054*(10^-7)*(AF127^3))+(1.5650954893*(10^-4)*(AF127^2))-(4.8239362033*(10^-2)*(AF127))+(5.2084519626)</f>
        <v>1961.7855050553976</v>
      </c>
      <c r="W127" s="358">
        <f>Properties!D56*EGR!$G$3</f>
        <v>994.05599999999993</v>
      </c>
      <c r="X127" s="358">
        <f>'NOx Model (2)'!$H$3* ((6.6506859177*(10^-19)*(AF127^6)) -(7.8984343104*(10^-15)*(AF127^5))+(3.6879849877*(10^-11)*(AF127^4))-(8.6386228559*(10^-8)*(AF127^3))+(1.1074017861*(10^-4)*(AF127^2))-(3.1241611608*(10^-2)*(AF127))+(3.3006694533))</f>
        <v>932.69757799828267</v>
      </c>
      <c r="Y127" s="358">
        <f>Properties!J56*EGR!$J$3</f>
        <v>912.45960000000002</v>
      </c>
      <c r="Z127" s="358">
        <f t="shared" si="12"/>
        <v>82.380284296859045</v>
      </c>
      <c r="AA127" s="358">
        <f>Properties!P56*EGR!$L$3</f>
        <v>30.840000000000025</v>
      </c>
      <c r="AB127" s="358">
        <f t="shared" si="13"/>
        <v>78.106184085591252</v>
      </c>
      <c r="AC127" s="358">
        <f>Properties!V56*EGR!$N$3</f>
        <v>3664.59</v>
      </c>
      <c r="AD127" s="358">
        <f t="shared" si="14"/>
        <v>3054.9695514361306</v>
      </c>
      <c r="AE127" s="358">
        <f t="shared" si="15"/>
        <v>5601.9456</v>
      </c>
      <c r="AF127" s="360">
        <v>2600</v>
      </c>
    </row>
    <row r="128" spans="22:32" x14ac:dyDescent="0.25">
      <c r="V128" s="358">
        <f>'NOx Model (2)'!$F$3*(8.5770134353*(10^-19)*(AF128^6))-(1.0374875556*(10^-14)*(AF128^5))+(4.9689475953*(10^-11)*(AF128^4))-(1.2019118054*(10^-7)*(AF128^3))+(1.5650954893*(10^-4)*(AF128^2))-(4.8239362033*(10^-2)*(AF128))+(5.2084519626)</f>
        <v>2186.8966637927065</v>
      </c>
      <c r="W128" s="358">
        <f>Properties!D57*EGR!$G$3</f>
        <v>1018.0344</v>
      </c>
      <c r="X128" s="358">
        <f>'NOx Model (2)'!$H$3* ((6.6506859177*(10^-19)*(AF128^6)) -(7.8984343104*(10^-15)*(AF128^5))+(3.6879849877*(10^-11)*(AF128^4))-(8.6386228559*(10^-8)*(AF128^3))+(1.1074017861*(10^-4)*(AF128^2))-(3.1241611608*(10^-2)*(AF128))+(3.3006694533))</f>
        <v>957.16798892142879</v>
      </c>
      <c r="Y128" s="358">
        <f>Properties!J57*EGR!$J$3</f>
        <v>936.20519999999999</v>
      </c>
      <c r="Z128" s="358">
        <f t="shared" si="12"/>
        <v>84.360336288659994</v>
      </c>
      <c r="AA128" s="358">
        <f>Properties!P57*EGR!$L$3</f>
        <v>31.575000000000028</v>
      </c>
      <c r="AB128" s="358">
        <f t="shared" si="13"/>
        <v>79.965547395687253</v>
      </c>
      <c r="AC128" s="358">
        <f>Properties!V57*EGR!$N$3</f>
        <v>3751.07</v>
      </c>
      <c r="AD128" s="358">
        <f t="shared" si="14"/>
        <v>3308.3905363984827</v>
      </c>
      <c r="AE128" s="358">
        <f t="shared" si="15"/>
        <v>5736.8846000000003</v>
      </c>
      <c r="AF128" s="360">
        <v>2650</v>
      </c>
    </row>
    <row r="129" spans="22:32" x14ac:dyDescent="0.25">
      <c r="V129" s="358">
        <f>'NOx Model (2)'!$F$3*(8.5770134353*(10^-19)*(AF129^6))-(1.0374875556*(10^-14)*(AF129^5))+(4.9689475953*(10^-11)*(AF129^4))-(1.2019118054*(10^-7)*(AF129^3))+(1.5650954893*(10^-4)*(AF129^2))-(4.8239362033*(10^-2)*(AF129))+(5.2084519626)</f>
        <v>2433.9603191987235</v>
      </c>
      <c r="W129" s="358">
        <f>Properties!D58*EGR!$G$3</f>
        <v>1042.0128</v>
      </c>
      <c r="X129" s="358">
        <f>'NOx Model (2)'!$H$3* ((6.6506859177*(10^-19)*(AF129^6)) -(7.8984343104*(10^-15)*(AF129^5))+(3.6879849877*(10^-11)*(AF129^4))-(8.6386228559*(10^-8)*(AF129^3))+(1.1074017861*(10^-4)*(AF129^2))-(3.1241611608*(10^-2)*(AF129))+(3.3006694533))</f>
        <v>981.63892349908463</v>
      </c>
      <c r="Y129" s="358">
        <f>Properties!J58*EGR!$J$3</f>
        <v>960.03809999999999</v>
      </c>
      <c r="Z129" s="358">
        <f t="shared" si="12"/>
        <v>86.336483707099546</v>
      </c>
      <c r="AA129" s="358">
        <f>Properties!P58*EGR!$L$3</f>
        <v>32.310000000000031</v>
      </c>
      <c r="AB129" s="358">
        <f t="shared" si="13"/>
        <v>81.818448211943362</v>
      </c>
      <c r="AC129" s="358">
        <f>Properties!V58*EGR!$N$3</f>
        <v>3837.55</v>
      </c>
      <c r="AD129" s="358">
        <f t="shared" si="14"/>
        <v>3583.7541746168508</v>
      </c>
      <c r="AE129" s="358">
        <f t="shared" si="15"/>
        <v>5871.9108999999999</v>
      </c>
      <c r="AF129" s="360">
        <v>2700</v>
      </c>
    </row>
    <row r="130" spans="22:32" x14ac:dyDescent="0.25">
      <c r="V130" s="358">
        <f>'NOx Model (2)'!$F$3*(8.5770134353*(10^-19)*(AF130^6))-(1.0374875556*(10^-14)*(AF130^5))+(4.9689475953*(10^-11)*(AF130^4))-(1.2019118054*(10^-7)*(AF130^3))+(1.5650954893*(10^-4)*(AF130^2))-(4.8239362033*(10^-2)*(AF130))+(5.2084519626)</f>
        <v>2704.6791588816245</v>
      </c>
      <c r="W130" s="358">
        <f>Properties!D59*EGR!$G$3</f>
        <v>1065.9911999999999</v>
      </c>
      <c r="X130" s="358">
        <f>'NOx Model (2)'!$H$3* ((6.6506859177*(10^-19)*(AF130^6)) -(7.8984343104*(10^-15)*(AF130^5))+(3.6879849877*(10^-11)*(AF130^4))-(8.6386228559*(10^-8)*(AF130^3))+(1.1074017861*(10^-4)*(AF130^2))-(3.1241611608*(10^-2)*(AF130))+(3.3006694533))</f>
        <v>1006.0948026962234</v>
      </c>
      <c r="Y130" s="358">
        <f>Properties!J59*EGR!$J$3</f>
        <v>984.04560000000004</v>
      </c>
      <c r="Z130" s="358">
        <f t="shared" si="12"/>
        <v>88.307341572978132</v>
      </c>
      <c r="AA130" s="358">
        <f>Properties!P59*EGR!$L$3</f>
        <v>33.048750000000027</v>
      </c>
      <c r="AB130" s="358">
        <f t="shared" si="13"/>
        <v>83.663573057568286</v>
      </c>
      <c r="AC130" s="358">
        <f>Properties!V59*EGR!$N$3</f>
        <v>3924.0299999999997</v>
      </c>
      <c r="AD130" s="358">
        <f t="shared" si="14"/>
        <v>3882.7448762083941</v>
      </c>
      <c r="AE130" s="358">
        <f t="shared" si="15"/>
        <v>6007.1155499999995</v>
      </c>
      <c r="AF130" s="360">
        <v>2750</v>
      </c>
    </row>
    <row r="131" spans="22:32" x14ac:dyDescent="0.25">
      <c r="V131" s="358">
        <f>'NOx Model (2)'!$F$3*(8.5770134353*(10^-19)*(AF131^6))-(1.0374875556*(10^-14)*(AF131^5))+(4.9689475953*(10^-11)*(AF131^4))-(1.2019118054*(10^-7)*(AF131^3))+(1.5650954893*(10^-4)*(AF131^2))-(4.8239362033*(10^-2)*(AF131))+(5.2084519626)</f>
        <v>3000.8537495794412</v>
      </c>
      <c r="W131" s="358">
        <f>Properties!D60*EGR!$G$3</f>
        <v>1090.0472</v>
      </c>
      <c r="X131" s="358">
        <f>'NOx Model (2)'!$H$3* ((6.6506859177*(10^-19)*(AF131^6)) -(7.8984343104*(10^-15)*(AF131^5))+(3.6879849877*(10^-11)*(AF131^4))-(8.6386228559*(10^-8)*(AF131^3))+(1.1074017861*(10^-4)*(AF131^2))-(3.1241611608*(10^-2)*(AF131))+(3.3006694533))</f>
        <v>1030.5240363296236</v>
      </c>
      <c r="Y131" s="358">
        <f>Properties!J60*EGR!$J$3</f>
        <v>1008.0531000000001</v>
      </c>
      <c r="Z131" s="358">
        <f t="shared" si="12"/>
        <v>90.271908504470588</v>
      </c>
      <c r="AA131" s="358">
        <f>Properties!P60*EGR!$L$3</f>
        <v>33.78750000000003</v>
      </c>
      <c r="AB131" s="358">
        <f t="shared" si="13"/>
        <v>85.499986259876493</v>
      </c>
      <c r="AC131" s="358">
        <f>Properties!V60*EGR!$N$3</f>
        <v>4010.5099999999998</v>
      </c>
      <c r="AD131" s="358">
        <f t="shared" si="14"/>
        <v>4207.1496806734121</v>
      </c>
      <c r="AE131" s="358">
        <f t="shared" si="15"/>
        <v>6142.3977999999997</v>
      </c>
      <c r="AF131" s="360">
        <v>2800</v>
      </c>
    </row>
    <row r="132" spans="22:32" x14ac:dyDescent="0.25">
      <c r="V132" s="358">
        <f>'NOx Model (2)'!$F$3*(8.5770134353*(10^-19)*(AF132^6))-(1.0374875556*(10^-14)*(AF132^5))+(4.9689475953*(10^-11)*(AF132^4))-(1.2019118054*(10^-7)*(AF132^3))+(1.5650954893*(10^-4)*(AF132^2))-(4.8239362033*(10^-2)*(AF132))+(5.2084519626)</f>
        <v>3324.3863130570585</v>
      </c>
      <c r="W132" s="358">
        <f>Properties!D61*EGR!$G$3</f>
        <v>1114.1032</v>
      </c>
      <c r="X132" s="358">
        <f>'NOx Model (2)'!$H$3* ((6.6506859177*(10^-19)*(AF132^6)) -(7.8984343104*(10^-15)*(AF132^5))+(3.6879849877*(10^-11)*(AF132^4))-(8.6386228559*(10^-8)*(AF132^3))+(1.1074017861*(10^-4)*(AF132^2))-(3.1241611608*(10^-2)*(AF132))+(3.3006694533))</f>
        <v>1054.920017235821</v>
      </c>
      <c r="Y132" s="358">
        <f>Properties!J61*EGR!$J$3</f>
        <v>1032.1479000000002</v>
      </c>
      <c r="Z132" s="358">
        <f t="shared" si="12"/>
        <v>92.229671650668394</v>
      </c>
      <c r="AA132" s="358">
        <f>Properties!P61*EGR!$L$3</f>
        <v>34.526250000000026</v>
      </c>
      <c r="AB132" s="358">
        <f t="shared" si="13"/>
        <v>87.327227675531674</v>
      </c>
      <c r="AC132" s="358">
        <f>Properties!V61*EGR!$N$3</f>
        <v>4097.46</v>
      </c>
      <c r="AD132" s="358">
        <f t="shared" si="14"/>
        <v>4558.863229619079</v>
      </c>
      <c r="AE132" s="358">
        <f t="shared" si="15"/>
        <v>6278.2373500000003</v>
      </c>
      <c r="AF132" s="360">
        <v>2850</v>
      </c>
    </row>
    <row r="133" spans="22:32" x14ac:dyDescent="0.25">
      <c r="V133" s="358">
        <f>'NOx Model (2)'!$F$3*(8.5770134353*(10^-19)*(AF133^6))-(1.0374875556*(10^-14)*(AF133^5))+(4.9689475953*(10^-11)*(AF133^4))-(1.2019118054*(10^-7)*(AF133^3))+(1.5650954893*(10^-4)*(AF133^2))-(4.8239362033*(10^-2)*(AF133))+(5.2084519626)</f>
        <v>3677.2845784244187</v>
      </c>
      <c r="W133" s="358">
        <f>Properties!D62*EGR!$G$3</f>
        <v>1138.1591999999998</v>
      </c>
      <c r="X133" s="358">
        <f>'NOx Model (2)'!$H$3* ((6.6506859177*(10^-19)*(AF133^6)) -(7.8984343104*(10^-15)*(AF133^5))+(3.6879849877*(10^-11)*(AF133^4))-(8.6386228559*(10^-8)*(AF133^3))+(1.1074017861*(10^-4)*(AF133^2))-(3.1241611608*(10^-2)*(AF133))+(3.3006694533))</f>
        <v>1079.2821821038847</v>
      </c>
      <c r="Y133" s="358">
        <f>Properties!J62*EGR!$J$3</f>
        <v>1056.2427</v>
      </c>
      <c r="Z133" s="358">
        <f t="shared" si="12"/>
        <v>94.180718932933203</v>
      </c>
      <c r="AA133" s="358">
        <f>Properties!P62*EGR!$L$3</f>
        <v>35.272500000000029</v>
      </c>
      <c r="AB133" s="358">
        <f t="shared" si="13"/>
        <v>89.145417095656441</v>
      </c>
      <c r="AC133" s="358">
        <f>Properties!V62*EGR!$N$3</f>
        <v>4184.41</v>
      </c>
      <c r="AD133" s="358">
        <f t="shared" si="14"/>
        <v>4939.892896556893</v>
      </c>
      <c r="AE133" s="358">
        <f t="shared" si="15"/>
        <v>6414.0843999999997</v>
      </c>
      <c r="AF133" s="360">
        <v>2900</v>
      </c>
    </row>
    <row r="134" spans="22:32" x14ac:dyDescent="0.25">
      <c r="V134" s="358">
        <f>'NOx Model (2)'!$F$3*(8.5770134353*(10^-19)*(AF134^6))-(1.0374875556*(10^-14)*(AF134^5))+(4.9689475953*(10^-11)*(AF134^4))-(1.2019118054*(10^-7)*(AF134^3))+(1.5650954893*(10^-4)*(AF134^2))-(4.8239362033*(10^-2)*(AF134))+(5.2084519626)</f>
        <v>4061.6657108758968</v>
      </c>
      <c r="W134" s="358">
        <f>Properties!D63*EGR!$G$3</f>
        <v>1162.2927999999999</v>
      </c>
      <c r="X134" s="358">
        <f>'NOx Model (2)'!$H$3* ((6.6506859177*(10^-19)*(AF134^6)) -(7.8984343104*(10^-15)*(AF134^5))+(3.6879849877*(10^-11)*(AF134^4))-(8.6386228559*(10^-8)*(AF134^3))+(1.1074017861*(10^-4)*(AF134^2))-(3.1241611608*(10^-2)*(AF134))+(3.3006694533))</f>
        <v>1103.6171389729368</v>
      </c>
      <c r="Y134" s="358">
        <f>Properties!J63*EGR!$J$3</f>
        <v>1080.5120999999999</v>
      </c>
      <c r="Z134" s="358">
        <f t="shared" si="12"/>
        <v>96.125858594052715</v>
      </c>
      <c r="AA134" s="358">
        <f>Properties!P63*EGR!$L$3</f>
        <v>36.015000000000036</v>
      </c>
      <c r="AB134" s="358">
        <f t="shared" si="13"/>
        <v>90.955365330820129</v>
      </c>
      <c r="AC134" s="358">
        <f>Properties!V63*EGR!$N$3</f>
        <v>4271.3599999999997</v>
      </c>
      <c r="AD134" s="358">
        <f t="shared" si="14"/>
        <v>5352.3640737737069</v>
      </c>
      <c r="AE134" s="358">
        <f t="shared" si="15"/>
        <v>6550.1798999999992</v>
      </c>
      <c r="AF134" s="360">
        <v>2950</v>
      </c>
    </row>
    <row r="135" spans="22:32" x14ac:dyDescent="0.25">
      <c r="V135" s="358">
        <f>'NOx Model (2)'!$F$3*(8.5770134353*(10^-19)*(AF135^6))-(1.0374875556*(10^-14)*(AF135^5))+(4.9689475953*(10^-11)*(AF135^4))-(1.2019118054*(10^-7)*(AF135^3))+(1.5650954893*(10^-4)*(AF135^2))-(4.8239362033*(10^-2)*(AF135))+(5.2084519626)</f>
        <v>4479.7603168508886</v>
      </c>
      <c r="W135" s="358">
        <f>Properties!D64*EGR!$G$3</f>
        <v>1186.3488</v>
      </c>
      <c r="X135" s="358">
        <f>'NOx Model (2)'!$H$3* ((6.6506859177*(10^-19)*(AF135^6)) -(7.8984343104*(10^-15)*(AF135^5))+(3.6879849877*(10^-11)*(AF135^4))-(8.6386228559*(10^-8)*(AF135^3))+(1.1074017861*(10^-4)*(AF135^2))-(3.1241611608*(10^-2)*(AF135))+(3.3006694533))</f>
        <v>1127.9398613945871</v>
      </c>
      <c r="Y135" s="358">
        <f>Properties!J64*EGR!$J$3</f>
        <v>1104.8688</v>
      </c>
      <c r="Z135" s="358">
        <f t="shared" si="12"/>
        <v>98.066746055209649</v>
      </c>
      <c r="AA135" s="358">
        <f>Properties!P64*EGR!$L$3</f>
        <v>36.761250000000032</v>
      </c>
      <c r="AB135" s="358">
        <f t="shared" si="13"/>
        <v>92.758691975889661</v>
      </c>
      <c r="AC135" s="358">
        <f>Properties!V64*EGR!$N$3</f>
        <v>4358.3100000000004</v>
      </c>
      <c r="AD135" s="358">
        <f t="shared" si="14"/>
        <v>5798.5256162765745</v>
      </c>
      <c r="AE135" s="358">
        <f t="shared" si="15"/>
        <v>6686.2888500000008</v>
      </c>
      <c r="AF135" s="360">
        <v>3000</v>
      </c>
    </row>
    <row r="136" spans="22:32" x14ac:dyDescent="0.25">
      <c r="V136" s="358">
        <f>'NOx Model (2)'!$F$3*(8.5770134353*(10^-19)*(AF136^6))-(1.0374875556*(10^-14)*(AF136^5))+(4.9689475953*(10^-11)*(AF136^4))-(1.2019118054*(10^-7)*(AF136^3))+(1.5650954893*(10^-4)*(AF136^2))-(4.8239362033*(10^-2)*(AF136))+(5.2084519626)</f>
        <v>4933.9165256155638</v>
      </c>
      <c r="W136" s="358">
        <f>Properties!D65*EGR!$G$3</f>
        <v>1210.4824000000001</v>
      </c>
      <c r="X136" s="358">
        <f>'NOx Model (2)'!$H$3* ((6.6506859177*(10^-19)*(AF136^6)) -(7.8984343104*(10^-15)*(AF136^5))+(3.6879849877*(10^-11)*(AF136^4))-(8.6386228559*(10^-8)*(AF136^3))+(1.1074017861*(10^-4)*(AF136^2))-(3.1241611608*(10^-2)*(AF136))+(3.3006694533))</f>
        <v>1152.2749492600935</v>
      </c>
      <c r="Y136" s="358">
        <f>Properties!J65*EGR!$J$3</f>
        <v>1129.2255</v>
      </c>
      <c r="Z136" s="358">
        <f t="shared" si="12"/>
        <v>100.00601808075474</v>
      </c>
      <c r="AA136" s="358">
        <f>Properties!P65*EGR!$L$3</f>
        <v>37.511250000000032</v>
      </c>
      <c r="AB136" s="358">
        <f t="shared" si="13"/>
        <v>94.557949854750888</v>
      </c>
      <c r="AC136" s="358">
        <f>Properties!V65*EGR!$N$3</f>
        <v>4445.26</v>
      </c>
      <c r="AD136" s="358">
        <f t="shared" si="14"/>
        <v>6280.7554428111634</v>
      </c>
      <c r="AE136" s="358">
        <f t="shared" si="15"/>
        <v>6822.479150000001</v>
      </c>
      <c r="AF136" s="360">
        <v>3050</v>
      </c>
    </row>
    <row r="137" spans="22:32" x14ac:dyDescent="0.25">
      <c r="V137" s="358">
        <f>'NOx Model (2)'!$F$3*(8.5770134353*(10^-19)*(AF137^6))-(1.0374875556*(10^-14)*(AF137^5))+(4.9689475953*(10^-11)*(AF137^4))-(1.2019118054*(10^-7)*(AF137^3))+(1.5650954893*(10^-4)*(AF137^2))-(4.8239362033*(10^-2)*(AF137))+(5.2084519626)</f>
        <v>5426.6041472658244</v>
      </c>
      <c r="W137" s="358">
        <f>Properties!D66*EGR!$G$3</f>
        <v>1234.6936000000001</v>
      </c>
      <c r="X137" s="358">
        <f>'NOx Model (2)'!$H$3* ((6.6506859177*(10^-19)*(AF137^6)) -(7.8984343104*(10^-15)*(AF137^5))+(3.6879849877*(10^-11)*(AF137^4))-(8.6386228559*(10^-8)*(AF137^3))+(1.1074017861*(10^-4)*(AF137^2))-(3.1241611608*(10^-2)*(AF137))+(3.3006694533))</f>
        <v>1176.657956292388</v>
      </c>
      <c r="Y137" s="358">
        <f>Properties!J66*EGR!$J$3</f>
        <v>1153.6695000000002</v>
      </c>
      <c r="Z137" s="358">
        <f t="shared" si="12"/>
        <v>101.94743425078893</v>
      </c>
      <c r="AA137" s="358">
        <f>Properties!P66*EGR!$L$3</f>
        <v>38.257500000000036</v>
      </c>
      <c r="AB137" s="358">
        <f t="shared" si="13"/>
        <v>96.356756144904253</v>
      </c>
      <c r="AC137" s="358">
        <f>Properties!V66*EGR!$N$3</f>
        <v>4532.21</v>
      </c>
      <c r="AD137" s="358">
        <f t="shared" si="14"/>
        <v>6801.5662939539061</v>
      </c>
      <c r="AE137" s="358">
        <f t="shared" si="15"/>
        <v>6958.8306000000011</v>
      </c>
      <c r="AF137" s="360">
        <v>3100</v>
      </c>
    </row>
    <row r="138" spans="22:32" x14ac:dyDescent="0.25">
      <c r="V138" s="358">
        <f>'NOx Model (2)'!$F$3*(8.5770134353*(10^-19)*(AF138^6))-(1.0374875556*(10^-14)*(AF138^5))+(4.9689475953*(10^-11)*(AF138^4))-(1.2019118054*(10^-7)*(AF138^3))+(1.5650954893*(10^-4)*(AF138^2))-(4.8239362033*(10^-2)*(AF138))+(5.2084519626)</f>
        <v>5960.4189071514456</v>
      </c>
      <c r="W138" s="358">
        <f>Properties!D67*EGR!$G$3</f>
        <v>1258.8271999999999</v>
      </c>
      <c r="X138" s="358">
        <f>'NOx Model (2)'!$H$3* ((6.6506859177*(10^-19)*(AF138^6)) -(7.8984343104*(10^-15)*(AF138^5))+(3.6879849877*(10^-11)*(AF138^4))-(8.6386228559*(10^-8)*(AF138^3))+(1.1074017861*(10^-4)*(AF138^2))-(3.1241611608*(10^-2)*(AF138))+(3.3006694533))</f>
        <v>1201.1367842028769</v>
      </c>
      <c r="Y138" s="358">
        <f>Properties!J67*EGR!$J$3</f>
        <v>1178.2008000000001</v>
      </c>
      <c r="Z138" s="358">
        <f t="shared" si="12"/>
        <v>103.89602574155512</v>
      </c>
      <c r="AA138" s="358">
        <f>Properties!P67*EGR!$L$3</f>
        <v>39.011250000000032</v>
      </c>
      <c r="AB138" s="358">
        <f t="shared" si="13"/>
        <v>98.159930181923883</v>
      </c>
      <c r="AC138" s="358">
        <f>Properties!V67*EGR!$N$3</f>
        <v>4619.63</v>
      </c>
      <c r="AD138" s="358">
        <f t="shared" si="14"/>
        <v>7363.6116472778012</v>
      </c>
      <c r="AE138" s="358">
        <f t="shared" si="15"/>
        <v>7095.6692500000008</v>
      </c>
      <c r="AF138" s="360">
        <v>3150</v>
      </c>
    </row>
    <row r="139" spans="22:32" x14ac:dyDescent="0.25">
      <c r="V139" s="358">
        <f>'NOx Model (2)'!$F$3*(8.5770134353*(10^-19)*(AF139^6))-(1.0374875556*(10^-14)*(AF139^5))+(4.9689475953*(10^-11)*(AF139^4))-(1.2019118054*(10^-7)*(AF139^3))+(1.5650954893*(10^-4)*(AF139^2))-(4.8239362033*(10^-2)*(AF139))+(5.2084519626)</f>
        <v>6538.08675672142</v>
      </c>
      <c r="W139" s="358">
        <f>Properties!D68*EGR!$G$3</f>
        <v>1283.0383999999999</v>
      </c>
      <c r="X139" s="358">
        <f>'NOx Model (2)'!$H$3* ((6.6506859177*(10^-19)*(AF139^6)) -(7.8984343104*(10^-15)*(AF139^5))+(3.6879849877*(10^-11)*(AF139^4))-(8.6386228559*(10^-8)*(AF139^3))+(1.1074017861*(10^-4)*(AF139^2))-(3.1241611608*(10^-2)*(AF139))+(3.3006694533))</f>
        <v>1225.7731435131029</v>
      </c>
      <c r="Y139" s="358">
        <f>Properties!J68*EGR!$J$3</f>
        <v>1202.7321000000002</v>
      </c>
      <c r="Z139" s="358">
        <f t="shared" si="12"/>
        <v>105.8582514136349</v>
      </c>
      <c r="AA139" s="358">
        <f>Properties!P68*EGR!$L$3</f>
        <v>39.761250000000032</v>
      </c>
      <c r="AB139" s="358">
        <f t="shared" si="13"/>
        <v>99.973637943797371</v>
      </c>
      <c r="AC139" s="358">
        <f>Properties!V68*EGR!$N$3</f>
        <v>4706.58</v>
      </c>
      <c r="AD139" s="358">
        <f t="shared" si="14"/>
        <v>7969.6917895919551</v>
      </c>
      <c r="AE139" s="358">
        <f t="shared" si="15"/>
        <v>7232.11175</v>
      </c>
      <c r="AF139" s="360">
        <v>3200</v>
      </c>
    </row>
    <row r="140" spans="22:32" x14ac:dyDescent="0.25">
      <c r="V140" s="358">
        <f>'NOx Model (2)'!$F$3*(8.5770134353*(10^-19)*(AF140^6))-(1.0374875556*(10^-14)*(AF140^5))+(4.9689475953*(10^-11)*(AF140^4))-(1.2019118054*(10^-7)*(AF140^3))+(1.5650954893*(10^-4)*(AF140^2))-(4.8239362033*(10^-2)*(AF140))+(5.2084519626)</f>
        <v>7162.4682607904688</v>
      </c>
      <c r="W140" s="358">
        <f>Properties!D69*EGR!$G$3</f>
        <v>1307.2496000000001</v>
      </c>
      <c r="X140" s="358">
        <f>'NOx Model (2)'!$H$3* ((6.6506859177*(10^-19)*(AF140^6)) -(7.8984343104*(10^-15)*(AF140^5))+(3.6879849877*(10^-11)*(AF140^4))-(8.6386228559*(10^-8)*(AF140^3))+(1.1074017861*(10^-4)*(AF140^2))-(3.1241611608*(10^-2)*(AF140))+(3.3006694533))</f>
        <v>1250.6440810411618</v>
      </c>
      <c r="Y140" s="358">
        <f>Properties!J69*EGR!$J$3</f>
        <v>1227.3507000000002</v>
      </c>
      <c r="Z140" s="358">
        <f t="shared" si="12"/>
        <v>107.84216120795243</v>
      </c>
      <c r="AA140" s="358">
        <f>Properties!P69*EGR!$L$3</f>
        <v>40.518750000000033</v>
      </c>
      <c r="AB140" s="358">
        <f t="shared" si="13"/>
        <v>101.80554321511954</v>
      </c>
      <c r="AC140" s="358">
        <f>Properties!V69*EGR!$N$3</f>
        <v>4794</v>
      </c>
      <c r="AD140" s="358">
        <f t="shared" si="14"/>
        <v>8622.7600462547034</v>
      </c>
      <c r="AE140" s="358">
        <f t="shared" si="15"/>
        <v>7369.1190500000002</v>
      </c>
      <c r="AF140" s="360">
        <v>3250</v>
      </c>
    </row>
    <row r="141" spans="22:32" x14ac:dyDescent="0.25">
      <c r="V141" s="358">
        <f>'NOx Model (2)'!$F$3*(8.5770134353*(10^-19)*(AF141^6))-(1.0374875556*(10^-14)*(AF141^5))+(4.9689475953*(10^-11)*(AF141^4))-(1.2019118054*(10^-7)*(AF141^3))+(1.5650954893*(10^-4)*(AF141^2))-(4.8239362033*(10^-2)*(AF141))+(5.2084519626)</f>
        <v>7836.5630612267578</v>
      </c>
      <c r="W141" s="358">
        <f>Properties!D70*EGR!$G$3</f>
        <v>1331.5383999999999</v>
      </c>
      <c r="X141" s="358">
        <f>'NOx Model (2)'!$H$3* ((6.6506859177*(10^-19)*(AF141^6)) -(7.8984343104*(10^-15)*(AF141^5))+(3.6879849877*(10^-11)*(AF141^4))-(8.6386228559*(10^-8)*(AF141^3))+(1.1074017861*(10^-4)*(AF141^2))-(3.1241611608*(10^-2)*(AF141))+(3.3006694533))</f>
        <v>1275.8435740529833</v>
      </c>
      <c r="Y141" s="358">
        <f>Properties!J70*EGR!$J$3</f>
        <v>1252.0565999999999</v>
      </c>
      <c r="Z141" s="358">
        <f t="shared" si="12"/>
        <v>109.85756684958972</v>
      </c>
      <c r="AA141" s="358">
        <f>Properties!P70*EGR!$L$3</f>
        <v>41.272500000000036</v>
      </c>
      <c r="AB141" s="358">
        <f t="shared" si="13"/>
        <v>103.6649654311701</v>
      </c>
      <c r="AC141" s="358">
        <f>Properties!V70*EGR!$N$3</f>
        <v>4881.42</v>
      </c>
      <c r="AD141" s="358">
        <f t="shared" si="14"/>
        <v>9325.9291675605018</v>
      </c>
      <c r="AE141" s="358">
        <f t="shared" si="15"/>
        <v>7506.2875000000004</v>
      </c>
      <c r="AF141" s="360">
        <v>3300</v>
      </c>
    </row>
    <row r="142" spans="22:32" x14ac:dyDescent="0.25">
      <c r="V142" s="358">
        <f>'NOx Model (2)'!$F$3*(8.5770134353*(10^-19)*(AF142^6))-(1.0374875556*(10^-14)*(AF142^5))+(4.9689475953*(10^-11)*(AF142^4))-(1.2019118054*(10^-7)*(AF142^3))+(1.5650954893*(10^-4)*(AF142^2))-(4.8239362033*(10^-2)*(AF142))+(5.2084519626)</f>
        <v>8563.5144170608055</v>
      </c>
      <c r="W142" s="358">
        <f>Properties!D71*EGR!$G$3</f>
        <v>1355.8271999999999</v>
      </c>
      <c r="X142" s="358">
        <f>'NOx Model (2)'!$H$3* ((6.6506859177*(10^-19)*(AF142^6)) -(7.8984343104*(10^-15)*(AF142^5))+(3.6879849877*(10^-11)*(AF142^4))-(8.6386228559*(10^-8)*(AF142^3))+(1.1074017861*(10^-4)*(AF142^2))-(3.1241611608*(10^-2)*(AF142))+(3.3006694533))</f>
        <v>1301.4841910784005</v>
      </c>
      <c r="Y142" s="358">
        <f>Properties!J71*EGR!$J$3</f>
        <v>1276.7625</v>
      </c>
      <c r="Z142" s="358">
        <f t="shared" si="12"/>
        <v>111.91621985940873</v>
      </c>
      <c r="AA142" s="358">
        <f>Properties!P71*EGR!$L$3</f>
        <v>42.030000000000037</v>
      </c>
      <c r="AB142" s="358">
        <f t="shared" si="13"/>
        <v>105.56304420185596</v>
      </c>
      <c r="AC142" s="358">
        <f>Properties!V71*EGR!$N$3</f>
        <v>4968.84</v>
      </c>
      <c r="AD142" s="358">
        <f t="shared" si="14"/>
        <v>10082.47787220047</v>
      </c>
      <c r="AE142" s="358">
        <f t="shared" si="15"/>
        <v>7643.4597000000003</v>
      </c>
      <c r="AF142" s="360">
        <v>3350</v>
      </c>
    </row>
    <row r="143" spans="22:32" x14ac:dyDescent="0.25">
      <c r="V143" s="358">
        <f>'NOx Model (2)'!$F$3*(8.5770134353*(10^-19)*(AF143^6))-(1.0374875556*(10^-14)*(AF143^5))+(4.9689475953*(10^-11)*(AF143^4))-(1.2019118054*(10^-7)*(AF143^3))+(1.5650954893*(10^-4)*(AF143^2))-(4.8239362033*(10^-2)*(AF143))+(5.2084519626)</f>
        <v>9346.6138210155787</v>
      </c>
      <c r="W143" s="358">
        <f>Properties!D72*EGR!$G$3</f>
        <v>1380.0383999999999</v>
      </c>
      <c r="X143" s="358">
        <f>'NOx Model (2)'!$H$3* ((6.6506859177*(10^-19)*(AF143^6)) -(7.8984343104*(10^-15)*(AF143^5))+(3.6879849877*(10^-11)*(AF143^4))-(8.6386228559*(10^-8)*(AF143^3))+(1.1074017861*(10^-4)*(AF143^2))-(3.1241611608*(10^-2)*(AF143))+(3.3006694533))</f>
        <v>1327.6988193920301</v>
      </c>
      <c r="Y143" s="358">
        <f>Properties!J72*EGR!$J$3</f>
        <v>1301.5557000000001</v>
      </c>
      <c r="Z143" s="358">
        <f t="shared" si="12"/>
        <v>114.03199687348022</v>
      </c>
      <c r="AA143" s="358">
        <f>Properties!P72*EGR!$L$3</f>
        <v>42.791250000000041</v>
      </c>
      <c r="AB143" s="358">
        <f t="shared" si="13"/>
        <v>107.51291051552275</v>
      </c>
      <c r="AC143" s="358">
        <f>Properties!V72*EGR!$N$3</f>
        <v>5056.26</v>
      </c>
      <c r="AD143" s="358">
        <f t="shared" si="14"/>
        <v>10895.857547796611</v>
      </c>
      <c r="AE143" s="358">
        <f t="shared" si="15"/>
        <v>7780.6453500000007</v>
      </c>
      <c r="AF143" s="360">
        <v>3400</v>
      </c>
    </row>
    <row r="144" spans="22:32" x14ac:dyDescent="0.25">
      <c r="V144" s="358">
        <f>'NOx Model (2)'!$F$3*(8.5770134353*(10^-19)*(AF144^6))-(1.0374875556*(10^-14)*(AF144^5))+(4.9689475953*(10^-11)*(AF144^4))-(1.2019118054*(10^-7)*(AF144^3))+(1.5650954893*(10^-4)*(AF144^2))-(4.8239362033*(10^-2)*(AF144))+(5.2084519626)</f>
        <v>10189.305692457749</v>
      </c>
      <c r="W144" s="358">
        <f>Properties!D73*EGR!$G$3</f>
        <v>1404.4047999999998</v>
      </c>
      <c r="X144" s="358">
        <f>'NOx Model (2)'!$H$3* ((6.6506859177*(10^-19)*(AF144^6)) -(7.8984343104*(10^-15)*(AF144^5))+(3.6879849877*(10^-11)*(AF144^4))-(8.6386228559*(10^-8)*(AF144^3))+(1.1074017861*(10^-4)*(AF144^2))-(3.1241611608*(10^-2)*(AF144))+(3.3006694533))</f>
        <v>1354.6424591589596</v>
      </c>
      <c r="Y144" s="358">
        <f>Properties!J73*EGR!$J$3</f>
        <v>1326.4362000000001</v>
      </c>
      <c r="Z144" s="358">
        <f t="shared" si="12"/>
        <v>116.22109227031549</v>
      </c>
      <c r="AA144" s="358">
        <f>Properties!P73*EGR!$L$3</f>
        <v>43.548750000000034</v>
      </c>
      <c r="AB144" s="358">
        <f t="shared" si="13"/>
        <v>109.52986462263968</v>
      </c>
      <c r="AC144" s="358">
        <f>Properties!V73*EGR!$N$3</f>
        <v>5144.1500000000005</v>
      </c>
      <c r="AD144" s="358">
        <f t="shared" si="14"/>
        <v>11769.699108509665</v>
      </c>
      <c r="AE144" s="358">
        <f t="shared" si="15"/>
        <v>7918.5397499999999</v>
      </c>
      <c r="AF144" s="360">
        <v>3450</v>
      </c>
    </row>
    <row r="145" spans="22:32" x14ac:dyDescent="0.25">
      <c r="V145" s="358">
        <f>'NOx Model (2)'!$F$3*(8.5770134353*(10^-19)*(AF145^6))-(1.0374875556*(10^-14)*(AF145^5))+(4.9689475953*(10^-11)*(AF145^4))-(1.2019118054*(10^-7)*(AF145^3))+(1.5650954893*(10^-4)*(AF145^2))-(4.8239362033*(10^-2)*(AF145))+(5.2084519626)</f>
        <v>11095.192146770207</v>
      </c>
      <c r="W145" s="358">
        <f>Properties!D74*EGR!$G$3</f>
        <v>1428.6936000000001</v>
      </c>
      <c r="X145" s="358">
        <f>'NOx Model (2)'!$H$3* ((6.6506859177*(10^-19)*(AF145^6)) -(7.8984343104*(10^-15)*(AF145^5))+(3.6879849877*(10^-11)*(AF145^4))-(8.6386228559*(10^-8)*(AF145^3))+(1.1074017861*(10^-4)*(AF145^2))-(3.1241611608*(10^-2)*(AF145))+(3.3006694533))</f>
        <v>1382.4940842452793</v>
      </c>
      <c r="Y145" s="358">
        <f>Properties!J74*EGR!$J$3</f>
        <v>1351.3167000000001</v>
      </c>
      <c r="Z145" s="358">
        <f t="shared" si="12"/>
        <v>118.50221810591856</v>
      </c>
      <c r="AA145" s="358">
        <f>Properties!P74*EGR!$L$3</f>
        <v>44.313750000000041</v>
      </c>
      <c r="AB145" s="358">
        <f t="shared" si="13"/>
        <v>111.63156059934643</v>
      </c>
      <c r="AC145" s="358">
        <f>Properties!V74*EGR!$N$3</f>
        <v>5231.57</v>
      </c>
      <c r="AD145" s="358">
        <f t="shared" si="14"/>
        <v>12707.820009720752</v>
      </c>
      <c r="AE145" s="358">
        <f t="shared" si="15"/>
        <v>8055.8940499999999</v>
      </c>
      <c r="AF145" s="360">
        <v>3500</v>
      </c>
    </row>
  </sheetData>
  <mergeCells count="24">
    <mergeCell ref="AF5:AG5"/>
    <mergeCell ref="V75:AF75"/>
    <mergeCell ref="V76:W76"/>
    <mergeCell ref="X76:Y76"/>
    <mergeCell ref="Z76:AA76"/>
    <mergeCell ref="AB76:AC76"/>
    <mergeCell ref="AD76:AE76"/>
    <mergeCell ref="U13:X13"/>
    <mergeCell ref="AA9:AB10"/>
    <mergeCell ref="Y8:Z8"/>
    <mergeCell ref="Y10:Z10"/>
    <mergeCell ref="AA11:AB11"/>
    <mergeCell ref="AC5:AE5"/>
    <mergeCell ref="L6:M6"/>
    <mergeCell ref="B5:N5"/>
    <mergeCell ref="Y5:AB5"/>
    <mergeCell ref="Y6:Z6"/>
    <mergeCell ref="AA6:AB6"/>
    <mergeCell ref="R9:S10"/>
    <mergeCell ref="B6:C6"/>
    <mergeCell ref="A1:AA1"/>
    <mergeCell ref="D6:E6"/>
    <mergeCell ref="G6:H6"/>
    <mergeCell ref="J6:K6"/>
  </mergeCells>
  <dataValidations count="1">
    <dataValidation type="list" allowBlank="1" showInputMessage="1" showErrorMessage="1" sqref="D3" xr:uid="{F61B34B3-C8EC-4E0A-AB11-566F53733701}">
      <formula1>$A$70:$A$80</formula1>
    </dataValidation>
  </dataValidations>
  <pageMargins left="0.7" right="0.7" top="0.75" bottom="0.75" header="0.3" footer="0.3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8E7678F-20EA-46F7-B1AE-7771C5228030}">
          <x14:formula1>
            <xm:f>'NOx Model (1)'!$A$3:$A$8</xm:f>
          </x14:formula1>
          <xm:sqref>B3</xm:sqref>
        </x14:dataValidation>
        <x14:dataValidation type="list" allowBlank="1" showInputMessage="1" showErrorMessage="1" xr:uid="{5D4328E4-0E8C-4689-AEE9-1D3F7F8CE123}">
          <x14:formula1>
            <xm:f>'NOx Model (1)'!$O$4:$O$16</xm:f>
          </x14:formula1>
          <xm:sqref>C3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01C74-EF02-4061-A998-315CCE1DF985}">
  <sheetPr>
    <tabColor rgb="FFFF0000"/>
  </sheetPr>
  <dimension ref="A1:AR77"/>
  <sheetViews>
    <sheetView zoomScaleNormal="100" workbookViewId="0">
      <selection activeCell="M34" sqref="M34"/>
    </sheetView>
  </sheetViews>
  <sheetFormatPr defaultRowHeight="15" x14ac:dyDescent="0.25"/>
  <cols>
    <col min="1" max="4" width="9.140625" style="24"/>
    <col min="5" max="5" width="7.140625" style="24" bestFit="1" customWidth="1"/>
    <col min="6" max="9" width="9.140625" style="24"/>
    <col min="10" max="10" width="7.140625" style="24" bestFit="1" customWidth="1"/>
    <col min="11" max="14" width="9.140625" style="24"/>
    <col min="15" max="15" width="7.140625" style="24" bestFit="1" customWidth="1"/>
    <col min="16" max="16384" width="9.140625" style="24"/>
  </cols>
  <sheetData>
    <row r="1" spans="1:44" ht="15.75" thickBot="1" x14ac:dyDescent="0.3"/>
    <row r="2" spans="1:44" ht="16.5" thickBot="1" x14ac:dyDescent="0.3">
      <c r="P2" s="580" t="s">
        <v>136</v>
      </c>
      <c r="Q2" s="581"/>
      <c r="R2" s="581"/>
      <c r="S2" s="582"/>
      <c r="U2" s="580" t="s">
        <v>12</v>
      </c>
      <c r="V2" s="581"/>
      <c r="W2" s="581"/>
      <c r="X2" s="582"/>
      <c r="Z2" s="580" t="s">
        <v>92</v>
      </c>
      <c r="AA2" s="581"/>
      <c r="AB2" s="581"/>
      <c r="AC2" s="582"/>
      <c r="AE2" s="580" t="s">
        <v>69</v>
      </c>
      <c r="AF2" s="581"/>
      <c r="AG2" s="581"/>
      <c r="AH2" s="582"/>
      <c r="AJ2" s="580" t="s">
        <v>67</v>
      </c>
      <c r="AK2" s="581"/>
      <c r="AL2" s="581"/>
      <c r="AM2" s="582"/>
      <c r="AO2" s="580" t="s">
        <v>9</v>
      </c>
      <c r="AP2" s="581"/>
      <c r="AQ2" s="581"/>
      <c r="AR2" s="582"/>
    </row>
    <row r="3" spans="1:44" ht="15.75" thickBot="1" x14ac:dyDescent="0.3">
      <c r="A3" s="577" t="s">
        <v>136</v>
      </c>
      <c r="B3" s="578"/>
      <c r="C3" s="578"/>
      <c r="D3" s="579"/>
      <c r="G3" s="577" t="s">
        <v>12</v>
      </c>
      <c r="H3" s="578"/>
      <c r="I3" s="579"/>
      <c r="L3" s="577" t="s">
        <v>92</v>
      </c>
      <c r="M3" s="578"/>
      <c r="N3" s="579"/>
      <c r="P3" s="539" t="s">
        <v>218</v>
      </c>
      <c r="Q3" s="540"/>
      <c r="R3" s="539" t="s">
        <v>220</v>
      </c>
      <c r="S3" s="540"/>
      <c r="U3" s="539" t="s">
        <v>218</v>
      </c>
      <c r="V3" s="540"/>
      <c r="W3" s="539" t="s">
        <v>220</v>
      </c>
      <c r="X3" s="540"/>
      <c r="Z3" s="539" t="s">
        <v>218</v>
      </c>
      <c r="AA3" s="540"/>
      <c r="AB3" s="539" t="s">
        <v>220</v>
      </c>
      <c r="AC3" s="540"/>
      <c r="AE3" s="539" t="s">
        <v>218</v>
      </c>
      <c r="AF3" s="540"/>
      <c r="AG3" s="539" t="s">
        <v>220</v>
      </c>
      <c r="AH3" s="540"/>
      <c r="AJ3" s="539" t="s">
        <v>218</v>
      </c>
      <c r="AK3" s="540"/>
      <c r="AL3" s="539" t="s">
        <v>220</v>
      </c>
      <c r="AM3" s="540"/>
      <c r="AO3" s="539" t="s">
        <v>218</v>
      </c>
      <c r="AP3" s="540"/>
      <c r="AQ3" s="539" t="s">
        <v>220</v>
      </c>
      <c r="AR3" s="540"/>
    </row>
    <row r="4" spans="1:44" ht="15.75" thickBot="1" x14ac:dyDescent="0.3">
      <c r="A4" s="291" t="s">
        <v>141</v>
      </c>
      <c r="B4" s="400" t="s">
        <v>219</v>
      </c>
      <c r="C4" s="400" t="s">
        <v>205</v>
      </c>
      <c r="D4" s="292" t="s">
        <v>239</v>
      </c>
      <c r="G4" s="353" t="s">
        <v>141</v>
      </c>
      <c r="H4" s="354" t="s">
        <v>219</v>
      </c>
      <c r="I4" s="355" t="s">
        <v>205</v>
      </c>
      <c r="L4" s="353" t="s">
        <v>141</v>
      </c>
      <c r="M4" s="354" t="s">
        <v>219</v>
      </c>
      <c r="N4" s="355" t="s">
        <v>205</v>
      </c>
      <c r="P4" s="291" t="s">
        <v>141</v>
      </c>
      <c r="Q4" s="292" t="s">
        <v>205</v>
      </c>
      <c r="R4" s="291" t="s">
        <v>141</v>
      </c>
      <c r="S4" s="292" t="s">
        <v>205</v>
      </c>
      <c r="U4" s="291" t="s">
        <v>141</v>
      </c>
      <c r="V4" s="292" t="s">
        <v>205</v>
      </c>
      <c r="W4" s="291" t="s">
        <v>141</v>
      </c>
      <c r="X4" s="292" t="s">
        <v>205</v>
      </c>
      <c r="Z4" s="291" t="s">
        <v>141</v>
      </c>
      <c r="AA4" s="292" t="s">
        <v>205</v>
      </c>
      <c r="AB4" s="291" t="s">
        <v>141</v>
      </c>
      <c r="AC4" s="292" t="s">
        <v>205</v>
      </c>
      <c r="AE4" s="291" t="s">
        <v>141</v>
      </c>
      <c r="AF4" s="292" t="s">
        <v>205</v>
      </c>
      <c r="AG4" s="291" t="s">
        <v>141</v>
      </c>
      <c r="AH4" s="292" t="s">
        <v>205</v>
      </c>
      <c r="AJ4" s="291" t="s">
        <v>141</v>
      </c>
      <c r="AK4" s="292" t="s">
        <v>205</v>
      </c>
      <c r="AL4" s="291" t="s">
        <v>141</v>
      </c>
      <c r="AM4" s="292" t="s">
        <v>205</v>
      </c>
      <c r="AO4" s="291" t="s">
        <v>141</v>
      </c>
      <c r="AP4" s="292" t="s">
        <v>205</v>
      </c>
      <c r="AQ4" s="291" t="s">
        <v>141</v>
      </c>
      <c r="AR4" s="292" t="s">
        <v>205</v>
      </c>
    </row>
    <row r="5" spans="1:44" x14ac:dyDescent="0.25">
      <c r="A5" s="287">
        <v>0.97</v>
      </c>
      <c r="B5" s="356">
        <v>0</v>
      </c>
      <c r="C5" s="377">
        <v>26331.334821821176</v>
      </c>
      <c r="D5" s="288">
        <v>2343.0754100788636</v>
      </c>
      <c r="E5" s="397">
        <v>0</v>
      </c>
      <c r="G5" s="287">
        <v>0.97</v>
      </c>
      <c r="H5" s="356">
        <v>0</v>
      </c>
      <c r="I5" s="390">
        <v>384.29817277107122</v>
      </c>
      <c r="J5" s="396">
        <v>0</v>
      </c>
      <c r="L5" s="287">
        <v>0.97</v>
      </c>
      <c r="M5" s="356">
        <v>0</v>
      </c>
      <c r="N5" s="390">
        <v>2583.8346966544</v>
      </c>
      <c r="O5" s="396">
        <v>0</v>
      </c>
      <c r="P5" s="392">
        <v>0.6</v>
      </c>
      <c r="Q5" s="288">
        <v>2.9901756186531987</v>
      </c>
      <c r="R5" s="287">
        <v>0.6</v>
      </c>
      <c r="S5" s="288">
        <v>0.89518676529168473</v>
      </c>
      <c r="U5" s="287">
        <v>0.6</v>
      </c>
      <c r="V5" s="288">
        <v>2.5339776380690009E-2</v>
      </c>
      <c r="W5" s="287">
        <v>0.6</v>
      </c>
      <c r="X5" s="288">
        <v>6.7343281332168017E-3</v>
      </c>
      <c r="Z5" s="287">
        <v>0.6</v>
      </c>
      <c r="AA5" s="288">
        <v>0.21093884868032886</v>
      </c>
      <c r="AB5" s="287">
        <v>0.6</v>
      </c>
      <c r="AC5" s="288">
        <v>5.8978370989998058E-2</v>
      </c>
      <c r="AE5" s="287">
        <v>0.6</v>
      </c>
      <c r="AF5" s="288">
        <v>3.2917277603745196</v>
      </c>
      <c r="AG5" s="287">
        <v>0.6</v>
      </c>
      <c r="AH5" s="288">
        <v>0.98909878086852476</v>
      </c>
      <c r="AJ5" s="287">
        <v>0.6</v>
      </c>
      <c r="AK5" s="288">
        <v>2.9475377039769914</v>
      </c>
      <c r="AL5" s="287">
        <v>0.6</v>
      </c>
      <c r="AM5" s="288">
        <v>0.88368598999211911</v>
      </c>
      <c r="AO5" s="287">
        <v>0.6</v>
      </c>
      <c r="AP5" s="288">
        <v>39.81059320427417</v>
      </c>
      <c r="AQ5" s="287">
        <v>0.6</v>
      </c>
      <c r="AR5" s="288">
        <v>13.01515047339981</v>
      </c>
    </row>
    <row r="6" spans="1:44" x14ac:dyDescent="0.25">
      <c r="A6" s="287">
        <v>0.97</v>
      </c>
      <c r="B6" s="356">
        <v>0.05</v>
      </c>
      <c r="C6" s="377">
        <v>10217.116792612791</v>
      </c>
      <c r="D6" s="288">
        <v>2255.336892930125</v>
      </c>
      <c r="E6" s="398">
        <f>(($C$5-C6)/$C$5)</f>
        <v>0.61197877503172715</v>
      </c>
      <c r="G6" s="287">
        <v>0.97</v>
      </c>
      <c r="H6" s="356">
        <v>0.05</v>
      </c>
      <c r="I6" s="390">
        <v>131.81882053048372</v>
      </c>
      <c r="J6" s="394">
        <f>(($I$5-I6)/$I$5)</f>
        <v>0.65698816733898702</v>
      </c>
      <c r="L6" s="287">
        <v>0.97</v>
      </c>
      <c r="M6" s="356">
        <v>0.05</v>
      </c>
      <c r="N6" s="390">
        <v>934.10654954521124</v>
      </c>
      <c r="O6" s="394">
        <f>(($N$5-N6)/$N$5)</f>
        <v>0.63848053021553164</v>
      </c>
      <c r="P6" s="392">
        <v>0.65</v>
      </c>
      <c r="Q6" s="288">
        <v>16.820956525324302</v>
      </c>
      <c r="R6" s="287">
        <v>0.65</v>
      </c>
      <c r="S6" s="288">
        <v>5.2889164450455768</v>
      </c>
      <c r="U6" s="287">
        <v>0.65</v>
      </c>
      <c r="V6" s="288">
        <v>0.15473672718727743</v>
      </c>
      <c r="W6" s="287">
        <v>0.65</v>
      </c>
      <c r="X6" s="288">
        <v>4.3100066695266684E-2</v>
      </c>
      <c r="Z6" s="287">
        <v>0.65</v>
      </c>
      <c r="AA6" s="288">
        <v>1.2451477026738171</v>
      </c>
      <c r="AB6" s="287">
        <v>0.65</v>
      </c>
      <c r="AC6" s="288">
        <v>0.36595600867116046</v>
      </c>
      <c r="AE6" s="287">
        <v>0.65</v>
      </c>
      <c r="AF6" s="288">
        <v>18.254341539320691</v>
      </c>
      <c r="AG6" s="287">
        <v>0.65</v>
      </c>
      <c r="AH6" s="288">
        <v>5.7601293998461998</v>
      </c>
      <c r="AJ6" s="287">
        <v>0.65</v>
      </c>
      <c r="AK6" s="288">
        <v>16.304182409662968</v>
      </c>
      <c r="AL6" s="287">
        <v>0.65</v>
      </c>
      <c r="AM6" s="288">
        <v>5.1324278641592578</v>
      </c>
      <c r="AO6" s="287">
        <v>0.65</v>
      </c>
      <c r="AP6" s="288">
        <v>173.08558687635266</v>
      </c>
      <c r="AQ6" s="287">
        <v>0.65</v>
      </c>
      <c r="AR6" s="288">
        <v>59.217087919808826</v>
      </c>
    </row>
    <row r="7" spans="1:44" x14ac:dyDescent="0.25">
      <c r="A7" s="287">
        <v>0.97</v>
      </c>
      <c r="B7" s="356">
        <v>0.1</v>
      </c>
      <c r="C7" s="377">
        <v>4023.3435602660338</v>
      </c>
      <c r="D7" s="288">
        <v>2175.0889952996217</v>
      </c>
      <c r="E7" s="398">
        <f t="shared" ref="E7:E15" si="0">(($C$5-C7)/$C$5)</f>
        <v>0.8472032053258528</v>
      </c>
      <c r="G7" s="287">
        <v>0.97</v>
      </c>
      <c r="H7" s="356">
        <v>0.1</v>
      </c>
      <c r="I7" s="390">
        <v>46.114424524725841</v>
      </c>
      <c r="J7" s="394">
        <f t="shared" ref="J7:J15" si="1">(($I$5-I7)/$I$5)</f>
        <v>0.88000352905087453</v>
      </c>
      <c r="L7" s="287">
        <v>0.97</v>
      </c>
      <c r="M7" s="356">
        <v>0.1</v>
      </c>
      <c r="N7" s="390">
        <v>344.26310938796178</v>
      </c>
      <c r="O7" s="394">
        <f t="shared" ref="O7:O15" si="2">(($N$5-N7)/$N$5)</f>
        <v>0.86676271905717484</v>
      </c>
      <c r="P7" s="392">
        <v>0.7</v>
      </c>
      <c r="Q7" s="288">
        <v>75.31041191414873</v>
      </c>
      <c r="R7" s="287">
        <v>0.7</v>
      </c>
      <c r="S7" s="288">
        <v>24.822599676160031</v>
      </c>
      <c r="U7" s="287">
        <v>0.7</v>
      </c>
      <c r="V7" s="288">
        <v>0.74382619889850932</v>
      </c>
      <c r="W7" s="287">
        <v>0.7</v>
      </c>
      <c r="X7" s="288">
        <v>0.21714066530848367</v>
      </c>
      <c r="Z7" s="287">
        <v>0.7</v>
      </c>
      <c r="AA7" s="288">
        <v>5.837406308298533</v>
      </c>
      <c r="AB7" s="287">
        <v>0.7</v>
      </c>
      <c r="AC7" s="288">
        <v>1.793166419172153</v>
      </c>
      <c r="AE7" s="287">
        <v>0.7</v>
      </c>
      <c r="AF7" s="288">
        <v>80.667748503278617</v>
      </c>
      <c r="AG7" s="287">
        <v>0.7</v>
      </c>
      <c r="AH7" s="288">
        <v>26.666426457787246</v>
      </c>
      <c r="AJ7" s="287">
        <v>0.7</v>
      </c>
      <c r="AK7" s="288">
        <v>71.868211372304543</v>
      </c>
      <c r="AL7" s="287">
        <v>0.7</v>
      </c>
      <c r="AM7" s="288">
        <v>23.709604180046632</v>
      </c>
      <c r="AO7" s="287">
        <v>0.7</v>
      </c>
      <c r="AP7" s="288">
        <v>614.95164669544511</v>
      </c>
      <c r="AQ7" s="287">
        <v>0.7</v>
      </c>
      <c r="AR7" s="288">
        <v>218.99404822668743</v>
      </c>
    </row>
    <row r="8" spans="1:44" x14ac:dyDescent="0.25">
      <c r="A8" s="287">
        <v>0.97</v>
      </c>
      <c r="B8" s="356">
        <v>0.15</v>
      </c>
      <c r="C8" s="377">
        <v>1612.7537684441434</v>
      </c>
      <c r="D8" s="288">
        <v>2101.6769853619498</v>
      </c>
      <c r="E8" s="398">
        <f t="shared" si="0"/>
        <v>0.9387515376885629</v>
      </c>
      <c r="G8" s="287">
        <v>0.97</v>
      </c>
      <c r="H8" s="356">
        <v>0.15</v>
      </c>
      <c r="I8" s="390">
        <v>16.444790169637763</v>
      </c>
      <c r="J8" s="394">
        <f t="shared" si="1"/>
        <v>0.95720825303160095</v>
      </c>
      <c r="L8" s="287">
        <v>0.97</v>
      </c>
      <c r="M8" s="356">
        <v>0.15</v>
      </c>
      <c r="N8" s="390">
        <v>129.23525576515806</v>
      </c>
      <c r="O8" s="394">
        <f t="shared" si="2"/>
        <v>0.94998315645637299</v>
      </c>
      <c r="P8" s="392">
        <v>0.75</v>
      </c>
      <c r="Q8" s="288">
        <v>278.55349505198706</v>
      </c>
      <c r="R8" s="287">
        <v>0.75</v>
      </c>
      <c r="S8" s="288">
        <v>95.508799218768289</v>
      </c>
      <c r="U8" s="287">
        <v>0.75</v>
      </c>
      <c r="V8" s="288">
        <v>2.9326531224960055</v>
      </c>
      <c r="W8" s="287">
        <v>0.75</v>
      </c>
      <c r="X8" s="288">
        <v>0.89109936223095498</v>
      </c>
      <c r="Z8" s="287">
        <v>0.75</v>
      </c>
      <c r="AA8" s="288">
        <v>22.471486265917626</v>
      </c>
      <c r="AB8" s="287">
        <v>0.75</v>
      </c>
      <c r="AC8" s="288">
        <v>7.1996003025423105</v>
      </c>
      <c r="AE8" s="287">
        <v>0.75</v>
      </c>
      <c r="AF8" s="288">
        <v>294.7766573663842</v>
      </c>
      <c r="AG8" s="287">
        <v>0.75</v>
      </c>
      <c r="AH8" s="288">
        <v>101.38897763230861</v>
      </c>
      <c r="AJ8" s="287">
        <v>0.75</v>
      </c>
      <c r="AK8" s="288">
        <v>261.97311126752163</v>
      </c>
      <c r="AL8" s="287">
        <v>0.75</v>
      </c>
      <c r="AM8" s="288">
        <v>89.874636052293482</v>
      </c>
      <c r="AO8" s="287">
        <v>0.75</v>
      </c>
      <c r="AP8" s="288">
        <v>1836.9083751724568</v>
      </c>
      <c r="AQ8" s="287">
        <v>0.75</v>
      </c>
      <c r="AR8" s="288">
        <v>678.85249144340355</v>
      </c>
    </row>
    <row r="9" spans="1:44" x14ac:dyDescent="0.25">
      <c r="A9" s="287">
        <v>0.97</v>
      </c>
      <c r="B9" s="356">
        <v>0.2</v>
      </c>
      <c r="C9" s="377">
        <v>654.4624263879324</v>
      </c>
      <c r="D9" s="288">
        <v>2033.9024048753352</v>
      </c>
      <c r="E9" s="398">
        <f t="shared" si="0"/>
        <v>0.9751451101580475</v>
      </c>
      <c r="G9" s="287">
        <v>0.97</v>
      </c>
      <c r="H9" s="356">
        <v>0.2</v>
      </c>
      <c r="I9" s="390">
        <v>5.9767777691670148</v>
      </c>
      <c r="J9" s="394">
        <f t="shared" si="1"/>
        <v>0.98444755090540748</v>
      </c>
      <c r="L9" s="287">
        <v>0.97</v>
      </c>
      <c r="M9" s="356">
        <v>0.2</v>
      </c>
      <c r="N9" s="390">
        <v>49.325001099304508</v>
      </c>
      <c r="O9" s="394">
        <f t="shared" si="2"/>
        <v>0.98091015607028897</v>
      </c>
      <c r="P9" s="392">
        <v>0.8</v>
      </c>
      <c r="Q9" s="288">
        <v>869.45475753681455</v>
      </c>
      <c r="R9" s="287">
        <v>0.8</v>
      </c>
      <c r="S9" s="288">
        <v>309.28953235019912</v>
      </c>
      <c r="U9" s="287">
        <v>0.8</v>
      </c>
      <c r="V9" s="288">
        <v>9.6982773733929601</v>
      </c>
      <c r="W9" s="287">
        <v>0.8</v>
      </c>
      <c r="X9" s="288">
        <v>3.0535926996572025</v>
      </c>
      <c r="Z9" s="287">
        <v>0.8</v>
      </c>
      <c r="AA9" s="288">
        <v>72.568199321782643</v>
      </c>
      <c r="AB9" s="287">
        <v>0.8</v>
      </c>
      <c r="AC9" s="288">
        <v>24.135994537333239</v>
      </c>
      <c r="AE9" s="287">
        <v>0.8</v>
      </c>
      <c r="AF9" s="288">
        <v>909.83832958773849</v>
      </c>
      <c r="AG9" s="287">
        <v>0.8</v>
      </c>
      <c r="AH9" s="288">
        <v>324.58214396930077</v>
      </c>
      <c r="AJ9" s="287">
        <v>0.8</v>
      </c>
      <c r="AK9" s="288">
        <v>806.59286050299681</v>
      </c>
      <c r="AL9" s="287">
        <v>0.8</v>
      </c>
      <c r="AM9" s="288">
        <v>287.02935360719385</v>
      </c>
      <c r="AO9" s="287">
        <v>0.8</v>
      </c>
      <c r="AP9" s="288">
        <v>4721.2271692056102</v>
      </c>
      <c r="AQ9" s="287">
        <v>0.8</v>
      </c>
      <c r="AR9" s="288">
        <v>1800.3225206004379</v>
      </c>
    </row>
    <row r="10" spans="1:44" x14ac:dyDescent="0.25">
      <c r="A10" s="287">
        <v>0.97</v>
      </c>
      <c r="B10" s="356">
        <v>0.25</v>
      </c>
      <c r="C10" s="377">
        <v>269.98698711228576</v>
      </c>
      <c r="D10" s="288">
        <v>1971.443191867209</v>
      </c>
      <c r="E10" s="398">
        <f t="shared" si="0"/>
        <v>0.98974655143997703</v>
      </c>
      <c r="G10" s="287">
        <v>0.97</v>
      </c>
      <c r="H10" s="356">
        <v>0.25</v>
      </c>
      <c r="I10" s="390">
        <v>2.2079516482414183</v>
      </c>
      <c r="J10" s="394">
        <f t="shared" si="1"/>
        <v>0.99425458718078086</v>
      </c>
      <c r="L10" s="287">
        <v>0.97</v>
      </c>
      <c r="M10" s="356">
        <v>0.25</v>
      </c>
      <c r="N10" s="390">
        <v>19.128606550757116</v>
      </c>
      <c r="O10" s="394">
        <f t="shared" si="2"/>
        <v>0.99259681489085771</v>
      </c>
      <c r="P10" s="392">
        <v>0.85</v>
      </c>
      <c r="Q10" s="288">
        <v>2318.6655345876879</v>
      </c>
      <c r="R10" s="287">
        <v>0.85</v>
      </c>
      <c r="S10" s="288">
        <v>852.08707680808493</v>
      </c>
      <c r="U10" s="287">
        <v>0.85</v>
      </c>
      <c r="V10" s="288">
        <v>27.143641860893187</v>
      </c>
      <c r="W10" s="287">
        <v>0.85</v>
      </c>
      <c r="X10" s="288">
        <v>8.8587650322736486</v>
      </c>
      <c r="Z10" s="287">
        <v>0.85</v>
      </c>
      <c r="AA10" s="288">
        <v>199.48306890614364</v>
      </c>
      <c r="AB10" s="287">
        <v>0.85</v>
      </c>
      <c r="AC10" s="288">
        <v>68.590043024646917</v>
      </c>
      <c r="AE10" s="287">
        <v>0.85</v>
      </c>
      <c r="AF10" s="288">
        <v>2401.3508207138639</v>
      </c>
      <c r="AG10" s="287">
        <v>0.85</v>
      </c>
      <c r="AH10" s="288">
        <v>884.73017553399222</v>
      </c>
      <c r="AJ10" s="287">
        <v>0.85</v>
      </c>
      <c r="AK10" s="288">
        <v>2123.0755736023475</v>
      </c>
      <c r="AL10" s="287">
        <v>0.85</v>
      </c>
      <c r="AM10" s="288">
        <v>780.48060990790896</v>
      </c>
      <c r="AO10" s="287">
        <v>0.85</v>
      </c>
      <c r="AP10" s="288">
        <v>10484.403122196325</v>
      </c>
      <c r="AQ10" s="287">
        <v>0.85</v>
      </c>
      <c r="AR10" s="288">
        <v>4130.1592870204804</v>
      </c>
    </row>
    <row r="11" spans="1:44" x14ac:dyDescent="0.25">
      <c r="A11" s="287">
        <v>0.97</v>
      </c>
      <c r="B11" s="356">
        <v>0.3</v>
      </c>
      <c r="C11" s="377">
        <v>112.90359043928756</v>
      </c>
      <c r="D11" s="288">
        <v>1913.5448135620843</v>
      </c>
      <c r="E11" s="398">
        <f t="shared" si="0"/>
        <v>0.99571219646845543</v>
      </c>
      <c r="G11" s="287">
        <v>0.97</v>
      </c>
      <c r="H11" s="356">
        <v>0.3</v>
      </c>
      <c r="I11" s="390">
        <v>0.82805483176153538</v>
      </c>
      <c r="J11" s="394">
        <f t="shared" si="1"/>
        <v>0.99784528033065922</v>
      </c>
      <c r="L11" s="287">
        <v>0.97</v>
      </c>
      <c r="M11" s="356">
        <v>0.3</v>
      </c>
      <c r="N11" s="390">
        <v>7.541180653418019</v>
      </c>
      <c r="O11" s="394">
        <f t="shared" si="2"/>
        <v>0.99708139972608056</v>
      </c>
      <c r="P11" s="392">
        <v>0.9</v>
      </c>
      <c r="Q11" s="288">
        <v>5238.0097476525425</v>
      </c>
      <c r="R11" s="287">
        <v>0.9</v>
      </c>
      <c r="S11" s="288">
        <v>1983.9394378131258</v>
      </c>
      <c r="U11" s="287">
        <v>0.9</v>
      </c>
      <c r="V11" s="288">
        <v>64.027927508304501</v>
      </c>
      <c r="W11" s="287">
        <v>0.9</v>
      </c>
      <c r="X11" s="288">
        <v>21.53399392728727</v>
      </c>
      <c r="Z11" s="287">
        <v>0.9</v>
      </c>
      <c r="AA11" s="288">
        <v>462.72692024936811</v>
      </c>
      <c r="AB11" s="287">
        <v>0.9</v>
      </c>
      <c r="AC11" s="288">
        <v>164.07864157678176</v>
      </c>
      <c r="AE11" s="287">
        <v>0.9</v>
      </c>
      <c r="AF11" s="288">
        <v>5371.7882615795925</v>
      </c>
      <c r="AG11" s="287">
        <v>0.9</v>
      </c>
      <c r="AH11" s="288">
        <v>2039.601654661283</v>
      </c>
      <c r="AJ11" s="287">
        <v>0.9</v>
      </c>
      <c r="AK11" s="288">
        <v>4738.3906293388927</v>
      </c>
      <c r="AL11" s="287">
        <v>0.9</v>
      </c>
      <c r="AM11" s="288">
        <v>1794.45786533195</v>
      </c>
      <c r="AO11" s="287">
        <v>0.9</v>
      </c>
      <c r="AP11" s="288">
        <v>20029.788205246256</v>
      </c>
      <c r="AQ11" s="287">
        <v>0.9</v>
      </c>
      <c r="AR11" s="288">
        <v>8083.1148347099006</v>
      </c>
    </row>
    <row r="12" spans="1:44" x14ac:dyDescent="0.25">
      <c r="A12" s="287">
        <v>0.97</v>
      </c>
      <c r="B12" s="356">
        <v>0.35</v>
      </c>
      <c r="C12" s="377">
        <v>47.860529932457922</v>
      </c>
      <c r="D12" s="288">
        <v>1859.7454831437447</v>
      </c>
      <c r="E12" s="398">
        <f t="shared" si="0"/>
        <v>0.9981823735767168</v>
      </c>
      <c r="G12" s="287">
        <v>0.97</v>
      </c>
      <c r="H12" s="356">
        <v>0.35</v>
      </c>
      <c r="I12" s="390">
        <v>0.31617453327039086</v>
      </c>
      <c r="J12" s="394">
        <f t="shared" si="1"/>
        <v>0.99917726766434889</v>
      </c>
      <c r="L12" s="287">
        <v>0.97</v>
      </c>
      <c r="M12" s="356">
        <v>0.35</v>
      </c>
      <c r="N12" s="390">
        <v>3.014745498992867</v>
      </c>
      <c r="O12" s="394">
        <f t="shared" si="2"/>
        <v>0.99883322818487719</v>
      </c>
      <c r="P12" s="392">
        <v>0.95</v>
      </c>
      <c r="Q12" s="288">
        <v>9318.9353773380244</v>
      </c>
      <c r="R12" s="287">
        <v>0.95</v>
      </c>
      <c r="S12" s="288">
        <v>3638.5247885846215</v>
      </c>
      <c r="U12" s="287">
        <v>0.95</v>
      </c>
      <c r="V12" s="288">
        <v>118.59290558324656</v>
      </c>
      <c r="W12" s="287">
        <v>0.95</v>
      </c>
      <c r="X12" s="288">
        <v>41.052743232944756</v>
      </c>
      <c r="Z12" s="287">
        <v>0.95</v>
      </c>
      <c r="AA12" s="288">
        <v>844.63086284102587</v>
      </c>
      <c r="AB12" s="287">
        <v>0.95</v>
      </c>
      <c r="AC12" s="288">
        <v>308.24132389749479</v>
      </c>
      <c r="AE12" s="287">
        <v>0.95</v>
      </c>
      <c r="AF12" s="288">
        <v>9470.1469326934803</v>
      </c>
      <c r="AG12" s="287">
        <v>0.95</v>
      </c>
      <c r="AH12" s="288">
        <v>3705.6798351479047</v>
      </c>
      <c r="AJ12" s="287">
        <v>0.95</v>
      </c>
      <c r="AK12" s="288">
        <v>8332.3889053551629</v>
      </c>
      <c r="AL12" s="287">
        <v>0.95</v>
      </c>
      <c r="AM12" s="288">
        <v>3252.8403243350976</v>
      </c>
      <c r="AO12" s="287">
        <v>0.95</v>
      </c>
      <c r="AP12" s="288">
        <v>30499.461040818398</v>
      </c>
      <c r="AQ12" s="287">
        <v>0.95</v>
      </c>
      <c r="AR12" s="288">
        <v>12642.666137604816</v>
      </c>
    </row>
    <row r="13" spans="1:44" x14ac:dyDescent="0.25">
      <c r="A13" s="287">
        <v>0.97</v>
      </c>
      <c r="B13" s="356">
        <v>0.4</v>
      </c>
      <c r="C13" s="377">
        <v>20.53851573034612</v>
      </c>
      <c r="D13" s="288">
        <v>1809.5667697945025</v>
      </c>
      <c r="E13" s="398">
        <f t="shared" si="0"/>
        <v>0.99921999716803855</v>
      </c>
      <c r="G13" s="287">
        <v>0.97</v>
      </c>
      <c r="H13" s="356">
        <v>0.4</v>
      </c>
      <c r="I13" s="390">
        <v>0.12247698351191375</v>
      </c>
      <c r="J13" s="394">
        <f t="shared" si="1"/>
        <v>0.99968129699231001</v>
      </c>
      <c r="L13" s="287">
        <v>0.97</v>
      </c>
      <c r="M13" s="356">
        <v>0.4</v>
      </c>
      <c r="N13" s="390">
        <v>1.2201787159510662</v>
      </c>
      <c r="O13" s="394">
        <f t="shared" si="2"/>
        <v>0.99952776440476976</v>
      </c>
      <c r="P13" s="392">
        <v>0.96</v>
      </c>
      <c r="Q13" s="288">
        <v>9932.7632752572608</v>
      </c>
      <c r="R13" s="287">
        <v>0.96</v>
      </c>
      <c r="S13" s="288">
        <v>3894.8728139015857</v>
      </c>
      <c r="U13" s="287">
        <v>0.96</v>
      </c>
      <c r="V13" s="288">
        <v>127.26344407895543</v>
      </c>
      <c r="W13" s="287">
        <v>0.96</v>
      </c>
      <c r="X13" s="288">
        <v>44.30692791904157</v>
      </c>
      <c r="Z13" s="287">
        <v>0.96</v>
      </c>
      <c r="AA13" s="288">
        <v>904.18496416960124</v>
      </c>
      <c r="AB13" s="287">
        <v>0.96</v>
      </c>
      <c r="AC13" s="288">
        <v>331.57314643395296</v>
      </c>
      <c r="AE13" s="287">
        <v>0.96</v>
      </c>
      <c r="AF13" s="288">
        <v>10076.316577134156</v>
      </c>
      <c r="AG13" s="287">
        <v>0.96</v>
      </c>
      <c r="AH13" s="288">
        <v>3958.8185357976054</v>
      </c>
      <c r="AJ13" s="287">
        <v>0.96</v>
      </c>
      <c r="AK13" s="288">
        <v>8860.9176238435102</v>
      </c>
      <c r="AL13" s="287">
        <v>0.96</v>
      </c>
      <c r="AM13" s="288">
        <v>3475.644883035462</v>
      </c>
      <c r="AO13" s="287">
        <v>0.96</v>
      </c>
      <c r="AP13" s="288">
        <v>31534.830242908214</v>
      </c>
      <c r="AQ13" s="287">
        <v>0.96</v>
      </c>
      <c r="AR13" s="288">
        <v>13132.623307742837</v>
      </c>
    </row>
    <row r="14" spans="1:44" x14ac:dyDescent="0.25">
      <c r="A14" s="287">
        <v>0.97</v>
      </c>
      <c r="B14" s="356">
        <v>0.45</v>
      </c>
      <c r="C14" s="377">
        <v>8.931725104173136</v>
      </c>
      <c r="D14" s="288">
        <v>1762.7276104286559</v>
      </c>
      <c r="E14" s="398">
        <f t="shared" si="0"/>
        <v>0.99966079482241932</v>
      </c>
      <c r="G14" s="287">
        <v>0.97</v>
      </c>
      <c r="H14" s="356">
        <v>0.45</v>
      </c>
      <c r="I14" s="390">
        <v>4.8247956004023707E-2</v>
      </c>
      <c r="J14" s="394">
        <f t="shared" si="1"/>
        <v>0.99987445176838563</v>
      </c>
      <c r="L14" s="287">
        <v>0.97</v>
      </c>
      <c r="M14" s="356">
        <v>0.45</v>
      </c>
      <c r="N14" s="390">
        <v>0.50112880378665448</v>
      </c>
      <c r="O14" s="394">
        <f t="shared" si="2"/>
        <v>0.9998060522972172</v>
      </c>
      <c r="P14" s="392">
        <v>0.97</v>
      </c>
      <c r="Q14" s="288">
        <v>10217.116792612791</v>
      </c>
      <c r="R14" s="287">
        <v>0.97</v>
      </c>
      <c r="S14" s="288">
        <v>4023.3435602660338</v>
      </c>
      <c r="U14" s="287">
        <v>0.97</v>
      </c>
      <c r="V14" s="288">
        <v>131.81882053048372</v>
      </c>
      <c r="W14" s="287">
        <v>0.97</v>
      </c>
      <c r="X14" s="288">
        <v>46.114424524725841</v>
      </c>
      <c r="Z14" s="287">
        <v>0.97</v>
      </c>
      <c r="AA14" s="288">
        <v>934.10654954521124</v>
      </c>
      <c r="AB14" s="287">
        <v>0.97</v>
      </c>
      <c r="AC14" s="288">
        <v>344.26310938796178</v>
      </c>
      <c r="AE14" s="287">
        <v>0.97</v>
      </c>
      <c r="AF14" s="288">
        <v>10345.206423121519</v>
      </c>
      <c r="AG14" s="287">
        <v>0.97</v>
      </c>
      <c r="AH14" s="288">
        <v>4082.2241166811905</v>
      </c>
      <c r="AJ14" s="287">
        <v>0.97</v>
      </c>
      <c r="AK14" s="288">
        <v>9096.6339584665511</v>
      </c>
      <c r="AL14" s="287">
        <v>0.97</v>
      </c>
      <c r="AM14" s="288">
        <v>3581.9581377267682</v>
      </c>
      <c r="AO14" s="287">
        <v>0.97</v>
      </c>
      <c r="AP14" s="288">
        <v>31488.074077651258</v>
      </c>
      <c r="AQ14" s="287">
        <v>0.97</v>
      </c>
      <c r="AR14" s="288">
        <v>13170.716687821954</v>
      </c>
    </row>
    <row r="15" spans="1:44" ht="15.75" thickBot="1" x14ac:dyDescent="0.3">
      <c r="A15" s="289">
        <v>0.97</v>
      </c>
      <c r="B15" s="357">
        <v>0.5</v>
      </c>
      <c r="C15" s="379">
        <v>3.92851092789321</v>
      </c>
      <c r="D15" s="290">
        <v>1718.8206442100402</v>
      </c>
      <c r="E15" s="399">
        <f t="shared" si="0"/>
        <v>0.99985080471785892</v>
      </c>
      <c r="G15" s="289">
        <v>0.97</v>
      </c>
      <c r="H15" s="357">
        <v>0.5</v>
      </c>
      <c r="I15" s="391">
        <v>1.9256571170920472E-2</v>
      </c>
      <c r="J15" s="395">
        <f t="shared" si="1"/>
        <v>0.99994989158800307</v>
      </c>
      <c r="L15" s="289">
        <v>0.97</v>
      </c>
      <c r="M15" s="357">
        <v>0.5</v>
      </c>
      <c r="N15" s="391">
        <v>0.20864496351363335</v>
      </c>
      <c r="O15" s="395">
        <f t="shared" si="2"/>
        <v>0.99991924987934266</v>
      </c>
      <c r="P15" s="392">
        <v>0.98</v>
      </c>
      <c r="Q15" s="288">
        <v>9874.3988809940565</v>
      </c>
      <c r="R15" s="287">
        <v>0.98</v>
      </c>
      <c r="S15" s="288">
        <v>3906.7596564722794</v>
      </c>
      <c r="U15" s="287">
        <v>0.98</v>
      </c>
      <c r="V15" s="288">
        <v>128.33716524901419</v>
      </c>
      <c r="W15" s="287">
        <v>0.98</v>
      </c>
      <c r="X15" s="288">
        <v>45.110451627587878</v>
      </c>
      <c r="Z15" s="287">
        <v>0.98</v>
      </c>
      <c r="AA15" s="288">
        <v>907.10077249014239</v>
      </c>
      <c r="AB15" s="287">
        <v>0.98</v>
      </c>
      <c r="AC15" s="288">
        <v>335.94164448186166</v>
      </c>
      <c r="AE15" s="287">
        <v>0.98</v>
      </c>
      <c r="AF15" s="288">
        <v>9981.0697335077475</v>
      </c>
      <c r="AG15" s="287">
        <v>0.98</v>
      </c>
      <c r="AH15" s="288">
        <v>3957.0609019632648</v>
      </c>
      <c r="AJ15" s="287">
        <v>0.98</v>
      </c>
      <c r="AK15" s="288">
        <v>8772.653611196718</v>
      </c>
      <c r="AL15" s="287">
        <v>0.98</v>
      </c>
      <c r="AM15" s="288">
        <v>3470.1885781992701</v>
      </c>
      <c r="AO15" s="287">
        <v>0.98</v>
      </c>
      <c r="AP15" s="288">
        <v>29565.284815064359</v>
      </c>
      <c r="AQ15" s="287">
        <v>0.98</v>
      </c>
      <c r="AR15" s="288">
        <v>12415.030524070682</v>
      </c>
    </row>
    <row r="16" spans="1:44" ht="15.75" thickBot="1" x14ac:dyDescent="0.3">
      <c r="B16" s="304"/>
      <c r="C16" s="304"/>
      <c r="D16" s="304"/>
      <c r="P16" s="287">
        <v>0.99</v>
      </c>
      <c r="Q16" s="288">
        <v>8241.2703615745522</v>
      </c>
      <c r="R16" s="287">
        <v>0.99</v>
      </c>
      <c r="S16" s="288">
        <v>3276.3917989696829</v>
      </c>
      <c r="U16" s="287">
        <v>0.99</v>
      </c>
      <c r="V16" s="288">
        <v>107.86611306080226</v>
      </c>
      <c r="W16" s="287">
        <v>0.99</v>
      </c>
      <c r="X16" s="288">
        <v>38.10073334157439</v>
      </c>
      <c r="Z16" s="287">
        <v>0.99</v>
      </c>
      <c r="AA16" s="288">
        <v>760.63618352049241</v>
      </c>
      <c r="AB16" s="287">
        <v>0.99</v>
      </c>
      <c r="AC16" s="288">
        <v>282.99846105508345</v>
      </c>
      <c r="AE16" s="287">
        <v>0.99</v>
      </c>
      <c r="AF16" s="288">
        <v>8316.2009848779926</v>
      </c>
      <c r="AG16" s="287">
        <v>0.99</v>
      </c>
      <c r="AH16" s="288">
        <v>3313.2415401001631</v>
      </c>
      <c r="AJ16" s="287">
        <v>0.99</v>
      </c>
      <c r="AK16" s="288">
        <v>7305.3911729094198</v>
      </c>
      <c r="AL16" s="287">
        <v>0.99</v>
      </c>
      <c r="AM16" s="288">
        <v>2903.1667835885119</v>
      </c>
      <c r="AO16" s="287">
        <v>0.99</v>
      </c>
      <c r="AP16" s="288">
        <v>23968.332398037281</v>
      </c>
      <c r="AQ16" s="287">
        <v>0.99</v>
      </c>
      <c r="AR16" s="288">
        <v>10109.445763707905</v>
      </c>
    </row>
    <row r="17" spans="1:44" ht="15.75" thickBot="1" x14ac:dyDescent="0.3">
      <c r="A17" s="577" t="s">
        <v>69</v>
      </c>
      <c r="B17" s="578"/>
      <c r="C17" s="579"/>
      <c r="G17" s="577" t="s">
        <v>67</v>
      </c>
      <c r="H17" s="578"/>
      <c r="I17" s="579"/>
      <c r="L17" s="577" t="s">
        <v>9</v>
      </c>
      <c r="M17" s="578"/>
      <c r="N17" s="579"/>
      <c r="P17" s="289">
        <v>1</v>
      </c>
      <c r="Q17" s="290">
        <v>0</v>
      </c>
      <c r="R17" s="289">
        <v>1</v>
      </c>
      <c r="S17" s="290">
        <v>0</v>
      </c>
      <c r="U17" s="289">
        <v>1</v>
      </c>
      <c r="V17" s="290">
        <v>0</v>
      </c>
      <c r="W17" s="289">
        <v>1</v>
      </c>
      <c r="X17" s="290">
        <v>0</v>
      </c>
      <c r="Z17" s="289">
        <v>1</v>
      </c>
      <c r="AA17" s="290">
        <v>0</v>
      </c>
      <c r="AB17" s="289">
        <v>1</v>
      </c>
      <c r="AC17" s="290">
        <v>0</v>
      </c>
      <c r="AE17" s="289">
        <v>1</v>
      </c>
      <c r="AF17" s="290">
        <v>0</v>
      </c>
      <c r="AG17" s="289">
        <v>1</v>
      </c>
      <c r="AH17" s="290">
        <v>0</v>
      </c>
      <c r="AJ17" s="289">
        <v>1</v>
      </c>
      <c r="AK17" s="290">
        <v>0</v>
      </c>
      <c r="AL17" s="289">
        <v>1</v>
      </c>
      <c r="AM17" s="290">
        <v>0</v>
      </c>
      <c r="AO17" s="289">
        <v>1</v>
      </c>
      <c r="AP17" s="290">
        <v>0</v>
      </c>
      <c r="AQ17" s="289">
        <v>1</v>
      </c>
      <c r="AR17" s="290">
        <v>0</v>
      </c>
    </row>
    <row r="18" spans="1:44" ht="15.75" thickBot="1" x14ac:dyDescent="0.3">
      <c r="A18" s="353" t="s">
        <v>141</v>
      </c>
      <c r="B18" s="354" t="s">
        <v>219</v>
      </c>
      <c r="C18" s="355" t="s">
        <v>205</v>
      </c>
      <c r="G18" s="353" t="s">
        <v>141</v>
      </c>
      <c r="H18" s="354" t="s">
        <v>219</v>
      </c>
      <c r="I18" s="355" t="s">
        <v>205</v>
      </c>
      <c r="L18" s="353" t="s">
        <v>141</v>
      </c>
      <c r="M18" s="354" t="s">
        <v>219</v>
      </c>
      <c r="N18" s="355" t="s">
        <v>205</v>
      </c>
      <c r="P18" s="539" t="s">
        <v>221</v>
      </c>
      <c r="Q18" s="540"/>
      <c r="R18" s="539" t="s">
        <v>222</v>
      </c>
      <c r="S18" s="540"/>
      <c r="U18" s="539" t="s">
        <v>221</v>
      </c>
      <c r="V18" s="540"/>
      <c r="W18" s="539" t="s">
        <v>222</v>
      </c>
      <c r="X18" s="540"/>
      <c r="Z18" s="539" t="s">
        <v>221</v>
      </c>
      <c r="AA18" s="540"/>
      <c r="AB18" s="539" t="s">
        <v>222</v>
      </c>
      <c r="AC18" s="540"/>
      <c r="AE18" s="539" t="s">
        <v>221</v>
      </c>
      <c r="AF18" s="540"/>
      <c r="AG18" s="539" t="s">
        <v>222</v>
      </c>
      <c r="AH18" s="540"/>
      <c r="AJ18" s="539" t="s">
        <v>221</v>
      </c>
      <c r="AK18" s="540"/>
      <c r="AL18" s="539" t="s">
        <v>222</v>
      </c>
      <c r="AM18" s="540"/>
      <c r="AO18" s="539" t="s">
        <v>221</v>
      </c>
      <c r="AP18" s="540"/>
      <c r="AQ18" s="539" t="s">
        <v>222</v>
      </c>
      <c r="AR18" s="540"/>
    </row>
    <row r="19" spans="1:44" x14ac:dyDescent="0.25">
      <c r="A19" s="287">
        <v>0.97</v>
      </c>
      <c r="B19" s="356">
        <v>0</v>
      </c>
      <c r="C19" s="390">
        <v>26602.235403244806</v>
      </c>
      <c r="D19" s="396">
        <v>0</v>
      </c>
      <c r="G19" s="287">
        <v>0.97</v>
      </c>
      <c r="H19" s="356">
        <v>0</v>
      </c>
      <c r="I19" s="390">
        <v>23458.255230426494</v>
      </c>
      <c r="J19" s="396">
        <v>0</v>
      </c>
      <c r="L19" s="287">
        <v>0.97</v>
      </c>
      <c r="M19" s="356">
        <v>0</v>
      </c>
      <c r="N19" s="390">
        <v>76470.238128374607</v>
      </c>
      <c r="O19" s="396">
        <v>0</v>
      </c>
      <c r="P19" s="393" t="s">
        <v>141</v>
      </c>
      <c r="Q19" s="292" t="s">
        <v>205</v>
      </c>
      <c r="R19" s="291" t="s">
        <v>141</v>
      </c>
      <c r="S19" s="292" t="s">
        <v>205</v>
      </c>
      <c r="U19" s="291" t="s">
        <v>141</v>
      </c>
      <c r="V19" s="292" t="s">
        <v>205</v>
      </c>
      <c r="W19" s="291" t="s">
        <v>141</v>
      </c>
      <c r="X19" s="292" t="s">
        <v>205</v>
      </c>
      <c r="Z19" s="291" t="s">
        <v>141</v>
      </c>
      <c r="AA19" s="292" t="s">
        <v>205</v>
      </c>
      <c r="AB19" s="291" t="s">
        <v>141</v>
      </c>
      <c r="AC19" s="292" t="s">
        <v>205</v>
      </c>
      <c r="AE19" s="291" t="s">
        <v>141</v>
      </c>
      <c r="AF19" s="292" t="s">
        <v>205</v>
      </c>
      <c r="AG19" s="291" t="s">
        <v>141</v>
      </c>
      <c r="AH19" s="292" t="s">
        <v>205</v>
      </c>
      <c r="AJ19" s="291" t="s">
        <v>141</v>
      </c>
      <c r="AK19" s="292" t="s">
        <v>205</v>
      </c>
      <c r="AL19" s="291" t="s">
        <v>141</v>
      </c>
      <c r="AM19" s="292" t="s">
        <v>205</v>
      </c>
      <c r="AO19" s="291" t="s">
        <v>141</v>
      </c>
      <c r="AP19" s="292" t="s">
        <v>205</v>
      </c>
      <c r="AQ19" s="291" t="s">
        <v>141</v>
      </c>
      <c r="AR19" s="292" t="s">
        <v>205</v>
      </c>
    </row>
    <row r="20" spans="1:44" x14ac:dyDescent="0.25">
      <c r="A20" s="287">
        <v>0.97</v>
      </c>
      <c r="B20" s="356">
        <v>0.05</v>
      </c>
      <c r="C20" s="390">
        <v>10345.206423121519</v>
      </c>
      <c r="D20" s="394">
        <f>(($C$19-C20)/$C$19)</f>
        <v>0.61111514629106456</v>
      </c>
      <c r="G20" s="287">
        <v>0.97</v>
      </c>
      <c r="H20" s="356">
        <v>0.05</v>
      </c>
      <c r="I20" s="390">
        <v>9096.6339584665511</v>
      </c>
      <c r="J20" s="394">
        <f>(($I$19-I20)/$I$19)</f>
        <v>0.61222035189267721</v>
      </c>
      <c r="L20" s="287">
        <v>0.97</v>
      </c>
      <c r="M20" s="356">
        <v>0.05</v>
      </c>
      <c r="N20" s="390">
        <v>31488.074077651258</v>
      </c>
      <c r="O20" s="394">
        <f>(($N$19-N20)/$N$19)</f>
        <v>0.58823099223529851</v>
      </c>
      <c r="P20" s="392">
        <v>0.6</v>
      </c>
      <c r="Q20" s="288">
        <v>0.27459462937951268</v>
      </c>
      <c r="R20" s="287">
        <v>0.6</v>
      </c>
      <c r="S20" s="288">
        <v>8.6226505431317463E-2</v>
      </c>
      <c r="U20" s="287">
        <v>0.6</v>
      </c>
      <c r="V20" s="288">
        <v>1.8387195220006586E-3</v>
      </c>
      <c r="W20" s="287">
        <v>0.6</v>
      </c>
      <c r="X20" s="288">
        <v>5.149185525896399E-4</v>
      </c>
      <c r="Z20" s="287">
        <v>0.6</v>
      </c>
      <c r="AA20" s="288">
        <v>1.6913616382265129E-2</v>
      </c>
      <c r="AB20" s="287">
        <v>0.6</v>
      </c>
      <c r="AC20" s="288">
        <v>4.9812927944359042E-3</v>
      </c>
      <c r="AE20" s="287">
        <v>0.6</v>
      </c>
      <c r="AF20" s="288">
        <v>0.30435527108243471</v>
      </c>
      <c r="AG20" s="287">
        <v>0.6</v>
      </c>
      <c r="AH20" s="288">
        <v>9.5956022235053492E-2</v>
      </c>
      <c r="AJ20" s="287">
        <v>0.6</v>
      </c>
      <c r="AK20" s="288">
        <v>0.27142342711498885</v>
      </c>
      <c r="AL20" s="287">
        <v>0.6</v>
      </c>
      <c r="AM20" s="288">
        <v>8.534502015899903E-2</v>
      </c>
      <c r="AO20" s="287">
        <v>0.6</v>
      </c>
      <c r="AP20" s="288">
        <v>4.3364414616399038</v>
      </c>
      <c r="AQ20" s="287">
        <v>0.6</v>
      </c>
      <c r="AR20" s="288">
        <v>1.4745723252082925</v>
      </c>
    </row>
    <row r="21" spans="1:44" x14ac:dyDescent="0.25">
      <c r="A21" s="287">
        <v>0.97</v>
      </c>
      <c r="B21" s="356">
        <v>0.1</v>
      </c>
      <c r="C21" s="390">
        <v>4082.2241166811905</v>
      </c>
      <c r="D21" s="394">
        <f t="shared" ref="D21:D29" si="3">(($C$19-C21)/$C$19)</f>
        <v>0.8465458238827831</v>
      </c>
      <c r="G21" s="287">
        <v>0.97</v>
      </c>
      <c r="H21" s="356">
        <v>0.1</v>
      </c>
      <c r="I21" s="390">
        <v>3581.9581377267682</v>
      </c>
      <c r="J21" s="394">
        <f t="shared" ref="J21:J29" si="4">(($I$19-I21)/$I$19)</f>
        <v>0.84730500616768822</v>
      </c>
      <c r="L21" s="287">
        <v>0.97</v>
      </c>
      <c r="M21" s="356">
        <v>0.1</v>
      </c>
      <c r="N21" s="390">
        <v>13170.716687821954</v>
      </c>
      <c r="O21" s="394">
        <f t="shared" ref="O21:O29" si="5">(($N$19-N21)/$N$19)</f>
        <v>0.82776676246631298</v>
      </c>
      <c r="P21" s="392">
        <v>0.65</v>
      </c>
      <c r="Q21" s="288">
        <v>1.7006625292394413</v>
      </c>
      <c r="R21" s="287">
        <v>0.65</v>
      </c>
      <c r="S21" s="288">
        <v>0.55866700217333409</v>
      </c>
      <c r="U21" s="287">
        <v>0.65</v>
      </c>
      <c r="V21" s="288">
        <v>1.2336244306326847E-2</v>
      </c>
      <c r="W21" s="287">
        <v>0.65</v>
      </c>
      <c r="X21" s="288">
        <v>3.6225534150150455E-3</v>
      </c>
      <c r="Z21" s="287">
        <v>0.65</v>
      </c>
      <c r="AA21" s="288">
        <v>0.11059293384933853</v>
      </c>
      <c r="AB21" s="287">
        <v>0.65</v>
      </c>
      <c r="AC21" s="288">
        <v>3.3987545071436483E-2</v>
      </c>
      <c r="AE21" s="287">
        <v>0.65</v>
      </c>
      <c r="AF21" s="288">
        <v>1.8578425081718855</v>
      </c>
      <c r="AG21" s="287">
        <v>0.65</v>
      </c>
      <c r="AH21" s="288">
        <v>0.61228481589940209</v>
      </c>
      <c r="AJ21" s="287">
        <v>0.65</v>
      </c>
      <c r="AK21" s="288">
        <v>1.6521968622309182</v>
      </c>
      <c r="AL21" s="287">
        <v>0.65</v>
      </c>
      <c r="AM21" s="288">
        <v>0.5433054132441284</v>
      </c>
      <c r="AO21" s="287">
        <v>0.65</v>
      </c>
      <c r="AP21" s="288">
        <v>20.666153792327609</v>
      </c>
      <c r="AQ21" s="287">
        <v>0.65</v>
      </c>
      <c r="AR21" s="288">
        <v>7.3434263025817286</v>
      </c>
    </row>
    <row r="22" spans="1:44" x14ac:dyDescent="0.25">
      <c r="A22" s="287">
        <v>0.97</v>
      </c>
      <c r="B22" s="356">
        <v>0.15</v>
      </c>
      <c r="C22" s="390">
        <v>1639.9002051246407</v>
      </c>
      <c r="D22" s="394">
        <f t="shared" si="3"/>
        <v>0.93835479687076917</v>
      </c>
      <c r="G22" s="287">
        <v>0.97</v>
      </c>
      <c r="H22" s="356">
        <v>0.15</v>
      </c>
      <c r="I22" s="390">
        <v>1434.5962346022977</v>
      </c>
      <c r="J22" s="394">
        <f t="shared" si="4"/>
        <v>0.9388447171151264</v>
      </c>
      <c r="L22" s="287">
        <v>0.97</v>
      </c>
      <c r="M22" s="356">
        <v>0.15</v>
      </c>
      <c r="N22" s="390">
        <v>5582.6533071914992</v>
      </c>
      <c r="O22" s="394">
        <f t="shared" si="5"/>
        <v>0.92699573789976164</v>
      </c>
      <c r="P22" s="392">
        <v>0.7</v>
      </c>
      <c r="Q22" s="288">
        <v>8.3440826527862022</v>
      </c>
      <c r="R22" s="287">
        <v>0.7</v>
      </c>
      <c r="S22" s="288">
        <v>2.8546762989333794</v>
      </c>
      <c r="U22" s="287">
        <v>0.7</v>
      </c>
      <c r="V22" s="288">
        <v>6.4986271881235805E-2</v>
      </c>
      <c r="W22" s="287">
        <v>0.7</v>
      </c>
      <c r="X22" s="288">
        <v>1.985451955394953E-2</v>
      </c>
      <c r="Z22" s="287">
        <v>0.7</v>
      </c>
      <c r="AA22" s="288">
        <v>0.56408259539797467</v>
      </c>
      <c r="AB22" s="287">
        <v>0.7</v>
      </c>
      <c r="AC22" s="288">
        <v>0.18163752225471591</v>
      </c>
      <c r="AE22" s="287">
        <v>0.7</v>
      </c>
      <c r="AF22" s="288">
        <v>8.9953574354170289</v>
      </c>
      <c r="AG22" s="287">
        <v>0.7</v>
      </c>
      <c r="AH22" s="288">
        <v>3.0867890844096335</v>
      </c>
      <c r="AJ22" s="287">
        <v>0.7</v>
      </c>
      <c r="AK22" s="288">
        <v>7.9760106034836857</v>
      </c>
      <c r="AL22" s="287">
        <v>0.7</v>
      </c>
      <c r="AM22" s="288">
        <v>2.7310470933189901</v>
      </c>
      <c r="AO22" s="287">
        <v>0.7</v>
      </c>
      <c r="AP22" s="288">
        <v>79.458824744232999</v>
      </c>
      <c r="AQ22" s="287">
        <v>0.7</v>
      </c>
      <c r="AR22" s="288">
        <v>29.341559033683318</v>
      </c>
    </row>
    <row r="23" spans="1:44" x14ac:dyDescent="0.25">
      <c r="A23" s="287">
        <v>0.97</v>
      </c>
      <c r="B23" s="356">
        <v>0.2</v>
      </c>
      <c r="C23" s="390">
        <v>666.92100640800049</v>
      </c>
      <c r="D23" s="394">
        <f t="shared" si="3"/>
        <v>0.9749298885488904</v>
      </c>
      <c r="G23" s="287">
        <v>0.97</v>
      </c>
      <c r="H23" s="356">
        <v>0.2</v>
      </c>
      <c r="I23" s="390">
        <v>582.06155807408459</v>
      </c>
      <c r="J23" s="394">
        <f t="shared" si="4"/>
        <v>0.97518734652869143</v>
      </c>
      <c r="L23" s="287">
        <v>0.97</v>
      </c>
      <c r="M23" s="356">
        <v>0.2</v>
      </c>
      <c r="N23" s="390">
        <v>2403.9099555981475</v>
      </c>
      <c r="O23" s="394">
        <f t="shared" si="5"/>
        <v>0.96856411050319235</v>
      </c>
      <c r="P23" s="392">
        <v>0.75</v>
      </c>
      <c r="Q23" s="288">
        <v>33.391109178302678</v>
      </c>
      <c r="R23" s="287">
        <v>0.75</v>
      </c>
      <c r="S23" s="288">
        <v>11.900252110974312</v>
      </c>
      <c r="U23" s="287">
        <v>0.75</v>
      </c>
      <c r="V23" s="288">
        <v>0.27703633280242906</v>
      </c>
      <c r="W23" s="287">
        <v>0.75</v>
      </c>
      <c r="X23" s="288">
        <v>8.8355071593152978E-2</v>
      </c>
      <c r="Z23" s="287">
        <v>0.75</v>
      </c>
      <c r="AA23" s="288">
        <v>2.3518461218163598</v>
      </c>
      <c r="AB23" s="287">
        <v>0.75</v>
      </c>
      <c r="AC23" s="288">
        <v>0.78578049844352127</v>
      </c>
      <c r="AE23" s="287">
        <v>0.75</v>
      </c>
      <c r="AF23" s="288">
        <v>35.543178229079096</v>
      </c>
      <c r="AG23" s="287">
        <v>0.75</v>
      </c>
      <c r="AH23" s="288">
        <v>12.703503863448621</v>
      </c>
      <c r="AJ23" s="287">
        <v>0.75</v>
      </c>
      <c r="AK23" s="288">
        <v>31.443563191593871</v>
      </c>
      <c r="AL23" s="287">
        <v>0.75</v>
      </c>
      <c r="AM23" s="288">
        <v>11.212304381937155</v>
      </c>
      <c r="AO23" s="287">
        <v>0.75</v>
      </c>
      <c r="AP23" s="288">
        <v>255.23197487290611</v>
      </c>
      <c r="AQ23" s="287">
        <v>0.75</v>
      </c>
      <c r="AR23" s="288">
        <v>97.596590437601378</v>
      </c>
    </row>
    <row r="24" spans="1:44" x14ac:dyDescent="0.25">
      <c r="A24" s="287">
        <v>0.97</v>
      </c>
      <c r="B24" s="356">
        <v>0.25</v>
      </c>
      <c r="C24" s="390">
        <v>275.66074137993866</v>
      </c>
      <c r="D24" s="394">
        <f t="shared" si="3"/>
        <v>0.98963768505911665</v>
      </c>
      <c r="G24" s="287">
        <v>0.97</v>
      </c>
      <c r="H24" s="356">
        <v>0.25</v>
      </c>
      <c r="I24" s="390">
        <v>240.10451762137112</v>
      </c>
      <c r="J24" s="394">
        <f t="shared" si="4"/>
        <v>0.98976460460239413</v>
      </c>
      <c r="L24" s="287">
        <v>0.97</v>
      </c>
      <c r="M24" s="356">
        <v>0.25</v>
      </c>
      <c r="N24" s="390">
        <v>1047.1038208266518</v>
      </c>
      <c r="O24" s="394">
        <f t="shared" si="5"/>
        <v>0.9863070411907332</v>
      </c>
      <c r="P24" s="392">
        <v>0.8</v>
      </c>
      <c r="Q24" s="288">
        <v>112.10355001487999</v>
      </c>
      <c r="R24" s="287">
        <v>0.8</v>
      </c>
      <c r="S24" s="288">
        <v>41.321085200661003</v>
      </c>
      <c r="U24" s="287">
        <v>0.8</v>
      </c>
      <c r="V24" s="288">
        <v>0.98401113142358942</v>
      </c>
      <c r="W24" s="287">
        <v>0.8</v>
      </c>
      <c r="X24" s="288">
        <v>0.32379110092689428</v>
      </c>
      <c r="Z24" s="287">
        <v>0.8</v>
      </c>
      <c r="AA24" s="288">
        <v>8.1939177889511576</v>
      </c>
      <c r="AB24" s="287">
        <v>0.8</v>
      </c>
      <c r="AC24" s="288">
        <v>2.8300794002714702</v>
      </c>
      <c r="AE24" s="287">
        <v>0.8</v>
      </c>
      <c r="AF24" s="288">
        <v>117.9448861502806</v>
      </c>
      <c r="AG24" s="287">
        <v>0.8</v>
      </c>
      <c r="AH24" s="288">
        <v>43.597696765491754</v>
      </c>
      <c r="AJ24" s="287">
        <v>0.8</v>
      </c>
      <c r="AK24" s="288">
        <v>104.08652810357221</v>
      </c>
      <c r="AL24" s="287">
        <v>0.8</v>
      </c>
      <c r="AM24" s="288">
        <v>38.377584138636443</v>
      </c>
      <c r="AO24" s="287">
        <v>0.8</v>
      </c>
      <c r="AP24" s="288">
        <v>698.93109026822538</v>
      </c>
      <c r="AQ24" s="287">
        <v>0.8</v>
      </c>
      <c r="AR24" s="288">
        <v>275.717191383581</v>
      </c>
    </row>
    <row r="25" spans="1:44" x14ac:dyDescent="0.25">
      <c r="A25" s="287">
        <v>0.97</v>
      </c>
      <c r="B25" s="356">
        <v>0.3</v>
      </c>
      <c r="C25" s="390">
        <v>115.51060184901156</v>
      </c>
      <c r="D25" s="394">
        <f t="shared" si="3"/>
        <v>0.99565786107452747</v>
      </c>
      <c r="G25" s="287">
        <v>0.97</v>
      </c>
      <c r="H25" s="356">
        <v>0.3</v>
      </c>
      <c r="I25" s="390">
        <v>100.36164541049496</v>
      </c>
      <c r="J25" s="394">
        <f t="shared" si="4"/>
        <v>0.99572169181276871</v>
      </c>
      <c r="L25" s="287">
        <v>0.97</v>
      </c>
      <c r="M25" s="356">
        <v>0.3</v>
      </c>
      <c r="N25" s="390">
        <v>461.6884825177554</v>
      </c>
      <c r="O25" s="394">
        <f t="shared" si="5"/>
        <v>0.99396250758703408</v>
      </c>
      <c r="P25" s="392">
        <v>0.85</v>
      </c>
      <c r="Q25" s="288">
        <v>319.03940027860142</v>
      </c>
      <c r="R25" s="287">
        <v>0.85</v>
      </c>
      <c r="S25" s="288">
        <v>121.42395106963851</v>
      </c>
      <c r="U25" s="287">
        <v>0.85</v>
      </c>
      <c r="V25" s="288">
        <v>2.9468879985030059</v>
      </c>
      <c r="W25" s="287">
        <v>0.85</v>
      </c>
      <c r="X25" s="288">
        <v>1.0007665461756294</v>
      </c>
      <c r="Z25" s="287">
        <v>0.85</v>
      </c>
      <c r="AA25" s="288">
        <v>24.051808269044685</v>
      </c>
      <c r="AB25" s="287">
        <v>0.85</v>
      </c>
      <c r="AC25" s="288">
        <v>8.5959874524288846</v>
      </c>
      <c r="AE25" s="287">
        <v>0.85</v>
      </c>
      <c r="AF25" s="288">
        <v>332.12230513567124</v>
      </c>
      <c r="AG25" s="287">
        <v>0.85</v>
      </c>
      <c r="AH25" s="288">
        <v>126.69608631660812</v>
      </c>
      <c r="AJ25" s="287">
        <v>0.85</v>
      </c>
      <c r="AK25" s="288">
        <v>292.25311498168639</v>
      </c>
      <c r="AL25" s="287">
        <v>0.85</v>
      </c>
      <c r="AM25" s="288">
        <v>111.25984673564324</v>
      </c>
      <c r="AO25" s="287">
        <v>0.85</v>
      </c>
      <c r="AP25" s="288">
        <v>1648.5194440562475</v>
      </c>
      <c r="AQ25" s="287">
        <v>0.85</v>
      </c>
      <c r="AR25" s="288">
        <v>668.90502592857285</v>
      </c>
    </row>
    <row r="26" spans="1:44" x14ac:dyDescent="0.25">
      <c r="A26" s="287">
        <v>0.97</v>
      </c>
      <c r="B26" s="356">
        <v>0.35</v>
      </c>
      <c r="C26" s="390">
        <v>49.054774730584114</v>
      </c>
      <c r="D26" s="394">
        <f t="shared" si="3"/>
        <v>0.99815599050279058</v>
      </c>
      <c r="G26" s="287">
        <v>0.97</v>
      </c>
      <c r="H26" s="356">
        <v>0.35</v>
      </c>
      <c r="I26" s="390">
        <v>42.536336718036566</v>
      </c>
      <c r="J26" s="394">
        <f t="shared" si="4"/>
        <v>0.99818672206009318</v>
      </c>
      <c r="L26" s="287">
        <v>0.97</v>
      </c>
      <c r="M26" s="356">
        <v>0.35</v>
      </c>
      <c r="N26" s="390">
        <v>206.3818419566075</v>
      </c>
      <c r="O26" s="394">
        <f t="shared" si="5"/>
        <v>0.99730114817204907</v>
      </c>
      <c r="P26" s="392">
        <v>0.9</v>
      </c>
      <c r="Q26" s="288">
        <v>764.39140502289081</v>
      </c>
      <c r="R26" s="287">
        <v>0.9</v>
      </c>
      <c r="S26" s="288">
        <v>299.69287010297364</v>
      </c>
      <c r="U26" s="287">
        <v>0.9</v>
      </c>
      <c r="V26" s="288">
        <v>7.3962236349760353</v>
      </c>
      <c r="W26" s="287">
        <v>0.9</v>
      </c>
      <c r="X26" s="288">
        <v>2.5850069839240919</v>
      </c>
      <c r="Z26" s="287">
        <v>0.9</v>
      </c>
      <c r="AA26" s="288">
        <v>59.285946904483339</v>
      </c>
      <c r="AB26" s="287">
        <v>0.9</v>
      </c>
      <c r="AC26" s="288">
        <v>21.80338169609827</v>
      </c>
      <c r="AE26" s="287">
        <v>0.9</v>
      </c>
      <c r="AF26" s="288">
        <v>787.62045373931721</v>
      </c>
      <c r="AG26" s="287">
        <v>0.9</v>
      </c>
      <c r="AH26" s="288">
        <v>309.54926500989694</v>
      </c>
      <c r="AJ26" s="287">
        <v>0.9</v>
      </c>
      <c r="AK26" s="288">
        <v>691.49963391034862</v>
      </c>
      <c r="AL26" s="287">
        <v>0.9</v>
      </c>
      <c r="AM26" s="288">
        <v>271.06377858655117</v>
      </c>
      <c r="AO26" s="287">
        <v>0.9</v>
      </c>
      <c r="AP26" s="288">
        <v>3322.1918027616825</v>
      </c>
      <c r="AQ26" s="287">
        <v>0.9</v>
      </c>
      <c r="AR26" s="288">
        <v>1381.5623880071207</v>
      </c>
    </row>
    <row r="27" spans="1:44" x14ac:dyDescent="0.25">
      <c r="A27" s="287">
        <v>0.97</v>
      </c>
      <c r="B27" s="356">
        <v>0.4</v>
      </c>
      <c r="C27" s="390">
        <v>21.09192966563289</v>
      </c>
      <c r="D27" s="394">
        <f t="shared" si="3"/>
        <v>0.99920713694372243</v>
      </c>
      <c r="G27" s="287">
        <v>0.97</v>
      </c>
      <c r="H27" s="356">
        <v>0.4</v>
      </c>
      <c r="I27" s="390">
        <v>18.247479511708967</v>
      </c>
      <c r="J27" s="394">
        <f t="shared" si="4"/>
        <v>0.99922212972224633</v>
      </c>
      <c r="L27" s="287">
        <v>0.97</v>
      </c>
      <c r="M27" s="356">
        <v>0.4</v>
      </c>
      <c r="N27" s="390">
        <v>93.271984043985995</v>
      </c>
      <c r="O27" s="394">
        <f t="shared" si="5"/>
        <v>0.99878028385517248</v>
      </c>
      <c r="P27" s="392">
        <v>0.95</v>
      </c>
      <c r="Q27" s="288">
        <v>1440.4901564555639</v>
      </c>
      <c r="R27" s="287">
        <v>0.95</v>
      </c>
      <c r="S27" s="288">
        <v>579.18699294766077</v>
      </c>
      <c r="U27" s="287">
        <v>0.95</v>
      </c>
      <c r="V27" s="288">
        <v>14.485864679520134</v>
      </c>
      <c r="W27" s="287">
        <v>0.95</v>
      </c>
      <c r="X27" s="288">
        <v>5.2101609181885378</v>
      </c>
      <c r="Z27" s="287">
        <v>0.95</v>
      </c>
      <c r="AA27" s="288">
        <v>114.46513911110344</v>
      </c>
      <c r="AB27" s="287">
        <v>0.95</v>
      </c>
      <c r="AC27" s="288">
        <v>43.251863547721484</v>
      </c>
      <c r="AE27" s="287">
        <v>0.95</v>
      </c>
      <c r="AF27" s="288">
        <v>1470.2895770928087</v>
      </c>
      <c r="AG27" s="287">
        <v>0.95</v>
      </c>
      <c r="AH27" s="288">
        <v>592.38952049438785</v>
      </c>
      <c r="AJ27" s="287">
        <v>0.95</v>
      </c>
      <c r="AK27" s="288">
        <v>1287.3312995599802</v>
      </c>
      <c r="AL27" s="287">
        <v>0.95</v>
      </c>
      <c r="AM27" s="288">
        <v>517.62917289862742</v>
      </c>
      <c r="AO27" s="287">
        <v>0.95</v>
      </c>
      <c r="AP27" s="288">
        <v>5306.9745014562641</v>
      </c>
      <c r="AQ27" s="287">
        <v>0.95</v>
      </c>
      <c r="AR27" s="288">
        <v>2266.2371398991286</v>
      </c>
    </row>
    <row r="28" spans="1:44" x14ac:dyDescent="0.25">
      <c r="A28" s="287">
        <v>0.97</v>
      </c>
      <c r="B28" s="356">
        <v>0.45</v>
      </c>
      <c r="C28" s="390">
        <v>9.1879543814101758</v>
      </c>
      <c r="D28" s="394">
        <f t="shared" si="3"/>
        <v>0.99965461720633109</v>
      </c>
      <c r="G28" s="287">
        <v>0.97</v>
      </c>
      <c r="H28" s="356">
        <v>0.45</v>
      </c>
      <c r="I28" s="390">
        <v>7.9333142502720646</v>
      </c>
      <c r="J28" s="394">
        <f t="shared" si="4"/>
        <v>0.99966181141042476</v>
      </c>
      <c r="L28" s="287">
        <v>0.97</v>
      </c>
      <c r="M28" s="356">
        <v>0.45</v>
      </c>
      <c r="N28" s="390">
        <v>42.618344439034075</v>
      </c>
      <c r="O28" s="394">
        <f t="shared" si="5"/>
        <v>0.99944268063651787</v>
      </c>
      <c r="P28" s="392">
        <v>0.96</v>
      </c>
      <c r="Q28" s="288">
        <v>1551.5068598667615</v>
      </c>
      <c r="R28" s="287">
        <v>0.96</v>
      </c>
      <c r="S28" s="288">
        <v>626.69507277659579</v>
      </c>
      <c r="U28" s="287">
        <v>0.96</v>
      </c>
      <c r="V28" s="288">
        <v>15.711539665599782</v>
      </c>
      <c r="W28" s="287">
        <v>0.96</v>
      </c>
      <c r="X28" s="288">
        <v>5.6805835892974637</v>
      </c>
      <c r="Z28" s="287">
        <v>0.96</v>
      </c>
      <c r="AA28" s="288">
        <v>123.80372977684986</v>
      </c>
      <c r="AB28" s="287">
        <v>0.96</v>
      </c>
      <c r="AC28" s="288">
        <v>47.035687738399012</v>
      </c>
      <c r="AE28" s="287">
        <v>0.96</v>
      </c>
      <c r="AF28" s="288">
        <v>1580.7305219705345</v>
      </c>
      <c r="AG28" s="287">
        <v>0.96</v>
      </c>
      <c r="AH28" s="288">
        <v>639.7948383722628</v>
      </c>
      <c r="AJ28" s="287">
        <v>0.96</v>
      </c>
      <c r="AK28" s="288">
        <v>1383.234323644918</v>
      </c>
      <c r="AL28" s="287">
        <v>0.96</v>
      </c>
      <c r="AM28" s="288">
        <v>558.71736640142024</v>
      </c>
      <c r="AO28" s="287">
        <v>0.96</v>
      </c>
      <c r="AP28" s="288">
        <v>5539.1506214937008</v>
      </c>
      <c r="AQ28" s="287">
        <v>0.96</v>
      </c>
      <c r="AR28" s="288">
        <v>2376.0026408812623</v>
      </c>
    </row>
    <row r="29" spans="1:44" ht="15.75" thickBot="1" x14ac:dyDescent="0.3">
      <c r="A29" s="289">
        <v>0.97</v>
      </c>
      <c r="B29" s="357">
        <v>0.5</v>
      </c>
      <c r="C29" s="391">
        <v>4.0487036868831128</v>
      </c>
      <c r="D29" s="394">
        <f t="shared" si="3"/>
        <v>0.99984780588452393</v>
      </c>
      <c r="G29" s="289">
        <v>0.97</v>
      </c>
      <c r="H29" s="357">
        <v>0.5</v>
      </c>
      <c r="I29" s="391">
        <v>3.4877756109501896</v>
      </c>
      <c r="J29" s="394">
        <f t="shared" si="4"/>
        <v>0.99985131990522358</v>
      </c>
      <c r="L29" s="289">
        <v>0.97</v>
      </c>
      <c r="M29" s="357">
        <v>0.5</v>
      </c>
      <c r="N29" s="391">
        <v>19.6889142005626</v>
      </c>
      <c r="O29" s="395">
        <f t="shared" si="5"/>
        <v>0.99974252840474331</v>
      </c>
      <c r="P29" s="392">
        <v>0.97</v>
      </c>
      <c r="Q29" s="288">
        <v>1612.7537684441434</v>
      </c>
      <c r="R29" s="287">
        <v>0.97</v>
      </c>
      <c r="S29" s="288">
        <v>654.4624263879324</v>
      </c>
      <c r="U29" s="287">
        <v>0.97</v>
      </c>
      <c r="V29" s="288">
        <v>16.444790169637763</v>
      </c>
      <c r="W29" s="287">
        <v>0.97</v>
      </c>
      <c r="X29" s="288">
        <v>5.9767777691670148</v>
      </c>
      <c r="Z29" s="287">
        <v>0.97</v>
      </c>
      <c r="AA29" s="288">
        <v>129.23525576515806</v>
      </c>
      <c r="AB29" s="287">
        <v>0.97</v>
      </c>
      <c r="AC29" s="288">
        <v>49.325001099304508</v>
      </c>
      <c r="AE29" s="287">
        <v>0.97</v>
      </c>
      <c r="AF29" s="288">
        <v>1639.9002051246407</v>
      </c>
      <c r="AG29" s="287">
        <v>0.97</v>
      </c>
      <c r="AH29" s="288">
        <v>666.92100640800049</v>
      </c>
      <c r="AJ29" s="287">
        <v>0.97</v>
      </c>
      <c r="AK29" s="288">
        <v>1434.5962346022977</v>
      </c>
      <c r="AL29" s="287">
        <v>0.97</v>
      </c>
      <c r="AM29" s="288">
        <v>582.06155807408459</v>
      </c>
      <c r="AO29" s="287">
        <v>0.97</v>
      </c>
      <c r="AP29" s="288">
        <v>5582.6533071914992</v>
      </c>
      <c r="AQ29" s="287">
        <v>0.97</v>
      </c>
      <c r="AR29" s="288">
        <v>2403.9099555981475</v>
      </c>
    </row>
    <row r="30" spans="1:44" x14ac:dyDescent="0.25">
      <c r="P30" s="287">
        <v>0.98</v>
      </c>
      <c r="Q30" s="288">
        <v>1574.4997833029754</v>
      </c>
      <c r="R30" s="287">
        <v>0.98</v>
      </c>
      <c r="S30" s="288">
        <v>642.35807424243762</v>
      </c>
      <c r="U30" s="287">
        <v>0.98</v>
      </c>
      <c r="V30" s="288">
        <v>16.16890426251523</v>
      </c>
      <c r="W30" s="287">
        <v>0.98</v>
      </c>
      <c r="X30" s="288">
        <v>5.9060958154781007</v>
      </c>
      <c r="Z30" s="287">
        <v>0.98</v>
      </c>
      <c r="AA30" s="288">
        <v>126.79096844293313</v>
      </c>
      <c r="AB30" s="287">
        <v>0.98</v>
      </c>
      <c r="AC30" s="288">
        <v>48.611865906914502</v>
      </c>
      <c r="AE30" s="287">
        <v>0.98</v>
      </c>
      <c r="AF30" s="288">
        <v>1598.1818652580469</v>
      </c>
      <c r="AG30" s="287">
        <v>0.98</v>
      </c>
      <c r="AH30" s="288">
        <v>653.40151377519828</v>
      </c>
      <c r="AJ30" s="287">
        <v>0.98</v>
      </c>
      <c r="AK30" s="288">
        <v>1397.7289084247088</v>
      </c>
      <c r="AL30" s="287">
        <v>0.98</v>
      </c>
      <c r="AM30" s="288">
        <v>569.93040996151251</v>
      </c>
      <c r="AO30" s="287">
        <v>0.98</v>
      </c>
      <c r="AP30" s="288">
        <v>5290.5781634786572</v>
      </c>
      <c r="AQ30" s="287">
        <v>0.98</v>
      </c>
      <c r="AR30" s="288">
        <v>2285.1974096776016</v>
      </c>
    </row>
    <row r="31" spans="1:44" x14ac:dyDescent="0.25">
      <c r="P31" s="287">
        <v>0.99</v>
      </c>
      <c r="Q31" s="288">
        <v>1327.2623582798503</v>
      </c>
      <c r="R31" s="287">
        <v>0.99</v>
      </c>
      <c r="S31" s="288">
        <v>544.24275491711671</v>
      </c>
      <c r="U31" s="287">
        <v>0.99</v>
      </c>
      <c r="V31" s="288">
        <v>13.725145078295025</v>
      </c>
      <c r="W31" s="287">
        <v>0.99</v>
      </c>
      <c r="X31" s="288">
        <v>5.0360406171456331</v>
      </c>
      <c r="Z31" s="287">
        <v>0.99</v>
      </c>
      <c r="AA31" s="288">
        <v>107.39808403962277</v>
      </c>
      <c r="AB31" s="287">
        <v>0.99</v>
      </c>
      <c r="AC31" s="288">
        <v>41.361313448681905</v>
      </c>
      <c r="AE31" s="287">
        <v>0.99</v>
      </c>
      <c r="AF31" s="288">
        <v>1344.8797022431759</v>
      </c>
      <c r="AG31" s="287">
        <v>0.99</v>
      </c>
      <c r="AH31" s="288">
        <v>552.58445298725428</v>
      </c>
      <c r="AJ31" s="287">
        <v>0.99</v>
      </c>
      <c r="AK31" s="288">
        <v>1175.5390906753451</v>
      </c>
      <c r="AL31" s="287">
        <v>0.99</v>
      </c>
      <c r="AM31" s="288">
        <v>481.78956160750943</v>
      </c>
      <c r="AO31" s="287">
        <v>0.99</v>
      </c>
      <c r="AP31" s="288">
        <v>4329.8287939214752</v>
      </c>
      <c r="AQ31" s="287">
        <v>0.99</v>
      </c>
      <c r="AR31" s="288">
        <v>1876.3631584596492</v>
      </c>
    </row>
    <row r="32" spans="1:44" ht="15.75" thickBot="1" x14ac:dyDescent="0.3">
      <c r="P32" s="289">
        <v>1</v>
      </c>
      <c r="Q32" s="290">
        <v>0</v>
      </c>
      <c r="R32" s="289">
        <v>1</v>
      </c>
      <c r="S32" s="290">
        <v>0</v>
      </c>
      <c r="U32" s="289">
        <v>1</v>
      </c>
      <c r="V32" s="290">
        <v>0</v>
      </c>
      <c r="W32" s="289">
        <v>1</v>
      </c>
      <c r="X32" s="290">
        <v>0</v>
      </c>
      <c r="Z32" s="289">
        <v>1</v>
      </c>
      <c r="AA32" s="290">
        <v>0</v>
      </c>
      <c r="AB32" s="289">
        <v>1</v>
      </c>
      <c r="AC32" s="290">
        <v>0</v>
      </c>
      <c r="AE32" s="289">
        <v>1</v>
      </c>
      <c r="AF32" s="290">
        <v>0</v>
      </c>
      <c r="AG32" s="289">
        <v>1</v>
      </c>
      <c r="AH32" s="290">
        <v>0</v>
      </c>
      <c r="AJ32" s="289">
        <v>1</v>
      </c>
      <c r="AK32" s="290">
        <v>0</v>
      </c>
      <c r="AL32" s="289">
        <v>1</v>
      </c>
      <c r="AM32" s="290">
        <v>0</v>
      </c>
      <c r="AO32" s="289">
        <v>1</v>
      </c>
      <c r="AP32" s="290">
        <v>0</v>
      </c>
      <c r="AQ32" s="289">
        <v>1</v>
      </c>
      <c r="AR32" s="290">
        <v>0</v>
      </c>
    </row>
    <row r="33" spans="16:44" ht="15.75" thickBot="1" x14ac:dyDescent="0.3">
      <c r="P33" s="539" t="s">
        <v>223</v>
      </c>
      <c r="Q33" s="540"/>
      <c r="R33" s="539" t="s">
        <v>224</v>
      </c>
      <c r="S33" s="540"/>
      <c r="U33" s="539" t="s">
        <v>223</v>
      </c>
      <c r="V33" s="540"/>
      <c r="W33" s="539" t="s">
        <v>224</v>
      </c>
      <c r="X33" s="540"/>
      <c r="Z33" s="539" t="s">
        <v>223</v>
      </c>
      <c r="AA33" s="540"/>
      <c r="AB33" s="539" t="s">
        <v>224</v>
      </c>
      <c r="AC33" s="540"/>
      <c r="AE33" s="539" t="s">
        <v>223</v>
      </c>
      <c r="AF33" s="540"/>
      <c r="AG33" s="539" t="s">
        <v>224</v>
      </c>
      <c r="AH33" s="540"/>
      <c r="AJ33" s="539" t="s">
        <v>223</v>
      </c>
      <c r="AK33" s="540"/>
      <c r="AL33" s="539" t="s">
        <v>224</v>
      </c>
      <c r="AM33" s="540"/>
      <c r="AO33" s="539" t="s">
        <v>223</v>
      </c>
      <c r="AP33" s="540"/>
      <c r="AQ33" s="539" t="s">
        <v>224</v>
      </c>
      <c r="AR33" s="540"/>
    </row>
    <row r="34" spans="16:44" x14ac:dyDescent="0.25">
      <c r="P34" s="291" t="s">
        <v>141</v>
      </c>
      <c r="Q34" s="292" t="s">
        <v>205</v>
      </c>
      <c r="R34" s="291" t="s">
        <v>141</v>
      </c>
      <c r="S34" s="292" t="s">
        <v>205</v>
      </c>
      <c r="U34" s="291" t="s">
        <v>141</v>
      </c>
      <c r="V34" s="292" t="s">
        <v>205</v>
      </c>
      <c r="W34" s="291" t="s">
        <v>141</v>
      </c>
      <c r="X34" s="292" t="s">
        <v>205</v>
      </c>
      <c r="Z34" s="291" t="s">
        <v>141</v>
      </c>
      <c r="AA34" s="292" t="s">
        <v>205</v>
      </c>
      <c r="AB34" s="291" t="s">
        <v>141</v>
      </c>
      <c r="AC34" s="292" t="s">
        <v>205</v>
      </c>
      <c r="AE34" s="291" t="s">
        <v>141</v>
      </c>
      <c r="AF34" s="292" t="s">
        <v>205</v>
      </c>
      <c r="AG34" s="291" t="s">
        <v>141</v>
      </c>
      <c r="AH34" s="292" t="s">
        <v>205</v>
      </c>
      <c r="AJ34" s="291" t="s">
        <v>141</v>
      </c>
      <c r="AK34" s="292" t="s">
        <v>205</v>
      </c>
      <c r="AL34" s="291" t="s">
        <v>141</v>
      </c>
      <c r="AM34" s="292" t="s">
        <v>205</v>
      </c>
      <c r="AO34" s="291" t="s">
        <v>141</v>
      </c>
      <c r="AP34" s="292" t="s">
        <v>205</v>
      </c>
      <c r="AQ34" s="291" t="s">
        <v>141</v>
      </c>
      <c r="AR34" s="292" t="s">
        <v>205</v>
      </c>
    </row>
    <row r="35" spans="16:44" x14ac:dyDescent="0.25">
      <c r="P35" s="287">
        <v>0.6</v>
      </c>
      <c r="Q35" s="288">
        <v>2.7575180803225803E-2</v>
      </c>
      <c r="R35" s="287">
        <v>0.6</v>
      </c>
      <c r="S35" s="288">
        <v>9.0339614776624999E-3</v>
      </c>
      <c r="U35" s="287">
        <v>0.6</v>
      </c>
      <c r="V35" s="288">
        <v>1.479478968376672E-4</v>
      </c>
      <c r="W35" s="287">
        <v>0.6</v>
      </c>
      <c r="X35" s="288">
        <v>4.3594883370816406E-5</v>
      </c>
      <c r="Z35" s="287">
        <v>0.6</v>
      </c>
      <c r="AA35" s="288">
        <v>1.5018633875201171E-3</v>
      </c>
      <c r="AB35" s="287">
        <v>0.6</v>
      </c>
      <c r="AC35" s="288">
        <v>4.629258201067156E-4</v>
      </c>
      <c r="AE35" s="287">
        <v>0.6</v>
      </c>
      <c r="AF35" s="288">
        <v>3.0776223402897204E-2</v>
      </c>
      <c r="AG35" s="287">
        <v>0.6</v>
      </c>
      <c r="AH35" s="288">
        <v>1.0108552537459877E-2</v>
      </c>
      <c r="AJ35" s="287">
        <v>0.6</v>
      </c>
      <c r="AK35" s="288">
        <v>2.7325194365743849E-2</v>
      </c>
      <c r="AL35" s="287">
        <v>0.6</v>
      </c>
      <c r="AM35" s="288">
        <v>8.9619102364244703E-3</v>
      </c>
      <c r="AO35" s="287">
        <v>0.6</v>
      </c>
      <c r="AP35" s="288">
        <v>0.51096479466240408</v>
      </c>
      <c r="AQ35" s="287">
        <v>0.6</v>
      </c>
      <c r="AR35" s="288">
        <v>0.18061384033300995</v>
      </c>
    </row>
    <row r="36" spans="16:44" x14ac:dyDescent="0.25">
      <c r="P36" s="287">
        <v>0.65</v>
      </c>
      <c r="Q36" s="288">
        <v>0.18760403145719298</v>
      </c>
      <c r="R36" s="287">
        <v>0.65</v>
      </c>
      <c r="S36" s="288">
        <v>6.4124471270396319E-2</v>
      </c>
      <c r="U36" s="287">
        <v>0.65</v>
      </c>
      <c r="V36" s="288">
        <v>1.08922253855687E-3</v>
      </c>
      <c r="W36" s="287">
        <v>0.65</v>
      </c>
      <c r="X36" s="288">
        <v>3.3533034186908979E-4</v>
      </c>
      <c r="Z36" s="287">
        <v>0.65</v>
      </c>
      <c r="AA36" s="288">
        <v>1.0716962293648286E-2</v>
      </c>
      <c r="AB36" s="287">
        <v>0.65</v>
      </c>
      <c r="AC36" s="288">
        <v>3.4512492684058084E-3</v>
      </c>
      <c r="AE36" s="287">
        <v>0.65</v>
      </c>
      <c r="AF36" s="288">
        <v>0.2061804209545737</v>
      </c>
      <c r="AG36" s="287">
        <v>0.65</v>
      </c>
      <c r="AH36" s="288">
        <v>7.0727883832148758E-2</v>
      </c>
      <c r="AJ36" s="287">
        <v>0.65</v>
      </c>
      <c r="AK36" s="288">
        <v>0.1826278668191442</v>
      </c>
      <c r="AL36" s="287">
        <v>0.65</v>
      </c>
      <c r="AM36" s="288">
        <v>6.247992015741221E-2</v>
      </c>
      <c r="AO36" s="287">
        <v>0.65</v>
      </c>
      <c r="AP36" s="288">
        <v>2.6498786738828648</v>
      </c>
      <c r="AQ36" s="287">
        <v>0.65</v>
      </c>
      <c r="AR36" s="288">
        <v>0.97492982657491656</v>
      </c>
    </row>
    <row r="37" spans="16:44" x14ac:dyDescent="0.25">
      <c r="P37" s="287">
        <v>0.7</v>
      </c>
      <c r="Q37" s="288">
        <v>0.99733851870449941</v>
      </c>
      <c r="R37" s="287">
        <v>0.7</v>
      </c>
      <c r="S37" s="288">
        <v>0.7</v>
      </c>
      <c r="U37" s="287">
        <v>0.7</v>
      </c>
      <c r="V37" s="288">
        <v>6.22459309307981E-3</v>
      </c>
      <c r="W37" s="287">
        <v>0.7</v>
      </c>
      <c r="X37" s="288">
        <v>1.9901348992520285E-3</v>
      </c>
      <c r="Z37" s="287">
        <v>0.7</v>
      </c>
      <c r="AA37" s="288">
        <v>5.9650108517594801E-2</v>
      </c>
      <c r="AB37" s="287">
        <v>0.7</v>
      </c>
      <c r="AC37" s="288">
        <v>1.9952418041759391E-2</v>
      </c>
      <c r="AE37" s="287">
        <v>0.7</v>
      </c>
      <c r="AF37" s="288">
        <v>1.0816588332010808</v>
      </c>
      <c r="AG37" s="287">
        <v>0.7</v>
      </c>
      <c r="AH37" s="288">
        <v>0.3855663069292643</v>
      </c>
      <c r="AJ37" s="287">
        <v>0.7</v>
      </c>
      <c r="AK37" s="288">
        <v>0.95487833827216706</v>
      </c>
      <c r="AL37" s="287">
        <v>0.7</v>
      </c>
      <c r="AM37" s="288">
        <v>0.33983102938597942</v>
      </c>
      <c r="AO37" s="287">
        <v>0.7</v>
      </c>
      <c r="AP37" s="288">
        <v>11.020813571010329</v>
      </c>
      <c r="AQ37" s="287">
        <v>0.7</v>
      </c>
      <c r="AR37" s="288">
        <v>4.2001830776532989</v>
      </c>
    </row>
    <row r="38" spans="16:44" x14ac:dyDescent="0.25">
      <c r="P38" s="287">
        <v>0.75</v>
      </c>
      <c r="Q38" s="288">
        <v>4.3092638194426272</v>
      </c>
      <c r="R38" s="287">
        <v>0.75</v>
      </c>
      <c r="S38" s="288">
        <v>1.5879668607166626</v>
      </c>
      <c r="U38" s="287">
        <v>0.75</v>
      </c>
      <c r="V38" s="288">
        <v>2.8605083358231111E-2</v>
      </c>
      <c r="W38" s="287">
        <v>0.75</v>
      </c>
      <c r="X38" s="288">
        <v>9.4806095149712576E-3</v>
      </c>
      <c r="Z38" s="287">
        <v>0.75</v>
      </c>
      <c r="AA38" s="288">
        <v>0.26778705247718398</v>
      </c>
      <c r="AB38" s="287">
        <v>0.75</v>
      </c>
      <c r="AC38" s="288">
        <v>9.3273696058061892E-2</v>
      </c>
      <c r="AE38" s="287">
        <v>0.75</v>
      </c>
      <c r="AF38" s="288">
        <v>4.6134691984552436</v>
      </c>
      <c r="AG38" s="287">
        <v>0.75</v>
      </c>
      <c r="AH38" s="288">
        <v>1.7042871600817382</v>
      </c>
      <c r="AJ38" s="287">
        <v>0.75</v>
      </c>
      <c r="AK38" s="288">
        <v>4.0621732523945715</v>
      </c>
      <c r="AL38" s="287">
        <v>0.75</v>
      </c>
      <c r="AM38" s="288">
        <v>1.4977862248494704</v>
      </c>
      <c r="AO38" s="287">
        <v>0.75</v>
      </c>
      <c r="AP38" s="288">
        <v>37.89958915432895</v>
      </c>
      <c r="AQ38" s="287">
        <v>0.75</v>
      </c>
      <c r="AR38" s="288">
        <v>14.947874480211789</v>
      </c>
    </row>
    <row r="39" spans="16:44" x14ac:dyDescent="0.25">
      <c r="P39" s="287">
        <v>0.8</v>
      </c>
      <c r="Q39" s="288">
        <v>15.511575670781035</v>
      </c>
      <c r="R39" s="287">
        <v>0.8</v>
      </c>
      <c r="S39" s="288">
        <v>5.9100322786296235</v>
      </c>
      <c r="U39" s="287">
        <v>0.8</v>
      </c>
      <c r="V39" s="288">
        <v>0.10897332599587306</v>
      </c>
      <c r="W39" s="287">
        <v>0.8</v>
      </c>
      <c r="X39" s="288">
        <v>3.7268332735364888E-2</v>
      </c>
      <c r="Z39" s="287">
        <v>0.8</v>
      </c>
      <c r="AA39" s="288">
        <v>0.99738220727233495</v>
      </c>
      <c r="AB39" s="287">
        <v>0.8</v>
      </c>
      <c r="AC39" s="288">
        <v>0.35772788939881123</v>
      </c>
      <c r="AE39" s="287">
        <v>0.8</v>
      </c>
      <c r="AF39" s="288">
        <v>16.408428792617318</v>
      </c>
      <c r="AG39" s="287">
        <v>0.8</v>
      </c>
      <c r="AH39" s="288">
        <v>6.2684401690883256</v>
      </c>
      <c r="AJ39" s="287">
        <v>0.8</v>
      </c>
      <c r="AK39" s="288">
        <v>14.409845660319407</v>
      </c>
      <c r="AL39" s="287">
        <v>0.8</v>
      </c>
      <c r="AM39" s="288">
        <v>5.4917316899379038</v>
      </c>
      <c r="AO39" s="287">
        <v>0.8</v>
      </c>
      <c r="AP39" s="288">
        <v>110.37673354860831</v>
      </c>
      <c r="AQ39" s="287">
        <v>0.8</v>
      </c>
      <c r="AR39" s="288">
        <v>44.844562691868191</v>
      </c>
    </row>
    <row r="40" spans="16:44" x14ac:dyDescent="0.25">
      <c r="P40" s="287">
        <v>0.85</v>
      </c>
      <c r="Q40" s="288">
        <v>46.959277993023129</v>
      </c>
      <c r="R40" s="287">
        <v>0.85</v>
      </c>
      <c r="S40" s="288">
        <v>18.462526775088911</v>
      </c>
      <c r="U40" s="287">
        <v>0.85</v>
      </c>
      <c r="V40" s="288">
        <v>0.34656200527935205</v>
      </c>
      <c r="W40" s="287">
        <v>0.85</v>
      </c>
      <c r="X40" s="288">
        <v>0.12243982874113669</v>
      </c>
      <c r="Z40" s="287">
        <v>0.85</v>
      </c>
      <c r="AA40" s="288">
        <v>3.121373630218351</v>
      </c>
      <c r="AB40" s="287">
        <v>0.85</v>
      </c>
      <c r="AC40" s="288">
        <v>1.1534836884784465</v>
      </c>
      <c r="AE40" s="287">
        <v>0.85</v>
      </c>
      <c r="AF40" s="288">
        <v>49.118618569170209</v>
      </c>
      <c r="AG40" s="287">
        <v>0.85</v>
      </c>
      <c r="AH40" s="288">
        <v>19.352986895885007</v>
      </c>
      <c r="AJ40" s="287">
        <v>0.85</v>
      </c>
      <c r="AK40" s="288">
        <v>43.035292182084937</v>
      </c>
      <c r="AL40" s="287">
        <v>0.85</v>
      </c>
      <c r="AM40" s="288">
        <v>16.922692325517531</v>
      </c>
      <c r="AO40" s="287">
        <v>0.85</v>
      </c>
      <c r="AP40" s="288">
        <v>275.47417004303429</v>
      </c>
      <c r="AQ40" s="287">
        <v>0.85</v>
      </c>
      <c r="AR40" s="288">
        <v>114.92117948527081</v>
      </c>
    </row>
    <row r="41" spans="16:44" x14ac:dyDescent="0.25">
      <c r="P41" s="287">
        <v>0.9</v>
      </c>
      <c r="Q41" s="288">
        <v>119.195837264394</v>
      </c>
      <c r="R41" s="287">
        <v>0.9</v>
      </c>
      <c r="S41" s="288">
        <v>48.131311916788377</v>
      </c>
      <c r="U41" s="287">
        <v>0.9</v>
      </c>
      <c r="V41" s="288">
        <v>0.92044091969783781</v>
      </c>
      <c r="W41" s="287">
        <v>0.9</v>
      </c>
      <c r="X41" s="288">
        <v>0.33378307869135126</v>
      </c>
      <c r="Z41" s="287">
        <v>0.9</v>
      </c>
      <c r="AA41" s="288">
        <v>8.1617392691306101</v>
      </c>
      <c r="AB41" s="287">
        <v>0.9</v>
      </c>
      <c r="AC41" s="288">
        <v>3.1005822749711034</v>
      </c>
      <c r="AE41" s="287">
        <v>0.9</v>
      </c>
      <c r="AF41" s="288">
        <v>123.37663215435683</v>
      </c>
      <c r="AG41" s="287">
        <v>0.9</v>
      </c>
      <c r="AH41" s="288">
        <v>49.930415781411469</v>
      </c>
      <c r="AJ41" s="287">
        <v>0.9</v>
      </c>
      <c r="AK41" s="288">
        <v>107.81761984641659</v>
      </c>
      <c r="AL41" s="287">
        <v>0.9</v>
      </c>
      <c r="AM41" s="288">
        <v>43.532844647074953</v>
      </c>
      <c r="AO41" s="287">
        <v>0.9</v>
      </c>
      <c r="AP41" s="288">
        <v>583.31559187126027</v>
      </c>
      <c r="AQ41" s="287">
        <v>0.9</v>
      </c>
      <c r="AR41" s="288">
        <v>249.72554685521379</v>
      </c>
    </row>
    <row r="42" spans="16:44" x14ac:dyDescent="0.25">
      <c r="P42" s="287">
        <v>0.95</v>
      </c>
      <c r="Q42" s="288">
        <v>236.74482412622083</v>
      </c>
      <c r="R42" s="287">
        <v>0.95</v>
      </c>
      <c r="S42" s="288">
        <v>97.994312886485204</v>
      </c>
      <c r="U42" s="287">
        <v>0.95</v>
      </c>
      <c r="V42" s="288">
        <v>1.9041225079067285</v>
      </c>
      <c r="W42" s="287">
        <v>0.95</v>
      </c>
      <c r="X42" s="288">
        <v>0.70776089125198383</v>
      </c>
      <c r="Z42" s="287">
        <v>0.95</v>
      </c>
      <c r="AA42" s="288">
        <v>16.607498382344048</v>
      </c>
      <c r="AB42" s="287">
        <v>0.95</v>
      </c>
      <c r="AC42" s="288">
        <v>6.4829667273955982</v>
      </c>
      <c r="AE42" s="287">
        <v>0.95</v>
      </c>
      <c r="AF42" s="288">
        <v>242.67627591370396</v>
      </c>
      <c r="AG42" s="287">
        <v>0.95</v>
      </c>
      <c r="AH42" s="288">
        <v>100.64379495056927</v>
      </c>
      <c r="AJ42" s="287">
        <v>0.95</v>
      </c>
      <c r="AK42" s="288">
        <v>211.48065929807521</v>
      </c>
      <c r="AL42" s="287">
        <v>0.95</v>
      </c>
      <c r="AM42" s="288">
        <v>87.527953367052191</v>
      </c>
      <c r="AO42" s="287">
        <v>0.95</v>
      </c>
      <c r="AP42" s="288">
        <v>978.01969638835374</v>
      </c>
      <c r="AQ42" s="287">
        <v>0.95</v>
      </c>
      <c r="AR42" s="288">
        <v>427.99970466878955</v>
      </c>
    </row>
    <row r="43" spans="16:44" x14ac:dyDescent="0.25">
      <c r="P43" s="287">
        <v>0.96</v>
      </c>
      <c r="Q43" s="288">
        <v>257.40293769675282</v>
      </c>
      <c r="R43" s="287">
        <v>0.96</v>
      </c>
      <c r="S43" s="288">
        <v>107.09440345642352</v>
      </c>
      <c r="U43" s="287">
        <v>0.96</v>
      </c>
      <c r="V43" s="288">
        <v>2.0873416830621512</v>
      </c>
      <c r="W43" s="287">
        <v>0.96</v>
      </c>
      <c r="X43" s="288">
        <v>0.77935555291577241</v>
      </c>
      <c r="Z43" s="287">
        <v>0.96</v>
      </c>
      <c r="AA43" s="288">
        <v>18.146790825608729</v>
      </c>
      <c r="AB43" s="287">
        <v>0.96</v>
      </c>
      <c r="AC43" s="288">
        <v>7.1199999034282655</v>
      </c>
      <c r="AE43" s="287">
        <v>0.96</v>
      </c>
      <c r="AF43" s="288">
        <v>263.29696465275043</v>
      </c>
      <c r="AG43" s="287">
        <v>0.96</v>
      </c>
      <c r="AH43" s="288">
        <v>109.77300085035171</v>
      </c>
      <c r="AJ43" s="287">
        <v>0.96</v>
      </c>
      <c r="AK43" s="288">
        <v>229.47340653045686</v>
      </c>
      <c r="AL43" s="287">
        <v>0.96</v>
      </c>
      <c r="AM43" s="288">
        <v>95.421079048101191</v>
      </c>
      <c r="AO43" s="287">
        <v>0.96</v>
      </c>
      <c r="AP43" s="288">
        <v>1029.9109572469608</v>
      </c>
      <c r="AQ43" s="287">
        <v>0.96</v>
      </c>
      <c r="AR43" s="288">
        <v>452.41653687943045</v>
      </c>
    </row>
    <row r="44" spans="16:44" x14ac:dyDescent="0.25">
      <c r="P44" s="287">
        <v>0.97</v>
      </c>
      <c r="Q44" s="288">
        <v>269.98698711228576</v>
      </c>
      <c r="R44" s="287">
        <v>0.97</v>
      </c>
      <c r="S44" s="288">
        <v>112.90359043928756</v>
      </c>
      <c r="U44" s="287">
        <v>0.97</v>
      </c>
      <c r="V44" s="288">
        <v>2.2079516482414183</v>
      </c>
      <c r="W44" s="287">
        <v>0.97</v>
      </c>
      <c r="X44" s="288">
        <v>0.82805483176153538</v>
      </c>
      <c r="Z44" s="287">
        <v>0.97</v>
      </c>
      <c r="AA44" s="288">
        <v>19.128606550757116</v>
      </c>
      <c r="AB44" s="287">
        <v>0.97</v>
      </c>
      <c r="AC44" s="288">
        <v>7.541180653418019</v>
      </c>
      <c r="AE44" s="287">
        <v>0.97</v>
      </c>
      <c r="AF44" s="288">
        <v>275.66074137993866</v>
      </c>
      <c r="AG44" s="287">
        <v>0.97</v>
      </c>
      <c r="AH44" s="288">
        <v>115.51060184901156</v>
      </c>
      <c r="AJ44" s="287">
        <v>0.97</v>
      </c>
      <c r="AK44" s="288">
        <v>240.10451762137112</v>
      </c>
      <c r="AL44" s="287">
        <v>0.97</v>
      </c>
      <c r="AM44" s="288">
        <v>100.36164541049496</v>
      </c>
      <c r="AO44" s="287">
        <v>0.97</v>
      </c>
      <c r="AP44" s="288">
        <v>1047.1038208266518</v>
      </c>
      <c r="AQ44" s="287">
        <v>0.97</v>
      </c>
      <c r="AR44" s="288">
        <v>461.6884825177554</v>
      </c>
    </row>
    <row r="45" spans="16:44" x14ac:dyDescent="0.25">
      <c r="P45" s="287">
        <v>0.98</v>
      </c>
      <c r="Q45" s="288">
        <v>266.14250370398872</v>
      </c>
      <c r="R45" s="287">
        <v>0.98</v>
      </c>
      <c r="S45" s="288">
        <v>111.85552205508417</v>
      </c>
      <c r="U45" s="287">
        <v>0.98</v>
      </c>
      <c r="V45" s="288">
        <v>2.1935988486894202</v>
      </c>
      <c r="W45" s="287">
        <v>0.98</v>
      </c>
      <c r="X45" s="288">
        <v>0.82643569265606709</v>
      </c>
      <c r="Z45" s="287">
        <v>0.98</v>
      </c>
      <c r="AA45" s="288">
        <v>18.945359081087361</v>
      </c>
      <c r="AB45" s="287">
        <v>0.98</v>
      </c>
      <c r="AC45" s="288">
        <v>7.5013657764530581</v>
      </c>
      <c r="AE45" s="287">
        <v>0.98</v>
      </c>
      <c r="AF45" s="288">
        <v>271.24087006499343</v>
      </c>
      <c r="AG45" s="287">
        <v>0.98</v>
      </c>
      <c r="AH45" s="288">
        <v>114.22628289308292</v>
      </c>
      <c r="AJ45" s="287">
        <v>0.98</v>
      </c>
      <c r="AK45" s="288">
        <v>236.11437899927029</v>
      </c>
      <c r="AL45" s="287">
        <v>0.98</v>
      </c>
      <c r="AM45" s="288">
        <v>99.185675635851723</v>
      </c>
      <c r="AO45" s="287">
        <v>0.98</v>
      </c>
      <c r="AP45" s="288">
        <v>1000.7595277588331</v>
      </c>
      <c r="AQ45" s="287">
        <v>0.98</v>
      </c>
      <c r="AR45" s="288">
        <v>442.94106664603328</v>
      </c>
    </row>
    <row r="46" spans="16:44" x14ac:dyDescent="0.25">
      <c r="P46" s="287">
        <v>0.99</v>
      </c>
      <c r="Q46" s="288">
        <v>226.50027215347507</v>
      </c>
      <c r="R46" s="287">
        <v>0.99</v>
      </c>
      <c r="S46" s="288">
        <v>95.665987974274984</v>
      </c>
      <c r="U46" s="287">
        <v>0.99</v>
      </c>
      <c r="V46" s="288">
        <v>1.8796017661685527</v>
      </c>
      <c r="W46" s="287">
        <v>0.99</v>
      </c>
      <c r="X46" s="288">
        <v>0.7117567800134289</v>
      </c>
      <c r="Z46" s="287">
        <v>0.99</v>
      </c>
      <c r="AA46" s="288">
        <v>16.198269761916716</v>
      </c>
      <c r="AB46" s="287">
        <v>0.99</v>
      </c>
      <c r="AC46" s="288">
        <v>6.4411787339336852</v>
      </c>
      <c r="AE46" s="287">
        <v>0.99</v>
      </c>
      <c r="AF46" s="288">
        <v>230.42357992923752</v>
      </c>
      <c r="AG46" s="287">
        <v>0.99</v>
      </c>
      <c r="AH46" s="288">
        <v>97.514619932944953</v>
      </c>
      <c r="AJ46" s="287">
        <v>0.99</v>
      </c>
      <c r="AK46" s="288">
        <v>200.46542108485392</v>
      </c>
      <c r="AL46" s="287">
        <v>0.99</v>
      </c>
      <c r="AM46" s="288">
        <v>84.623819328590287</v>
      </c>
      <c r="AO46" s="287">
        <v>0.99</v>
      </c>
      <c r="AP46" s="288">
        <v>825.55743817467385</v>
      </c>
      <c r="AQ46" s="287">
        <v>0.99</v>
      </c>
      <c r="AR46" s="288">
        <v>366.97969865430491</v>
      </c>
    </row>
    <row r="47" spans="16:44" ht="15.75" thickBot="1" x14ac:dyDescent="0.3">
      <c r="P47" s="289">
        <v>1</v>
      </c>
      <c r="Q47" s="290">
        <v>0</v>
      </c>
      <c r="R47" s="289">
        <v>1</v>
      </c>
      <c r="S47" s="290">
        <v>0</v>
      </c>
      <c r="U47" s="289">
        <v>1</v>
      </c>
      <c r="V47" s="290">
        <v>0</v>
      </c>
      <c r="W47" s="289">
        <v>1</v>
      </c>
      <c r="X47" s="290">
        <v>0</v>
      </c>
      <c r="Z47" s="289">
        <v>1</v>
      </c>
      <c r="AA47" s="290">
        <v>0</v>
      </c>
      <c r="AB47" s="289">
        <v>1</v>
      </c>
      <c r="AC47" s="290">
        <v>0</v>
      </c>
      <c r="AE47" s="289">
        <v>1</v>
      </c>
      <c r="AF47" s="290">
        <v>0</v>
      </c>
      <c r="AG47" s="289">
        <v>1</v>
      </c>
      <c r="AH47" s="290">
        <v>0</v>
      </c>
      <c r="AJ47" s="289">
        <v>1</v>
      </c>
      <c r="AK47" s="290">
        <v>0</v>
      </c>
      <c r="AL47" s="289">
        <v>1</v>
      </c>
      <c r="AM47" s="290">
        <v>0</v>
      </c>
      <c r="AO47" s="289">
        <v>1</v>
      </c>
      <c r="AP47" s="290">
        <v>0</v>
      </c>
      <c r="AQ47" s="289">
        <v>1</v>
      </c>
      <c r="AR47" s="290">
        <v>0</v>
      </c>
    </row>
    <row r="48" spans="16:44" ht="15.75" thickBot="1" x14ac:dyDescent="0.3">
      <c r="P48" s="539" t="s">
        <v>225</v>
      </c>
      <c r="Q48" s="540"/>
      <c r="R48" s="539" t="s">
        <v>226</v>
      </c>
      <c r="S48" s="540"/>
      <c r="U48" s="539" t="s">
        <v>225</v>
      </c>
      <c r="V48" s="540"/>
      <c r="W48" s="539" t="s">
        <v>226</v>
      </c>
      <c r="X48" s="540"/>
      <c r="Z48" s="539" t="s">
        <v>225</v>
      </c>
      <c r="AA48" s="540"/>
      <c r="AB48" s="539" t="s">
        <v>226</v>
      </c>
      <c r="AC48" s="540"/>
      <c r="AE48" s="539" t="s">
        <v>225</v>
      </c>
      <c r="AF48" s="540"/>
      <c r="AG48" s="539" t="s">
        <v>226</v>
      </c>
      <c r="AH48" s="540"/>
      <c r="AJ48" s="539" t="s">
        <v>225</v>
      </c>
      <c r="AK48" s="540"/>
      <c r="AL48" s="539" t="s">
        <v>226</v>
      </c>
      <c r="AM48" s="540"/>
      <c r="AO48" s="539" t="s">
        <v>225</v>
      </c>
      <c r="AP48" s="540"/>
      <c r="AQ48" s="539" t="s">
        <v>226</v>
      </c>
      <c r="AR48" s="540"/>
    </row>
    <row r="49" spans="16:44" x14ac:dyDescent="0.25">
      <c r="P49" s="291" t="s">
        <v>141</v>
      </c>
      <c r="Q49" s="292" t="s">
        <v>205</v>
      </c>
      <c r="R49" s="291" t="s">
        <v>141</v>
      </c>
      <c r="S49" s="292" t="s">
        <v>205</v>
      </c>
      <c r="U49" s="291" t="s">
        <v>141</v>
      </c>
      <c r="V49" s="292" t="s">
        <v>205</v>
      </c>
      <c r="W49" s="291" t="s">
        <v>141</v>
      </c>
      <c r="X49" s="292" t="s">
        <v>205</v>
      </c>
      <c r="Z49" s="291" t="s">
        <v>141</v>
      </c>
      <c r="AA49" s="292" t="s">
        <v>205</v>
      </c>
      <c r="AB49" s="291" t="s">
        <v>141</v>
      </c>
      <c r="AC49" s="292" t="s">
        <v>205</v>
      </c>
      <c r="AE49" s="291" t="s">
        <v>141</v>
      </c>
      <c r="AF49" s="292" t="s">
        <v>205</v>
      </c>
      <c r="AG49" s="291" t="s">
        <v>141</v>
      </c>
      <c r="AH49" s="292" t="s">
        <v>205</v>
      </c>
      <c r="AJ49" s="291" t="s">
        <v>141</v>
      </c>
      <c r="AK49" s="292" t="s">
        <v>205</v>
      </c>
      <c r="AL49" s="291" t="s">
        <v>141</v>
      </c>
      <c r="AM49" s="292" t="s">
        <v>205</v>
      </c>
      <c r="AO49" s="291" t="s">
        <v>141</v>
      </c>
      <c r="AP49" s="292" t="s">
        <v>205</v>
      </c>
      <c r="AQ49" s="291" t="s">
        <v>141</v>
      </c>
      <c r="AR49" s="292" t="s">
        <v>205</v>
      </c>
    </row>
    <row r="50" spans="16:44" x14ac:dyDescent="0.25">
      <c r="P50" s="287">
        <v>0.6</v>
      </c>
      <c r="Q50" s="288">
        <v>3.0133988298438161E-3</v>
      </c>
      <c r="R50" s="287">
        <v>0.6</v>
      </c>
      <c r="S50" s="288">
        <v>1.0249195002368333E-3</v>
      </c>
      <c r="U50" s="287">
        <v>0.6</v>
      </c>
      <c r="V50" s="288">
        <v>1.3142865426488966E-5</v>
      </c>
      <c r="W50" s="287">
        <v>0.6</v>
      </c>
      <c r="X50" s="288">
        <v>4.050260276777807E-6</v>
      </c>
      <c r="Z50" s="287">
        <v>0.6</v>
      </c>
      <c r="AA50" s="288">
        <v>1.4573757183359426E-4</v>
      </c>
      <c r="AB50" s="287">
        <v>0.6</v>
      </c>
      <c r="AC50" s="288">
        <v>4.6914238121430219E-5</v>
      </c>
      <c r="AE50" s="287">
        <v>0.6</v>
      </c>
      <c r="AF50" s="288">
        <v>3.382882150070056E-3</v>
      </c>
      <c r="AG50" s="287">
        <v>0.6</v>
      </c>
      <c r="AH50" s="288">
        <v>1.1542209515621074E-3</v>
      </c>
      <c r="AJ50" s="287">
        <v>0.6</v>
      </c>
      <c r="AK50" s="288">
        <v>2.9924864198519136E-3</v>
      </c>
      <c r="AL50" s="287">
        <v>0.6</v>
      </c>
      <c r="AM50" s="288">
        <v>1.0188725646094817E-3</v>
      </c>
      <c r="AO50" s="287">
        <v>0.6</v>
      </c>
      <c r="AP50" s="288">
        <v>6.4909285550536475E-2</v>
      </c>
      <c r="AQ50" s="287">
        <v>0.6</v>
      </c>
      <c r="AR50" s="288">
        <v>2.3669446102432483E-2</v>
      </c>
    </row>
    <row r="51" spans="16:44" x14ac:dyDescent="0.25">
      <c r="P51" s="287">
        <v>0.65</v>
      </c>
      <c r="Q51" s="288">
        <v>2.2301183188355257E-2</v>
      </c>
      <c r="R51" s="287">
        <v>0.65</v>
      </c>
      <c r="S51" s="288">
        <v>7.9196985733452629E-3</v>
      </c>
      <c r="U51" s="287">
        <v>0.65</v>
      </c>
      <c r="V51" s="288">
        <v>1.0527532562615622E-4</v>
      </c>
      <c r="W51" s="287">
        <v>0.65</v>
      </c>
      <c r="X51" s="288">
        <v>3.378802403957929E-5</v>
      </c>
      <c r="Z51" s="287">
        <v>0.65</v>
      </c>
      <c r="AA51" s="288">
        <v>1.134520465850033E-3</v>
      </c>
      <c r="AB51" s="287">
        <v>0.65</v>
      </c>
      <c r="AC51" s="288">
        <v>3.804686140807233E-4</v>
      </c>
      <c r="AE51" s="287">
        <v>0.65</v>
      </c>
      <c r="AF51" s="288">
        <v>2.4661561909567954E-2</v>
      </c>
      <c r="AG51" s="287">
        <v>0.65</v>
      </c>
      <c r="AH51" s="288">
        <v>8.7778365383112556E-3</v>
      </c>
      <c r="AJ51" s="287">
        <v>0.65</v>
      </c>
      <c r="AK51" s="288">
        <v>2.174827700258088E-2</v>
      </c>
      <c r="AL51" s="287">
        <v>0.65</v>
      </c>
      <c r="AM51" s="288">
        <v>7.7299592082249718E-3</v>
      </c>
      <c r="AO51" s="287">
        <v>0.65</v>
      </c>
      <c r="AP51" s="288">
        <v>0.36403803246819388</v>
      </c>
      <c r="AQ51" s="287">
        <v>0.65</v>
      </c>
      <c r="AR51" s="288">
        <v>0.13844122589144303</v>
      </c>
    </row>
    <row r="52" spans="16:44" x14ac:dyDescent="0.25">
      <c r="P52" s="287">
        <v>0.7</v>
      </c>
      <c r="Q52" s="288">
        <v>0.12864929986948773</v>
      </c>
      <c r="R52" s="287">
        <v>0.7</v>
      </c>
      <c r="S52" s="288">
        <v>4.7269692607205802E-2</v>
      </c>
      <c r="U52" s="287">
        <v>0.7</v>
      </c>
      <c r="V52" s="288">
        <v>6.4937364008689318E-4</v>
      </c>
      <c r="W52" s="287">
        <v>0.7</v>
      </c>
      <c r="X52" s="288">
        <v>2.1634044864659544E-4</v>
      </c>
      <c r="Z52" s="287">
        <v>0.7</v>
      </c>
      <c r="AA52" s="288">
        <v>6.825036320094369E-3</v>
      </c>
      <c r="AB52" s="287">
        <v>0.7</v>
      </c>
      <c r="AC52" s="288">
        <v>2.3722741950670547E-3</v>
      </c>
      <c r="AE52" s="287">
        <v>0.7</v>
      </c>
      <c r="AF52" s="288">
        <v>0.14020216014656731</v>
      </c>
      <c r="AG52" s="287">
        <v>0.7</v>
      </c>
      <c r="AH52" s="288">
        <v>5.168106841710373E-2</v>
      </c>
      <c r="AJ52" s="287">
        <v>0.7</v>
      </c>
      <c r="AK52" s="288">
        <v>0.12335909816031679</v>
      </c>
      <c r="AL52" s="287">
        <v>0.7</v>
      </c>
      <c r="AM52" s="288">
        <v>4.5348650148622507E-2</v>
      </c>
      <c r="AO52" s="287">
        <v>0.7</v>
      </c>
      <c r="AP52" s="288">
        <v>1.6253620150174044</v>
      </c>
      <c r="AQ52" s="287">
        <v>0.7</v>
      </c>
      <c r="AR52" s="288">
        <v>0.63892182297466638</v>
      </c>
    </row>
    <row r="53" spans="16:44" x14ac:dyDescent="0.25">
      <c r="P53" s="287">
        <v>0.75</v>
      </c>
      <c r="Q53" s="288">
        <v>0.59517234156636134</v>
      </c>
      <c r="R53" s="287">
        <v>0.75</v>
      </c>
      <c r="S53" s="288">
        <v>0.22681761237385034</v>
      </c>
      <c r="U53" s="287">
        <v>0.75</v>
      </c>
      <c r="V53" s="288">
        <v>3.2049922378034664E-3</v>
      </c>
      <c r="W53" s="287">
        <v>0.75</v>
      </c>
      <c r="X53" s="288">
        <v>1.1044174506287144E-3</v>
      </c>
      <c r="Z53" s="287">
        <v>0.75</v>
      </c>
      <c r="AA53" s="288">
        <v>3.2880422060101812E-2</v>
      </c>
      <c r="AB53" s="287">
        <v>0.75</v>
      </c>
      <c r="AC53" s="288">
        <v>1.1826301484580335E-2</v>
      </c>
      <c r="AE53" s="287">
        <v>0.75</v>
      </c>
      <c r="AF53" s="288">
        <v>0.64046139876296337</v>
      </c>
      <c r="AG53" s="287">
        <v>0.75</v>
      </c>
      <c r="AH53" s="288">
        <v>0.24463545604331655</v>
      </c>
      <c r="AJ53" s="287">
        <v>0.75</v>
      </c>
      <c r="AK53" s="288">
        <v>0.56162180143008389</v>
      </c>
      <c r="AL53" s="287">
        <v>0.75</v>
      </c>
      <c r="AM53" s="288">
        <v>0.21414033592121653</v>
      </c>
      <c r="AO53" s="287">
        <v>0.75</v>
      </c>
      <c r="AP53" s="288">
        <v>5.9821044024424088</v>
      </c>
      <c r="AQ53" s="287">
        <v>0.75</v>
      </c>
      <c r="AR53" s="288">
        <v>2.4220890430435769</v>
      </c>
    </row>
    <row r="54" spans="16:44" x14ac:dyDescent="0.25">
      <c r="P54" s="287">
        <v>0.8</v>
      </c>
      <c r="Q54" s="288">
        <v>2.2842632341750826</v>
      </c>
      <c r="R54" s="287">
        <v>0.8</v>
      </c>
      <c r="S54" s="288">
        <v>0.89782485568753434</v>
      </c>
      <c r="U54" s="287">
        <v>0.8</v>
      </c>
      <c r="V54" s="288">
        <v>1.2987947602268643E-2</v>
      </c>
      <c r="W54" s="287">
        <v>0.8</v>
      </c>
      <c r="X54" s="288">
        <v>4.618484178038321E-3</v>
      </c>
      <c r="Z54" s="287">
        <v>0.8</v>
      </c>
      <c r="AA54" s="288">
        <v>0.13079542094794738</v>
      </c>
      <c r="AB54" s="287">
        <v>0.8</v>
      </c>
      <c r="AC54" s="288">
        <v>4.8537554471914213E-2</v>
      </c>
      <c r="AE54" s="287">
        <v>0.8</v>
      </c>
      <c r="AF54" s="288">
        <v>2.4283145225770957</v>
      </c>
      <c r="AG54" s="287">
        <v>0.8</v>
      </c>
      <c r="AH54" s="288">
        <v>0.95637468763868982</v>
      </c>
      <c r="AJ54" s="287">
        <v>0.8</v>
      </c>
      <c r="AK54" s="288">
        <v>2.1233456505318298</v>
      </c>
      <c r="AL54" s="287">
        <v>0.8</v>
      </c>
      <c r="AM54" s="288">
        <v>0.83481175138527508</v>
      </c>
      <c r="AO54" s="287">
        <v>0.8</v>
      </c>
      <c r="AP54" s="288">
        <v>18.474615452199327</v>
      </c>
      <c r="AQ54" s="287">
        <v>0.8</v>
      </c>
      <c r="AR54" s="288">
        <v>7.7135515971344732</v>
      </c>
    </row>
    <row r="55" spans="16:44" x14ac:dyDescent="0.25">
      <c r="P55" s="287">
        <v>0.85</v>
      </c>
      <c r="Q55" s="288">
        <v>7.3611936872459411</v>
      </c>
      <c r="R55" s="287">
        <v>0.85</v>
      </c>
      <c r="S55" s="288">
        <v>2.971764589433425</v>
      </c>
      <c r="U55" s="287">
        <v>0.85</v>
      </c>
      <c r="V55" s="288">
        <v>4.3993257824302259E-2</v>
      </c>
      <c r="W55" s="287">
        <v>0.85</v>
      </c>
      <c r="X55" s="288">
        <v>1.604513852334841E-2</v>
      </c>
      <c r="Z55" s="287">
        <v>0.85</v>
      </c>
      <c r="AA55" s="288">
        <v>0.4335239145163412</v>
      </c>
      <c r="AB55" s="287">
        <v>0.85</v>
      </c>
      <c r="AC55" s="288">
        <v>0.16567880602924467</v>
      </c>
      <c r="AE55" s="287">
        <v>0.85</v>
      </c>
      <c r="AF55" s="288">
        <v>7.7344018618061332</v>
      </c>
      <c r="AG55" s="287">
        <v>0.85</v>
      </c>
      <c r="AH55" s="288">
        <v>3.1297805327245776</v>
      </c>
      <c r="AJ55" s="287">
        <v>0.85</v>
      </c>
      <c r="AK55" s="288">
        <v>6.7477399450884388</v>
      </c>
      <c r="AL55" s="287">
        <v>0.85</v>
      </c>
      <c r="AM55" s="288">
        <v>2.7239387049745991</v>
      </c>
      <c r="AO55" s="287">
        <v>0.85</v>
      </c>
      <c r="AP55" s="288">
        <v>48.612469908566098</v>
      </c>
      <c r="AQ55" s="287">
        <v>0.85</v>
      </c>
      <c r="AR55" s="288">
        <v>20.826083147974579</v>
      </c>
    </row>
    <row r="56" spans="16:44" x14ac:dyDescent="0.25">
      <c r="P56" s="287">
        <v>0.9</v>
      </c>
      <c r="Q56" s="288">
        <v>19.718707747636564</v>
      </c>
      <c r="R56" s="287">
        <v>0.9</v>
      </c>
      <c r="S56" s="288">
        <v>8.1901679514030832</v>
      </c>
      <c r="U56" s="287">
        <v>0.9</v>
      </c>
      <c r="V56" s="288">
        <v>0.12323279755148553</v>
      </c>
      <c r="W56" s="287">
        <v>0.9</v>
      </c>
      <c r="X56" s="288">
        <v>4.629562803839609E-2</v>
      </c>
      <c r="Z56" s="287">
        <v>0.9</v>
      </c>
      <c r="AA56" s="288">
        <v>1.1961071914128261</v>
      </c>
      <c r="AB56" s="287">
        <v>0.9</v>
      </c>
      <c r="AC56" s="288">
        <v>0.46897220829406022</v>
      </c>
      <c r="AE56" s="287">
        <v>0.9</v>
      </c>
      <c r="AF56" s="288">
        <v>20.496585814016143</v>
      </c>
      <c r="AG56" s="287">
        <v>0.9</v>
      </c>
      <c r="AH56" s="288">
        <v>8.5313297498978748</v>
      </c>
      <c r="AJ56" s="287">
        <v>0.9</v>
      </c>
      <c r="AK56" s="288">
        <v>17.835330654378165</v>
      </c>
      <c r="AL56" s="287">
        <v>0.9</v>
      </c>
      <c r="AM56" s="288">
        <v>7.406444821401017</v>
      </c>
      <c r="AO56" s="287">
        <v>0.9</v>
      </c>
      <c r="AP56" s="288">
        <v>108.13557947131494</v>
      </c>
      <c r="AQ56" s="287">
        <v>0.9</v>
      </c>
      <c r="AR56" s="288">
        <v>47.439965907628185</v>
      </c>
    </row>
    <row r="57" spans="16:44" x14ac:dyDescent="0.25">
      <c r="P57" s="287">
        <v>0.95</v>
      </c>
      <c r="Q57" s="288">
        <v>41.149630476472048</v>
      </c>
      <c r="R57" s="287">
        <v>0.95</v>
      </c>
      <c r="S57" s="288">
        <v>17.50162742522539</v>
      </c>
      <c r="U57" s="287">
        <v>0.95</v>
      </c>
      <c r="V57" s="288">
        <v>0.26761607709392921</v>
      </c>
      <c r="W57" s="287">
        <v>0.95</v>
      </c>
      <c r="X57" s="288">
        <v>0.10284657225299507</v>
      </c>
      <c r="Z57" s="287">
        <v>0.95</v>
      </c>
      <c r="AA57" s="288">
        <v>2.5657160123879175</v>
      </c>
      <c r="AB57" s="287">
        <v>0.95</v>
      </c>
      <c r="AC57" s="288">
        <v>1.029239970883862</v>
      </c>
      <c r="AE57" s="287">
        <v>0.95</v>
      </c>
      <c r="AF57" s="288">
        <v>42.347319945093808</v>
      </c>
      <c r="AG57" s="287">
        <v>0.95</v>
      </c>
      <c r="AH57" s="288">
        <v>18.044409511069993</v>
      </c>
      <c r="AJ57" s="287">
        <v>0.95</v>
      </c>
      <c r="AK57" s="288">
        <v>36.742898276889839</v>
      </c>
      <c r="AL57" s="287">
        <v>0.95</v>
      </c>
      <c r="AM57" s="288">
        <v>15.625820088722527</v>
      </c>
      <c r="AO57" s="287">
        <v>0.95</v>
      </c>
      <c r="AP57" s="288">
        <v>189.8055276760175</v>
      </c>
      <c r="AQ57" s="287">
        <v>0.95</v>
      </c>
      <c r="AR57" s="288">
        <v>85.01942743724446</v>
      </c>
    </row>
    <row r="58" spans="16:44" x14ac:dyDescent="0.25">
      <c r="P58" s="287">
        <v>0.96</v>
      </c>
      <c r="Q58" s="288">
        <v>45.195200056621708</v>
      </c>
      <c r="R58" s="287">
        <v>0.96</v>
      </c>
      <c r="S58" s="288">
        <v>19.304524843858992</v>
      </c>
      <c r="U58" s="287">
        <v>0.96</v>
      </c>
      <c r="V58" s="288">
        <v>0.29614664951444869</v>
      </c>
      <c r="W58" s="287">
        <v>0.96</v>
      </c>
      <c r="X58" s="288">
        <v>0.11429620935088973</v>
      </c>
      <c r="Z58" s="287">
        <v>0.96</v>
      </c>
      <c r="AA58" s="288">
        <v>2.8326680869743406</v>
      </c>
      <c r="AB58" s="287">
        <v>0.96</v>
      </c>
      <c r="AC58" s="288">
        <v>1.1411894084421697</v>
      </c>
      <c r="AE58" s="287">
        <v>0.96</v>
      </c>
      <c r="AF58" s="288">
        <v>46.420056948965303</v>
      </c>
      <c r="AG58" s="287">
        <v>0.96</v>
      </c>
      <c r="AH58" s="288">
        <v>19.864719576490046</v>
      </c>
      <c r="AJ58" s="287">
        <v>0.96</v>
      </c>
      <c r="AK58" s="288">
        <v>40.252365600402378</v>
      </c>
      <c r="AL58" s="287">
        <v>0.96</v>
      </c>
      <c r="AM58" s="288">
        <v>17.191770017052175</v>
      </c>
      <c r="AO58" s="287">
        <v>0.96</v>
      </c>
      <c r="AP58" s="288">
        <v>201.45184578902504</v>
      </c>
      <c r="AQ58" s="287">
        <v>0.96</v>
      </c>
      <c r="AR58" s="288">
        <v>90.645011120575703</v>
      </c>
    </row>
    <row r="59" spans="16:44" x14ac:dyDescent="0.25">
      <c r="P59" s="287">
        <v>0.97</v>
      </c>
      <c r="Q59" s="288">
        <v>47.860529932457922</v>
      </c>
      <c r="R59" s="287">
        <v>0.97</v>
      </c>
      <c r="S59" s="288">
        <v>20.53851573034612</v>
      </c>
      <c r="U59" s="287">
        <v>0.97</v>
      </c>
      <c r="V59" s="288">
        <v>0.31617453327039086</v>
      </c>
      <c r="W59" s="287">
        <v>0.97</v>
      </c>
      <c r="X59" s="288">
        <v>0.12247698351191375</v>
      </c>
      <c r="Z59" s="287">
        <v>0.97</v>
      </c>
      <c r="AA59" s="288">
        <v>3.014745498992867</v>
      </c>
      <c r="AB59" s="287">
        <v>0.97</v>
      </c>
      <c r="AC59" s="288">
        <v>1.2201787159510662</v>
      </c>
      <c r="AE59" s="287">
        <v>0.97</v>
      </c>
      <c r="AF59" s="288">
        <v>49.054774730584114</v>
      </c>
      <c r="AG59" s="287">
        <v>0.97</v>
      </c>
      <c r="AH59" s="288">
        <v>21.09192966563289</v>
      </c>
      <c r="AJ59" s="287">
        <v>0.97</v>
      </c>
      <c r="AK59" s="288">
        <v>42.536336718036566</v>
      </c>
      <c r="AL59" s="287">
        <v>0.97</v>
      </c>
      <c r="AM59" s="288">
        <v>18.247479511708967</v>
      </c>
      <c r="AO59" s="287">
        <v>0.97</v>
      </c>
      <c r="AP59" s="288">
        <v>206.3818419566075</v>
      </c>
      <c r="AQ59" s="287">
        <v>0.97</v>
      </c>
      <c r="AR59" s="288">
        <v>93.271984043985995</v>
      </c>
    </row>
    <row r="60" spans="16:44" x14ac:dyDescent="0.25">
      <c r="P60" s="287">
        <v>0.98</v>
      </c>
      <c r="Q60" s="288">
        <v>47.616954177996782</v>
      </c>
      <c r="R60" s="287">
        <v>0.98</v>
      </c>
      <c r="S60" s="288">
        <v>20.530523337827667</v>
      </c>
      <c r="U60" s="287">
        <v>0.98</v>
      </c>
      <c r="V60" s="288">
        <v>0.31680367174440027</v>
      </c>
      <c r="W60" s="287">
        <v>0.98</v>
      </c>
      <c r="X60" s="288">
        <v>0.12329928349822332</v>
      </c>
      <c r="Z60" s="287">
        <v>0.98</v>
      </c>
      <c r="AA60" s="288">
        <v>3.0133922344831015</v>
      </c>
      <c r="AB60" s="287">
        <v>0.98</v>
      </c>
      <c r="AC60" s="288">
        <v>1.2257672981116159</v>
      </c>
      <c r="AE60" s="287">
        <v>0.98</v>
      </c>
      <c r="AF60" s="288">
        <v>48.713834551297865</v>
      </c>
      <c r="AG60" s="287">
        <v>0.98</v>
      </c>
      <c r="AH60" s="288">
        <v>21.04340787181193</v>
      </c>
      <c r="AJ60" s="287">
        <v>0.98</v>
      </c>
      <c r="AK60" s="288">
        <v>42.214638988647508</v>
      </c>
      <c r="AL60" s="287">
        <v>0.98</v>
      </c>
      <c r="AM60" s="288">
        <v>18.193893205890195</v>
      </c>
      <c r="AO60" s="287">
        <v>0.98</v>
      </c>
      <c r="AP60" s="288">
        <v>198.76354154560011</v>
      </c>
      <c r="AQ60" s="287">
        <v>0.98</v>
      </c>
      <c r="AR60" s="288">
        <v>90.218027362157684</v>
      </c>
    </row>
    <row r="61" spans="16:44" x14ac:dyDescent="0.25">
      <c r="P61" s="287">
        <v>0.99</v>
      </c>
      <c r="Q61" s="288">
        <v>40.895367221524658</v>
      </c>
      <c r="R61" s="287">
        <v>0.99</v>
      </c>
      <c r="S61" s="288">
        <v>17.714558010526549</v>
      </c>
      <c r="U61" s="287">
        <v>0.99</v>
      </c>
      <c r="V61" s="288">
        <v>0.27398692393356239</v>
      </c>
      <c r="W61" s="287">
        <v>0.99</v>
      </c>
      <c r="X61" s="288">
        <v>0.10713048543473191</v>
      </c>
      <c r="Z61" s="287">
        <v>0.99</v>
      </c>
      <c r="AA61" s="288">
        <v>2.5998907117331429</v>
      </c>
      <c r="AB61" s="287">
        <v>0.99</v>
      </c>
      <c r="AC61" s="288">
        <v>1.0628086414233247</v>
      </c>
      <c r="AE61" s="287">
        <v>0.99</v>
      </c>
      <c r="AF61" s="288">
        <v>41.760022259755395</v>
      </c>
      <c r="AG61" s="287">
        <v>0.99</v>
      </c>
      <c r="AH61" s="288">
        <v>18.122758067561776</v>
      </c>
      <c r="AJ61" s="287">
        <v>0.99</v>
      </c>
      <c r="AK61" s="288">
        <v>36.166500835236469</v>
      </c>
      <c r="AL61" s="287">
        <v>0.99</v>
      </c>
      <c r="AM61" s="288">
        <v>15.658855343550066</v>
      </c>
      <c r="AO61" s="287">
        <v>0.99</v>
      </c>
      <c r="AP61" s="288">
        <v>165.31253375686907</v>
      </c>
      <c r="AQ61" s="287">
        <v>0.99</v>
      </c>
      <c r="AR61" s="288">
        <v>75.354598023747499</v>
      </c>
    </row>
    <row r="62" spans="16:44" ht="15.75" thickBot="1" x14ac:dyDescent="0.3">
      <c r="P62" s="289">
        <v>1</v>
      </c>
      <c r="Q62" s="290">
        <v>0</v>
      </c>
      <c r="R62" s="289">
        <v>1</v>
      </c>
      <c r="S62" s="290">
        <v>0</v>
      </c>
      <c r="U62" s="289">
        <v>1</v>
      </c>
      <c r="V62" s="290">
        <v>0</v>
      </c>
      <c r="W62" s="289">
        <v>1</v>
      </c>
      <c r="X62" s="290">
        <v>0</v>
      </c>
      <c r="Z62" s="289">
        <v>1</v>
      </c>
      <c r="AA62" s="290">
        <v>0</v>
      </c>
      <c r="AB62" s="289">
        <v>1</v>
      </c>
      <c r="AC62" s="290">
        <v>0</v>
      </c>
      <c r="AE62" s="289">
        <v>1</v>
      </c>
      <c r="AF62" s="290">
        <v>0</v>
      </c>
      <c r="AG62" s="289">
        <v>1</v>
      </c>
      <c r="AH62" s="290">
        <v>0</v>
      </c>
      <c r="AJ62" s="289">
        <v>1</v>
      </c>
      <c r="AK62" s="290">
        <v>0</v>
      </c>
      <c r="AL62" s="289">
        <v>1</v>
      </c>
      <c r="AM62" s="290">
        <v>0</v>
      </c>
      <c r="AO62" s="289">
        <v>1</v>
      </c>
      <c r="AP62" s="290">
        <v>0</v>
      </c>
      <c r="AQ62" s="289">
        <v>1</v>
      </c>
      <c r="AR62" s="290">
        <v>0</v>
      </c>
    </row>
    <row r="63" spans="16:44" ht="15.75" thickBot="1" x14ac:dyDescent="0.3">
      <c r="P63" s="539" t="s">
        <v>227</v>
      </c>
      <c r="Q63" s="540"/>
      <c r="R63" s="539" t="s">
        <v>228</v>
      </c>
      <c r="S63" s="540"/>
      <c r="U63" s="539" t="s">
        <v>227</v>
      </c>
      <c r="V63" s="540"/>
      <c r="W63" s="539" t="s">
        <v>228</v>
      </c>
      <c r="X63" s="540"/>
      <c r="Z63" s="539" t="s">
        <v>227</v>
      </c>
      <c r="AA63" s="540"/>
      <c r="AB63" s="539" t="s">
        <v>228</v>
      </c>
      <c r="AC63" s="540"/>
      <c r="AE63" s="539" t="s">
        <v>227</v>
      </c>
      <c r="AF63" s="540"/>
      <c r="AG63" s="539" t="s">
        <v>228</v>
      </c>
      <c r="AH63" s="540"/>
      <c r="AJ63" s="539" t="s">
        <v>227</v>
      </c>
      <c r="AK63" s="540"/>
      <c r="AL63" s="539" t="s">
        <v>228</v>
      </c>
      <c r="AM63" s="540"/>
      <c r="AO63" s="539" t="s">
        <v>227</v>
      </c>
      <c r="AP63" s="540"/>
      <c r="AQ63" s="539" t="s">
        <v>228</v>
      </c>
      <c r="AR63" s="540"/>
    </row>
    <row r="64" spans="16:44" x14ac:dyDescent="0.25">
      <c r="P64" s="291" t="s">
        <v>141</v>
      </c>
      <c r="Q64" s="292" t="s">
        <v>205</v>
      </c>
      <c r="R64" s="291" t="s">
        <v>141</v>
      </c>
      <c r="S64" s="292" t="s">
        <v>205</v>
      </c>
      <c r="U64" s="291" t="s">
        <v>141</v>
      </c>
      <c r="V64" s="292" t="s">
        <v>205</v>
      </c>
      <c r="W64" s="291" t="s">
        <v>141</v>
      </c>
      <c r="X64" s="292" t="s">
        <v>205</v>
      </c>
      <c r="Z64" s="291" t="s">
        <v>141</v>
      </c>
      <c r="AA64" s="292" t="s">
        <v>205</v>
      </c>
      <c r="AB64" s="291" t="s">
        <v>141</v>
      </c>
      <c r="AC64" s="292" t="s">
        <v>205</v>
      </c>
      <c r="AE64" s="291" t="s">
        <v>141</v>
      </c>
      <c r="AF64" s="292" t="s">
        <v>205</v>
      </c>
      <c r="AG64" s="291" t="s">
        <v>141</v>
      </c>
      <c r="AH64" s="292" t="s">
        <v>205</v>
      </c>
      <c r="AJ64" s="291" t="s">
        <v>141</v>
      </c>
      <c r="AK64" s="292" t="s">
        <v>205</v>
      </c>
      <c r="AL64" s="291" t="s">
        <v>141</v>
      </c>
      <c r="AM64" s="292" t="s">
        <v>205</v>
      </c>
      <c r="AO64" s="291" t="s">
        <v>141</v>
      </c>
      <c r="AP64" s="292" t="s">
        <v>205</v>
      </c>
      <c r="AQ64" s="291" t="s">
        <v>141</v>
      </c>
      <c r="AR64" s="292" t="s">
        <v>205</v>
      </c>
    </row>
    <row r="65" spans="16:44" x14ac:dyDescent="0.25">
      <c r="P65" s="287">
        <v>0.6</v>
      </c>
      <c r="Q65" s="288">
        <v>3.5547872591334533E-4</v>
      </c>
      <c r="R65" s="287">
        <v>0.6</v>
      </c>
      <c r="S65" s="288">
        <v>1.2523198920741358E-4</v>
      </c>
      <c r="U65" s="287">
        <v>0.6</v>
      </c>
      <c r="V65" s="288">
        <v>1.2794778482316816E-6</v>
      </c>
      <c r="W65" s="287">
        <v>0.6</v>
      </c>
      <c r="X65" s="288">
        <v>4.1155062819512273E-7</v>
      </c>
      <c r="Z65" s="287">
        <v>0.6</v>
      </c>
      <c r="AA65" s="288">
        <v>1.5396095962304688E-5</v>
      </c>
      <c r="AB65" s="287">
        <v>0.6</v>
      </c>
      <c r="AC65" s="288">
        <v>5.1529650841135096E-6</v>
      </c>
      <c r="AE65" s="287">
        <v>0.6</v>
      </c>
      <c r="AF65" s="288">
        <v>4.0134783492292255E-4</v>
      </c>
      <c r="AG65" s="287">
        <v>0.6</v>
      </c>
      <c r="AH65" s="288">
        <v>1.4177606832460431E-4</v>
      </c>
      <c r="AJ65" s="287">
        <v>0.6</v>
      </c>
      <c r="AK65" s="288">
        <v>3.5375940735732451E-4</v>
      </c>
      <c r="AL65" s="287">
        <v>0.6</v>
      </c>
      <c r="AM65" s="288">
        <v>1.247265657749793E-4</v>
      </c>
      <c r="AO65" s="287">
        <v>0.6</v>
      </c>
      <c r="AP65" s="288">
        <v>8.7942947638240555E-3</v>
      </c>
      <c r="AQ65" s="287">
        <v>0.6</v>
      </c>
      <c r="AR65" s="288">
        <v>3.3136851145274373E-3</v>
      </c>
    </row>
    <row r="66" spans="16:44" x14ac:dyDescent="0.25">
      <c r="P66" s="287">
        <v>0.65</v>
      </c>
      <c r="Q66" s="288">
        <v>2.8543828328773634E-3</v>
      </c>
      <c r="R66" s="287">
        <v>0.65</v>
      </c>
      <c r="S66" s="288">
        <v>1.0466587569034184E-3</v>
      </c>
      <c r="U66" s="287">
        <v>0.65</v>
      </c>
      <c r="V66" s="288">
        <v>1.107243985667857E-5</v>
      </c>
      <c r="W66" s="287">
        <v>0.65</v>
      </c>
      <c r="X66" s="288">
        <v>3.6952301992828783E-6</v>
      </c>
      <c r="Z66" s="287">
        <v>0.65</v>
      </c>
      <c r="AA66" s="288">
        <v>1.2980305783004132E-4</v>
      </c>
      <c r="AB66" s="287">
        <v>0.65</v>
      </c>
      <c r="AC66" s="288">
        <v>4.5172614448189202E-5</v>
      </c>
      <c r="AE66" s="287">
        <v>0.65</v>
      </c>
      <c r="AF66" s="288">
        <v>3.1729401961518001E-3</v>
      </c>
      <c r="AG66" s="287">
        <v>0.65</v>
      </c>
      <c r="AH66" s="288">
        <v>1.1667853827362846E-3</v>
      </c>
      <c r="AJ66" s="287">
        <v>0.65</v>
      </c>
      <c r="AK66" s="288">
        <v>2.7879329065388001E-3</v>
      </c>
      <c r="AL66" s="287">
        <v>0.65</v>
      </c>
      <c r="AM66" s="288">
        <v>1.0230302371988019E-3</v>
      </c>
      <c r="AO66" s="287">
        <v>0.65</v>
      </c>
      <c r="AP66" s="288">
        <v>5.3329949353544098E-2</v>
      </c>
      <c r="AQ66" s="287">
        <v>0.65</v>
      </c>
      <c r="AR66" s="288">
        <v>2.0826751242539281E-2</v>
      </c>
    </row>
    <row r="67" spans="16:44" x14ac:dyDescent="0.25">
      <c r="P67" s="287">
        <v>0.7</v>
      </c>
      <c r="Q67" s="288">
        <v>1.7665869655478936E-2</v>
      </c>
      <c r="R67" s="287">
        <v>0.7</v>
      </c>
      <c r="S67" s="288">
        <v>6.7226520887540457E-3</v>
      </c>
      <c r="U67" s="287">
        <v>0.7</v>
      </c>
      <c r="V67" s="288">
        <v>7.3439293592618098E-5</v>
      </c>
      <c r="W67" s="287">
        <v>0.7</v>
      </c>
      <c r="X67" s="288">
        <v>2.5361342353365905E-5</v>
      </c>
      <c r="Z67" s="287">
        <v>0.7</v>
      </c>
      <c r="AA67" s="288">
        <v>8.3971128323230343E-4</v>
      </c>
      <c r="AB67" s="287">
        <v>0.7</v>
      </c>
      <c r="AC67" s="288">
        <v>3.0276905898639003E-4</v>
      </c>
      <c r="AE67" s="287">
        <v>0.7</v>
      </c>
      <c r="AF67" s="288">
        <v>1.9359282193896883E-2</v>
      </c>
      <c r="AG67" s="287">
        <v>0.7</v>
      </c>
      <c r="AH67" s="288">
        <v>7.3844691766417345E-3</v>
      </c>
      <c r="AJ67" s="287">
        <v>0.7</v>
      </c>
      <c r="AK67" s="288">
        <v>1.6958421971576997E-2</v>
      </c>
      <c r="AL67" s="287">
        <v>0.7</v>
      </c>
      <c r="AM67" s="288">
        <v>6.4568619469628124E-3</v>
      </c>
      <c r="AO67" s="287">
        <v>0.7</v>
      </c>
      <c r="AP67" s="288">
        <v>0.25477858388911351</v>
      </c>
      <c r="AQ67" s="287">
        <v>0.7</v>
      </c>
      <c r="AR67" s="288">
        <v>0.1032076180425755</v>
      </c>
    </row>
    <row r="68" spans="16:44" x14ac:dyDescent="0.25">
      <c r="P68" s="287">
        <v>0.75</v>
      </c>
      <c r="Q68" s="288">
        <v>8.7925858107357605E-2</v>
      </c>
      <c r="R68" s="287">
        <v>0.75</v>
      </c>
      <c r="S68" s="288">
        <v>3.4408946517114396E-2</v>
      </c>
      <c r="U68" s="287">
        <v>0.75</v>
      </c>
      <c r="V68" s="288">
        <v>3.8714412955191528E-4</v>
      </c>
      <c r="W68" s="287">
        <v>0.75</v>
      </c>
      <c r="X68" s="288">
        <v>1.3805352480771157E-4</v>
      </c>
      <c r="Z68" s="287">
        <v>0.75</v>
      </c>
      <c r="AA68" s="288">
        <v>4.3308536341104672E-3</v>
      </c>
      <c r="AB68" s="287">
        <v>0.75</v>
      </c>
      <c r="AC68" s="288">
        <v>1.6115933671510354E-3</v>
      </c>
      <c r="AE68" s="287">
        <v>0.75</v>
      </c>
      <c r="AF68" s="288">
        <v>9.5096429318086068E-2</v>
      </c>
      <c r="AG68" s="287">
        <v>0.75</v>
      </c>
      <c r="AH68" s="288">
        <v>3.7294745931922488E-2</v>
      </c>
      <c r="AJ68" s="287">
        <v>0.75</v>
      </c>
      <c r="AK68" s="288">
        <v>8.3031837763597197E-2</v>
      </c>
      <c r="AL68" s="287">
        <v>0.75</v>
      </c>
      <c r="AM68" s="288">
        <v>3.2508896740933546E-2</v>
      </c>
      <c r="AO68" s="287">
        <v>0.75</v>
      </c>
      <c r="AP68" s="288">
        <v>0.9954879507087453</v>
      </c>
      <c r="AQ68" s="287">
        <v>0.75</v>
      </c>
      <c r="AR68" s="288">
        <v>0.41430700647969365</v>
      </c>
    </row>
    <row r="69" spans="16:44" x14ac:dyDescent="0.25">
      <c r="P69" s="287">
        <v>0.8</v>
      </c>
      <c r="Q69" s="288">
        <v>0.35761479101345095</v>
      </c>
      <c r="R69" s="287">
        <v>0.8</v>
      </c>
      <c r="S69" s="288">
        <v>0.14472391481551747</v>
      </c>
      <c r="U69" s="287">
        <v>0.8</v>
      </c>
      <c r="V69" s="288">
        <v>1.6681070739586192E-3</v>
      </c>
      <c r="W69" s="287">
        <v>0.8</v>
      </c>
      <c r="X69" s="288">
        <v>6.1235894238601343E-4</v>
      </c>
      <c r="Z69" s="287">
        <v>0.8</v>
      </c>
      <c r="AA69" s="288">
        <v>1.8278864209833625E-2</v>
      </c>
      <c r="AB69" s="287">
        <v>0.8</v>
      </c>
      <c r="AC69" s="288">
        <v>7.0053948158105041E-3</v>
      </c>
      <c r="AE69" s="287">
        <v>0.8</v>
      </c>
      <c r="AF69" s="288">
        <v>0.38182869029106364</v>
      </c>
      <c r="AG69" s="287">
        <v>0.8</v>
      </c>
      <c r="AH69" s="288">
        <v>0.15483861790542555</v>
      </c>
      <c r="AJ69" s="287">
        <v>0.8</v>
      </c>
      <c r="AK69" s="288">
        <v>0.33263020923977787</v>
      </c>
      <c r="AL69" s="287">
        <v>0.8</v>
      </c>
      <c r="AM69" s="288">
        <v>0.13465160929249709</v>
      </c>
      <c r="AO69" s="287">
        <v>0.8</v>
      </c>
      <c r="AP69" s="288">
        <v>3.2571236740613747</v>
      </c>
      <c r="AQ69" s="287">
        <v>0.8</v>
      </c>
      <c r="AR69" s="288">
        <v>1.3925719582710201</v>
      </c>
    </row>
    <row r="70" spans="16:44" x14ac:dyDescent="0.25">
      <c r="P70" s="287">
        <v>0.85</v>
      </c>
      <c r="Q70" s="288">
        <v>1.21727089052667</v>
      </c>
      <c r="R70" s="287">
        <v>0.85</v>
      </c>
      <c r="S70" s="288">
        <v>0.50550511256310793</v>
      </c>
      <c r="U70" s="287">
        <v>0.85</v>
      </c>
      <c r="V70" s="288">
        <v>5.9615650753653583E-3</v>
      </c>
      <c r="W70" s="287">
        <v>0.85</v>
      </c>
      <c r="X70" s="288">
        <v>2.2482891991296113E-3</v>
      </c>
      <c r="Z70" s="287">
        <v>0.85</v>
      </c>
      <c r="AA70" s="288">
        <v>6.4389912014486073E-2</v>
      </c>
      <c r="AB70" s="287">
        <v>0.85</v>
      </c>
      <c r="AC70" s="288">
        <v>2.5266481890930392E-2</v>
      </c>
      <c r="AE70" s="287">
        <v>0.85</v>
      </c>
      <c r="AF70" s="288">
        <v>1.2845985228756938</v>
      </c>
      <c r="AG70" s="287">
        <v>0.85</v>
      </c>
      <c r="AH70" s="288">
        <v>0.53461881924808952</v>
      </c>
      <c r="AJ70" s="287">
        <v>0.85</v>
      </c>
      <c r="AK70" s="288">
        <v>1.1159281980684805</v>
      </c>
      <c r="AL70" s="287">
        <v>0.85</v>
      </c>
      <c r="AM70" s="288">
        <v>0.46340367943586092</v>
      </c>
      <c r="AO70" s="287">
        <v>0.85</v>
      </c>
      <c r="AP70" s="288">
        <v>9.0335701572170137</v>
      </c>
      <c r="AQ70" s="287">
        <v>0.85</v>
      </c>
      <c r="AR70" s="288">
        <v>3.9636792628608846</v>
      </c>
    </row>
    <row r="71" spans="16:44" x14ac:dyDescent="0.25">
      <c r="P71" s="287">
        <v>0.9</v>
      </c>
      <c r="Q71" s="288">
        <v>3.4420841294310156</v>
      </c>
      <c r="R71" s="287">
        <v>0.9</v>
      </c>
      <c r="S71" s="288">
        <v>1.4642844380862168</v>
      </c>
      <c r="U71" s="287">
        <v>0.9</v>
      </c>
      <c r="V71" s="288">
        <v>1.759119953098744E-2</v>
      </c>
      <c r="W71" s="287">
        <v>0.9</v>
      </c>
      <c r="X71" s="288">
        <v>6.7989099637188969E-3</v>
      </c>
      <c r="Z71" s="287">
        <v>0.9</v>
      </c>
      <c r="AA71" s="288">
        <v>0.18658702739394989</v>
      </c>
      <c r="AB71" s="287">
        <v>0.9</v>
      </c>
      <c r="AC71" s="288">
        <v>7.5393828013930242E-2</v>
      </c>
      <c r="AE71" s="287">
        <v>0.9</v>
      </c>
      <c r="AF71" s="288">
        <v>3.5932407859766609</v>
      </c>
      <c r="AG71" s="287">
        <v>0.9</v>
      </c>
      <c r="AH71" s="288">
        <v>1.5314381972375606</v>
      </c>
      <c r="AJ71" s="287">
        <v>0.9</v>
      </c>
      <c r="AK71" s="288">
        <v>3.1119213099179901</v>
      </c>
      <c r="AL71" s="287">
        <v>0.9</v>
      </c>
      <c r="AM71" s="288">
        <v>1.3237863963411938</v>
      </c>
      <c r="AO71" s="287">
        <v>0.9</v>
      </c>
      <c r="AP71" s="288">
        <v>21.057634289848082</v>
      </c>
      <c r="AQ71" s="287">
        <v>0.9</v>
      </c>
      <c r="AR71" s="288">
        <v>9.4552767752573708</v>
      </c>
    </row>
    <row r="72" spans="16:44" x14ac:dyDescent="0.25">
      <c r="P72" s="287">
        <v>0.95</v>
      </c>
      <c r="Q72" s="288">
        <v>7.5446230714309204</v>
      </c>
      <c r="R72" s="287">
        <v>0.95</v>
      </c>
      <c r="S72" s="288">
        <v>3.2888936663285739</v>
      </c>
      <c r="U72" s="287">
        <v>0.95</v>
      </c>
      <c r="V72" s="288">
        <v>4.0211805694735883E-2</v>
      </c>
      <c r="W72" s="287">
        <v>0.95</v>
      </c>
      <c r="X72" s="288">
        <v>1.5864372521889259E-2</v>
      </c>
      <c r="Z72" s="287">
        <v>0.95</v>
      </c>
      <c r="AA72" s="288">
        <v>0.41936928266422441</v>
      </c>
      <c r="AB72" s="287">
        <v>0.95</v>
      </c>
      <c r="AC72" s="288">
        <v>0.17299035464074344</v>
      </c>
      <c r="AE72" s="287">
        <v>0.95</v>
      </c>
      <c r="AF72" s="288">
        <v>7.7934471284595892</v>
      </c>
      <c r="AG72" s="287">
        <v>0.95</v>
      </c>
      <c r="AH72" s="288">
        <v>3.4041508619622092</v>
      </c>
      <c r="AJ72" s="287">
        <v>0.95</v>
      </c>
      <c r="AK72" s="288">
        <v>6.7329890926567089</v>
      </c>
      <c r="AL72" s="287">
        <v>0.95</v>
      </c>
      <c r="AM72" s="288">
        <v>2.9338236080281979</v>
      </c>
      <c r="AO72" s="287">
        <v>0.95</v>
      </c>
      <c r="AP72" s="288">
        <v>38.553810095529577</v>
      </c>
      <c r="AQ72" s="287">
        <v>0.95</v>
      </c>
      <c r="AR72" s="288">
        <v>17.672199340464196</v>
      </c>
    </row>
    <row r="73" spans="16:44" x14ac:dyDescent="0.25">
      <c r="P73" s="287">
        <v>0.96</v>
      </c>
      <c r="Q73" s="288">
        <v>8.3615487090713838</v>
      </c>
      <c r="R73" s="287">
        <v>0.96</v>
      </c>
      <c r="S73" s="288">
        <v>3.6603239556178844</v>
      </c>
      <c r="U73" s="287">
        <v>0.96</v>
      </c>
      <c r="V73" s="288">
        <v>4.4844822744087652E-2</v>
      </c>
      <c r="W73" s="287">
        <v>0.96</v>
      </c>
      <c r="X73" s="288">
        <v>1.7795850440134212E-2</v>
      </c>
      <c r="Z73" s="287">
        <v>0.96</v>
      </c>
      <c r="AA73" s="288">
        <v>0.4667411479913226</v>
      </c>
      <c r="AB73" s="287">
        <v>0.96</v>
      </c>
      <c r="AC73" s="288">
        <v>0.19342795256061565</v>
      </c>
      <c r="AE73" s="287">
        <v>0.96</v>
      </c>
      <c r="AF73" s="288">
        <v>8.6180009836447926</v>
      </c>
      <c r="AG73" s="287">
        <v>0.96</v>
      </c>
      <c r="AH73" s="288">
        <v>3.7797683195885905</v>
      </c>
      <c r="AJ73" s="287">
        <v>0.96</v>
      </c>
      <c r="AK73" s="288">
        <v>7.4435022220481422</v>
      </c>
      <c r="AL73" s="287">
        <v>0.96</v>
      </c>
      <c r="AM73" s="288">
        <v>3.2582639592053355</v>
      </c>
      <c r="AO73" s="287">
        <v>0.96</v>
      </c>
      <c r="AP73" s="288">
        <v>41.262326585683674</v>
      </c>
      <c r="AQ73" s="287">
        <v>0.96</v>
      </c>
      <c r="AR73" s="288">
        <v>18.98668214754181</v>
      </c>
    </row>
    <row r="74" spans="16:44" x14ac:dyDescent="0.25">
      <c r="P74" s="287">
        <v>0.97</v>
      </c>
      <c r="Q74" s="288">
        <v>8.931725104173136</v>
      </c>
      <c r="R74" s="287">
        <v>0.97</v>
      </c>
      <c r="S74" s="288">
        <v>3.928510927893214</v>
      </c>
      <c r="U74" s="287">
        <v>0.97</v>
      </c>
      <c r="V74" s="288">
        <v>4.8247956004023707E-2</v>
      </c>
      <c r="W74" s="287">
        <v>0.97</v>
      </c>
      <c r="X74" s="288">
        <v>1.9256571170920472E-2</v>
      </c>
      <c r="Z74" s="287">
        <v>0.97</v>
      </c>
      <c r="AA74" s="288">
        <v>0.50112880378665448</v>
      </c>
      <c r="AB74" s="287">
        <v>0.97</v>
      </c>
      <c r="AC74" s="288">
        <v>0.20864496351363335</v>
      </c>
      <c r="AE74" s="287">
        <v>0.97</v>
      </c>
      <c r="AF74" s="288">
        <v>9.1879543814101758</v>
      </c>
      <c r="AG74" s="287">
        <v>0.97</v>
      </c>
      <c r="AH74" s="288">
        <v>4.0487036868831128</v>
      </c>
      <c r="AJ74" s="287">
        <v>0.97</v>
      </c>
      <c r="AK74" s="288">
        <v>7.9333142502720646</v>
      </c>
      <c r="AL74" s="287">
        <v>0.97</v>
      </c>
      <c r="AM74" s="288">
        <v>3.4877756109501896</v>
      </c>
      <c r="AO74" s="287">
        <v>0.97</v>
      </c>
      <c r="AP74" s="288">
        <v>42.618344439034075</v>
      </c>
      <c r="AQ74" s="287">
        <v>0.97</v>
      </c>
      <c r="AR74" s="288">
        <v>19.6889142005626</v>
      </c>
    </row>
    <row r="75" spans="16:44" x14ac:dyDescent="0.25">
      <c r="P75" s="287">
        <v>0.98</v>
      </c>
      <c r="Q75" s="288">
        <v>8.9643696815571019</v>
      </c>
      <c r="R75" s="287">
        <v>0.98</v>
      </c>
      <c r="S75" s="288">
        <v>3.9613492464421385</v>
      </c>
      <c r="U75" s="287">
        <v>0.98</v>
      </c>
      <c r="V75" s="288">
        <v>4.8767439239716492E-2</v>
      </c>
      <c r="W75" s="287">
        <v>0.98</v>
      </c>
      <c r="X75" s="288">
        <v>1.9574072707180007E-2</v>
      </c>
      <c r="Z75" s="287">
        <v>0.98</v>
      </c>
      <c r="AA75" s="288">
        <v>0.50549968891095309</v>
      </c>
      <c r="AB75" s="287">
        <v>0.98</v>
      </c>
      <c r="AC75" s="288">
        <v>0.21142916679332477</v>
      </c>
      <c r="AE75" s="287">
        <v>0.98</v>
      </c>
      <c r="AF75" s="288">
        <v>9.203986682893559</v>
      </c>
      <c r="AG75" s="287">
        <v>0.98</v>
      </c>
      <c r="AH75" s="288">
        <v>4.0745793598470801</v>
      </c>
      <c r="AJ75" s="287">
        <v>0.98</v>
      </c>
      <c r="AK75" s="288">
        <v>7.9421403383848475</v>
      </c>
      <c r="AL75" s="287">
        <v>0.98</v>
      </c>
      <c r="AM75" s="288">
        <v>3.5077617818166105</v>
      </c>
      <c r="AO75" s="287">
        <v>0.98</v>
      </c>
      <c r="AP75" s="288">
        <v>41.376409306094722</v>
      </c>
      <c r="AQ75" s="287">
        <v>0.98</v>
      </c>
      <c r="AR75" s="288">
        <v>19.190289341689198</v>
      </c>
    </row>
    <row r="76" spans="16:44" x14ac:dyDescent="0.25">
      <c r="P76" s="287">
        <v>0.99</v>
      </c>
      <c r="Q76" s="288">
        <v>7.7657426090693482</v>
      </c>
      <c r="R76" s="287">
        <v>0.99</v>
      </c>
      <c r="S76" s="288">
        <v>3.4475348318178858</v>
      </c>
      <c r="U76" s="287">
        <v>0.99</v>
      </c>
      <c r="V76" s="288">
        <v>4.2541178128273793E-2</v>
      </c>
      <c r="W76" s="287">
        <v>0.99</v>
      </c>
      <c r="X76" s="288">
        <v>1.7169352309127382E-2</v>
      </c>
      <c r="Z76" s="287">
        <v>0.99</v>
      </c>
      <c r="AA76" s="288">
        <v>0.44008295316740859</v>
      </c>
      <c r="AB76" s="287">
        <v>0.99</v>
      </c>
      <c r="AC76" s="288">
        <v>0.18489907774111644</v>
      </c>
      <c r="AE76" s="287">
        <v>0.99</v>
      </c>
      <c r="AF76" s="288">
        <v>7.9583106813363926</v>
      </c>
      <c r="AG76" s="287">
        <v>0.99</v>
      </c>
      <c r="AH76" s="288">
        <v>3.5392320432203346</v>
      </c>
      <c r="AJ76" s="287">
        <v>0.99</v>
      </c>
      <c r="AK76" s="288">
        <v>6.8629576852752132</v>
      </c>
      <c r="AL76" s="287">
        <v>0.99</v>
      </c>
      <c r="AM76" s="288">
        <v>3.0449092716660746</v>
      </c>
      <c r="AO76" s="287">
        <v>0.99</v>
      </c>
      <c r="AP76" s="288">
        <v>34.686644197909011</v>
      </c>
      <c r="AQ76" s="287">
        <v>0.99</v>
      </c>
      <c r="AR76" s="288">
        <v>16.149862855344846</v>
      </c>
    </row>
    <row r="77" spans="16:44" ht="15.75" thickBot="1" x14ac:dyDescent="0.3">
      <c r="P77" s="289">
        <v>1</v>
      </c>
      <c r="Q77" s="290">
        <v>0</v>
      </c>
      <c r="R77" s="289">
        <v>1</v>
      </c>
      <c r="S77" s="290">
        <v>0</v>
      </c>
      <c r="U77" s="289">
        <v>1</v>
      </c>
      <c r="V77" s="290">
        <v>0</v>
      </c>
      <c r="W77" s="289">
        <v>1</v>
      </c>
      <c r="X77" s="290">
        <v>0</v>
      </c>
      <c r="Z77" s="289">
        <v>1</v>
      </c>
      <c r="AA77" s="290">
        <v>0</v>
      </c>
      <c r="AB77" s="289">
        <v>1</v>
      </c>
      <c r="AC77" s="290">
        <v>0</v>
      </c>
      <c r="AE77" s="289">
        <v>1</v>
      </c>
      <c r="AF77" s="290">
        <v>0</v>
      </c>
      <c r="AG77" s="289">
        <v>1</v>
      </c>
      <c r="AH77" s="290">
        <v>0</v>
      </c>
      <c r="AJ77" s="289">
        <v>1</v>
      </c>
      <c r="AK77" s="290">
        <v>0</v>
      </c>
      <c r="AL77" s="289">
        <v>1</v>
      </c>
      <c r="AM77" s="290">
        <v>0</v>
      </c>
      <c r="AO77" s="289">
        <v>1</v>
      </c>
      <c r="AP77" s="290">
        <v>0</v>
      </c>
      <c r="AQ77" s="289">
        <v>1</v>
      </c>
      <c r="AR77" s="290">
        <v>0</v>
      </c>
    </row>
  </sheetData>
  <mergeCells count="72">
    <mergeCell ref="AO48:AP48"/>
    <mergeCell ref="AQ48:AR48"/>
    <mergeCell ref="AL48:AM48"/>
    <mergeCell ref="A3:D3"/>
    <mergeCell ref="G17:I17"/>
    <mergeCell ref="A17:C17"/>
    <mergeCell ref="AO33:AP33"/>
    <mergeCell ref="AQ33:AR33"/>
    <mergeCell ref="AE18:AF18"/>
    <mergeCell ref="AG18:AH18"/>
    <mergeCell ref="AG3:AH3"/>
    <mergeCell ref="AE3:AF3"/>
    <mergeCell ref="Z18:AA18"/>
    <mergeCell ref="AB18:AC18"/>
    <mergeCell ref="AG33:AH33"/>
    <mergeCell ref="AE33:AF33"/>
    <mergeCell ref="AL63:AM63"/>
    <mergeCell ref="AO2:AR2"/>
    <mergeCell ref="AO3:AP3"/>
    <mergeCell ref="AQ3:AR3"/>
    <mergeCell ref="AQ18:AR18"/>
    <mergeCell ref="AO18:AP18"/>
    <mergeCell ref="AJ2:AM2"/>
    <mergeCell ref="AJ3:AK3"/>
    <mergeCell ref="AL3:AM3"/>
    <mergeCell ref="AJ18:AK18"/>
    <mergeCell ref="AL18:AM18"/>
    <mergeCell ref="AJ33:AK33"/>
    <mergeCell ref="AL33:AM33"/>
    <mergeCell ref="AJ48:AK48"/>
    <mergeCell ref="AQ63:AR63"/>
    <mergeCell ref="AO63:AP63"/>
    <mergeCell ref="P2:S2"/>
    <mergeCell ref="U2:X2"/>
    <mergeCell ref="P3:Q3"/>
    <mergeCell ref="R3:S3"/>
    <mergeCell ref="AJ63:AK63"/>
    <mergeCell ref="Z63:AA63"/>
    <mergeCell ref="AB63:AC63"/>
    <mergeCell ref="AE63:AF63"/>
    <mergeCell ref="AG63:AH63"/>
    <mergeCell ref="AG48:AH48"/>
    <mergeCell ref="AE48:AF48"/>
    <mergeCell ref="Z48:AA48"/>
    <mergeCell ref="AB48:AC48"/>
    <mergeCell ref="AB33:AC33"/>
    <mergeCell ref="Z33:AA33"/>
    <mergeCell ref="P18:Q18"/>
    <mergeCell ref="U3:V3"/>
    <mergeCell ref="W3:X3"/>
    <mergeCell ref="U18:V18"/>
    <mergeCell ref="W18:X18"/>
    <mergeCell ref="AE2:AH2"/>
    <mergeCell ref="Z2:AC2"/>
    <mergeCell ref="Z3:AA3"/>
    <mergeCell ref="AB3:AC3"/>
    <mergeCell ref="W63:X63"/>
    <mergeCell ref="G3:I3"/>
    <mergeCell ref="P33:Q33"/>
    <mergeCell ref="R33:S33"/>
    <mergeCell ref="P48:Q48"/>
    <mergeCell ref="R48:S48"/>
    <mergeCell ref="P63:Q63"/>
    <mergeCell ref="R63:S63"/>
    <mergeCell ref="U63:V63"/>
    <mergeCell ref="W48:X48"/>
    <mergeCell ref="U48:V48"/>
    <mergeCell ref="W33:X33"/>
    <mergeCell ref="U33:V33"/>
    <mergeCell ref="L3:N3"/>
    <mergeCell ref="L17:N17"/>
    <mergeCell ref="R18:S18"/>
  </mergeCells>
  <pageMargins left="0.7" right="0.7" top="0.75" bottom="0.75" header="0.3" footer="0.3"/>
  <pageSetup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1B477-1F98-4215-9142-6993123EE016}">
  <dimension ref="A1"/>
  <sheetViews>
    <sheetView workbookViewId="0"/>
  </sheetViews>
  <sheetFormatPr defaultRowHeight="15" x14ac:dyDescent="0.25"/>
  <cols>
    <col min="1" max="16384" width="9.140625" style="24"/>
  </cols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135E3-2B28-4D76-AC09-96A10F4B4E53}">
  <dimension ref="B2:T78"/>
  <sheetViews>
    <sheetView workbookViewId="0"/>
  </sheetViews>
  <sheetFormatPr defaultRowHeight="15" x14ac:dyDescent="0.25"/>
  <cols>
    <col min="1" max="16384" width="9.140625" style="24"/>
  </cols>
  <sheetData>
    <row r="2" spans="2:20" ht="15.75" thickBot="1" x14ac:dyDescent="0.3"/>
    <row r="3" spans="2:20" ht="19.5" thickBot="1" x14ac:dyDescent="0.35">
      <c r="B3" s="549" t="s">
        <v>211</v>
      </c>
      <c r="C3" s="550"/>
      <c r="D3" s="550"/>
      <c r="E3" s="550"/>
      <c r="F3" s="550"/>
      <c r="G3" s="550"/>
      <c r="H3" s="550"/>
      <c r="I3" s="550"/>
      <c r="J3" s="551"/>
      <c r="L3" s="549" t="s">
        <v>212</v>
      </c>
      <c r="M3" s="550"/>
      <c r="N3" s="550"/>
      <c r="O3" s="550"/>
      <c r="P3" s="550"/>
      <c r="Q3" s="550"/>
      <c r="R3" s="550"/>
      <c r="S3" s="550"/>
      <c r="T3" s="551"/>
    </row>
    <row r="40" spans="2:20" ht="15.75" thickBot="1" x14ac:dyDescent="0.3"/>
    <row r="41" spans="2:20" ht="19.5" thickBot="1" x14ac:dyDescent="0.35">
      <c r="B41" s="549" t="s">
        <v>69</v>
      </c>
      <c r="C41" s="550"/>
      <c r="D41" s="550"/>
      <c r="E41" s="550"/>
      <c r="F41" s="550"/>
      <c r="G41" s="550"/>
      <c r="H41" s="550"/>
      <c r="I41" s="550"/>
      <c r="J41" s="551"/>
      <c r="L41" s="549" t="s">
        <v>67</v>
      </c>
      <c r="M41" s="550"/>
      <c r="N41" s="550"/>
      <c r="O41" s="550"/>
      <c r="P41" s="550"/>
      <c r="Q41" s="550"/>
      <c r="R41" s="550"/>
      <c r="S41" s="550"/>
      <c r="T41" s="551"/>
    </row>
    <row r="77" spans="8:16" ht="15.75" thickBot="1" x14ac:dyDescent="0.3"/>
    <row r="78" spans="8:16" ht="19.5" thickBot="1" x14ac:dyDescent="0.35">
      <c r="H78" s="549" t="s">
        <v>213</v>
      </c>
      <c r="I78" s="550"/>
      <c r="J78" s="550"/>
      <c r="K78" s="550"/>
      <c r="L78" s="550"/>
      <c r="M78" s="550"/>
      <c r="N78" s="550"/>
      <c r="O78" s="550"/>
      <c r="P78" s="551"/>
    </row>
  </sheetData>
  <mergeCells count="5">
    <mergeCell ref="B3:J3"/>
    <mergeCell ref="L3:T3"/>
    <mergeCell ref="B41:J41"/>
    <mergeCell ref="L41:T41"/>
    <mergeCell ref="H78:P78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1BD8E-2619-46AB-A47C-E8F8B4F8D0F1}">
  <sheetPr>
    <tabColor theme="5" tint="-0.249977111117893"/>
  </sheetPr>
  <dimension ref="A1:O24"/>
  <sheetViews>
    <sheetView workbookViewId="0">
      <selection sqref="A1:G1"/>
    </sheetView>
  </sheetViews>
  <sheetFormatPr defaultColWidth="9.140625" defaultRowHeight="15" x14ac:dyDescent="0.25"/>
  <cols>
    <col min="1" max="16384" width="9.140625" style="24"/>
  </cols>
  <sheetData>
    <row r="1" spans="1:15" ht="19.5" thickBot="1" x14ac:dyDescent="0.35">
      <c r="A1" s="520" t="s">
        <v>175</v>
      </c>
      <c r="B1" s="521"/>
      <c r="C1" s="521"/>
      <c r="D1" s="521"/>
      <c r="E1" s="521"/>
      <c r="F1" s="521"/>
      <c r="G1" s="522"/>
      <c r="I1" s="520" t="s">
        <v>1</v>
      </c>
      <c r="J1" s="521"/>
      <c r="K1" s="521"/>
      <c r="L1" s="521"/>
      <c r="M1" s="521"/>
      <c r="N1" s="521"/>
      <c r="O1" s="522"/>
    </row>
    <row r="2" spans="1:15" x14ac:dyDescent="0.25">
      <c r="A2" s="583" t="s">
        <v>178</v>
      </c>
      <c r="B2" s="584"/>
      <c r="C2" s="584"/>
      <c r="D2" s="584"/>
      <c r="E2" s="584"/>
      <c r="F2" s="584"/>
      <c r="G2" s="585"/>
      <c r="I2" s="583" t="s">
        <v>187</v>
      </c>
      <c r="J2" s="584"/>
      <c r="K2" s="584"/>
      <c r="L2" s="584"/>
      <c r="M2" s="584"/>
      <c r="N2" s="584"/>
      <c r="O2" s="585"/>
    </row>
    <row r="3" spans="1:15" x14ac:dyDescent="0.25">
      <c r="A3" s="586"/>
      <c r="B3" s="587"/>
      <c r="C3" s="587"/>
      <c r="D3" s="587"/>
      <c r="E3" s="587"/>
      <c r="F3" s="587"/>
      <c r="G3" s="588"/>
      <c r="I3" s="586"/>
      <c r="J3" s="587"/>
      <c r="K3" s="587"/>
      <c r="L3" s="587"/>
      <c r="M3" s="587"/>
      <c r="N3" s="587"/>
      <c r="O3" s="588"/>
    </row>
    <row r="4" spans="1:15" ht="15.75" thickBot="1" x14ac:dyDescent="0.3">
      <c r="A4" s="589"/>
      <c r="B4" s="590"/>
      <c r="C4" s="590"/>
      <c r="D4" s="590"/>
      <c r="E4" s="590"/>
      <c r="F4" s="590"/>
      <c r="G4" s="591"/>
      <c r="I4" s="589"/>
      <c r="J4" s="590"/>
      <c r="K4" s="590"/>
      <c r="L4" s="590"/>
      <c r="M4" s="590"/>
      <c r="N4" s="590"/>
      <c r="O4" s="591"/>
    </row>
    <row r="20" spans="1:15" ht="15.75" thickBot="1" x14ac:dyDescent="0.3"/>
    <row r="21" spans="1:15" ht="19.5" thickBot="1" x14ac:dyDescent="0.35">
      <c r="A21" s="520" t="s">
        <v>176</v>
      </c>
      <c r="B21" s="521"/>
      <c r="C21" s="521"/>
      <c r="D21" s="521"/>
      <c r="E21" s="521"/>
      <c r="F21" s="521"/>
      <c r="G21" s="522"/>
      <c r="I21" s="520" t="s">
        <v>0</v>
      </c>
      <c r="J21" s="521"/>
      <c r="K21" s="521"/>
      <c r="L21" s="521"/>
      <c r="M21" s="521"/>
      <c r="N21" s="521"/>
      <c r="O21" s="522"/>
    </row>
    <row r="22" spans="1:15" x14ac:dyDescent="0.25">
      <c r="A22" s="583" t="s">
        <v>188</v>
      </c>
      <c r="B22" s="584"/>
      <c r="C22" s="584"/>
      <c r="D22" s="584"/>
      <c r="E22" s="584"/>
      <c r="F22" s="584"/>
      <c r="G22" s="585"/>
      <c r="I22" s="592" t="s">
        <v>189</v>
      </c>
      <c r="J22" s="593"/>
      <c r="K22" s="593"/>
      <c r="L22" s="593"/>
      <c r="M22" s="593"/>
      <c r="N22" s="593"/>
      <c r="O22" s="594"/>
    </row>
    <row r="23" spans="1:15" x14ac:dyDescent="0.25">
      <c r="A23" s="586"/>
      <c r="B23" s="587"/>
      <c r="C23" s="587"/>
      <c r="D23" s="587"/>
      <c r="E23" s="587"/>
      <c r="F23" s="587"/>
      <c r="G23" s="588"/>
      <c r="I23" s="595"/>
      <c r="J23" s="596"/>
      <c r="K23" s="596"/>
      <c r="L23" s="596"/>
      <c r="M23" s="596"/>
      <c r="N23" s="596"/>
      <c r="O23" s="597"/>
    </row>
    <row r="24" spans="1:15" ht="15.75" thickBot="1" x14ac:dyDescent="0.3">
      <c r="A24" s="589"/>
      <c r="B24" s="590"/>
      <c r="C24" s="590"/>
      <c r="D24" s="590"/>
      <c r="E24" s="590"/>
      <c r="F24" s="590"/>
      <c r="G24" s="591"/>
      <c r="I24" s="598"/>
      <c r="J24" s="599"/>
      <c r="K24" s="599"/>
      <c r="L24" s="599"/>
      <c r="M24" s="599"/>
      <c r="N24" s="599"/>
      <c r="O24" s="600"/>
    </row>
  </sheetData>
  <mergeCells count="8">
    <mergeCell ref="A22:G24"/>
    <mergeCell ref="I2:O4"/>
    <mergeCell ref="I21:O21"/>
    <mergeCell ref="I22:O24"/>
    <mergeCell ref="A1:G1"/>
    <mergeCell ref="I1:O1"/>
    <mergeCell ref="A2:G4"/>
    <mergeCell ref="A21:G2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B1:Y40"/>
  <sheetViews>
    <sheetView workbookViewId="0">
      <selection activeCell="S2" sqref="S2"/>
    </sheetView>
  </sheetViews>
  <sheetFormatPr defaultColWidth="9.140625" defaultRowHeight="15" x14ac:dyDescent="0.25"/>
  <cols>
    <col min="1" max="1" width="9.140625" style="24"/>
    <col min="2" max="25" width="9.140625" style="71"/>
    <col min="26" max="16384" width="9.140625" style="24"/>
  </cols>
  <sheetData>
    <row r="1" spans="2:25" ht="19.5" thickBot="1" x14ac:dyDescent="0.35">
      <c r="Q1" s="607" t="s">
        <v>125</v>
      </c>
      <c r="R1" s="608"/>
      <c r="S1" s="608"/>
      <c r="T1" s="608"/>
      <c r="U1" s="608"/>
      <c r="V1" s="608"/>
      <c r="W1" s="608"/>
      <c r="X1" s="608"/>
      <c r="Y1" s="609"/>
    </row>
    <row r="2" spans="2:25" ht="15.75" thickBot="1" x14ac:dyDescent="0.3">
      <c r="Q2" s="56"/>
      <c r="R2" s="57"/>
      <c r="S2" s="57"/>
      <c r="T2" s="58" t="s">
        <v>99</v>
      </c>
      <c r="U2" s="57"/>
      <c r="V2" s="58" t="s">
        <v>100</v>
      </c>
      <c r="W2" s="57"/>
      <c r="X2" s="58" t="s">
        <v>101</v>
      </c>
      <c r="Y2" s="59"/>
    </row>
    <row r="3" spans="2:25" ht="19.5" thickBot="1" x14ac:dyDescent="0.35">
      <c r="B3" s="607" t="s">
        <v>41</v>
      </c>
      <c r="C3" s="608"/>
      <c r="D3" s="608"/>
      <c r="E3" s="608"/>
      <c r="F3" s="608"/>
      <c r="G3" s="608"/>
      <c r="H3" s="608"/>
      <c r="I3" s="608"/>
      <c r="J3" s="608"/>
      <c r="K3" s="608"/>
      <c r="L3" s="608"/>
      <c r="M3" s="608"/>
      <c r="N3" s="608"/>
      <c r="O3" s="609"/>
      <c r="Q3" s="60"/>
      <c r="R3" s="61" t="s">
        <v>102</v>
      </c>
      <c r="S3" s="61" t="s">
        <v>102</v>
      </c>
      <c r="T3" s="61" t="s">
        <v>103</v>
      </c>
      <c r="U3" s="61" t="s">
        <v>104</v>
      </c>
      <c r="V3" s="61" t="s">
        <v>105</v>
      </c>
      <c r="W3" s="61" t="s">
        <v>106</v>
      </c>
      <c r="X3" s="61" t="s">
        <v>107</v>
      </c>
      <c r="Y3" s="62" t="s">
        <v>108</v>
      </c>
    </row>
    <row r="4" spans="2:25" x14ac:dyDescent="0.25">
      <c r="B4" s="66" t="s">
        <v>42</v>
      </c>
      <c r="C4" s="67"/>
      <c r="D4" s="68" t="s">
        <v>43</v>
      </c>
      <c r="E4" s="67"/>
      <c r="F4" s="69" t="s">
        <v>44</v>
      </c>
      <c r="G4" s="67"/>
      <c r="H4" s="68" t="s">
        <v>37</v>
      </c>
      <c r="I4" s="68" t="s">
        <v>35</v>
      </c>
      <c r="J4" s="69" t="s">
        <v>45</v>
      </c>
      <c r="K4" s="67"/>
      <c r="L4" s="67"/>
      <c r="M4" s="70" t="s">
        <v>46</v>
      </c>
      <c r="N4" s="67"/>
      <c r="O4" s="110"/>
      <c r="Q4" s="63" t="s">
        <v>109</v>
      </c>
      <c r="R4" s="61" t="s">
        <v>110</v>
      </c>
      <c r="S4" s="61" t="s">
        <v>111</v>
      </c>
      <c r="T4" s="61" t="s">
        <v>112</v>
      </c>
      <c r="U4" s="64" t="s">
        <v>113</v>
      </c>
      <c r="V4" s="64" t="s">
        <v>114</v>
      </c>
      <c r="W4" s="61" t="s">
        <v>115</v>
      </c>
      <c r="X4" s="64" t="s">
        <v>116</v>
      </c>
      <c r="Y4" s="65" t="s">
        <v>117</v>
      </c>
    </row>
    <row r="5" spans="2:25" ht="15.75" thickBot="1" x14ac:dyDescent="0.3">
      <c r="B5" s="105"/>
      <c r="C5" s="106" t="s">
        <v>47</v>
      </c>
      <c r="D5" s="106" t="s">
        <v>48</v>
      </c>
      <c r="E5" s="107" t="s">
        <v>49</v>
      </c>
      <c r="F5" s="107" t="s">
        <v>50</v>
      </c>
      <c r="G5" s="106" t="s">
        <v>51</v>
      </c>
      <c r="H5" s="106" t="s">
        <v>52</v>
      </c>
      <c r="I5" s="106" t="s">
        <v>52</v>
      </c>
      <c r="J5" s="107" t="s">
        <v>53</v>
      </c>
      <c r="K5" s="106" t="s">
        <v>54</v>
      </c>
      <c r="L5" s="108" t="s">
        <v>55</v>
      </c>
      <c r="M5" s="106" t="s">
        <v>56</v>
      </c>
      <c r="N5" s="107" t="s">
        <v>57</v>
      </c>
      <c r="O5" s="109" t="s">
        <v>58</v>
      </c>
      <c r="Q5" s="95" t="s">
        <v>118</v>
      </c>
      <c r="R5" s="96" t="s">
        <v>50</v>
      </c>
      <c r="S5" s="96" t="s">
        <v>50</v>
      </c>
      <c r="T5" s="97" t="s">
        <v>119</v>
      </c>
      <c r="U5" s="96" t="s">
        <v>120</v>
      </c>
      <c r="V5" s="96" t="s">
        <v>121</v>
      </c>
      <c r="W5" s="98" t="s">
        <v>122</v>
      </c>
      <c r="X5" s="96" t="s">
        <v>123</v>
      </c>
      <c r="Y5" s="99" t="s">
        <v>124</v>
      </c>
    </row>
    <row r="6" spans="2:25" ht="15.75" thickBot="1" x14ac:dyDescent="0.3">
      <c r="B6" s="171" t="s">
        <v>59</v>
      </c>
      <c r="C6" s="172" t="s">
        <v>60</v>
      </c>
      <c r="D6" s="173">
        <v>16.04</v>
      </c>
      <c r="E6" s="174">
        <v>161</v>
      </c>
      <c r="F6" s="173">
        <v>2.21</v>
      </c>
      <c r="G6" s="174">
        <v>537</v>
      </c>
      <c r="H6" s="175">
        <v>55.536000000000001</v>
      </c>
      <c r="I6" s="175">
        <v>50.048000000000002</v>
      </c>
      <c r="J6" s="174">
        <v>510</v>
      </c>
      <c r="K6" s="176">
        <v>17.2</v>
      </c>
      <c r="L6" s="177">
        <v>2226</v>
      </c>
      <c r="M6" s="176">
        <v>74.400000000000006</v>
      </c>
      <c r="N6" s="174">
        <v>120</v>
      </c>
      <c r="O6" s="178">
        <v>120</v>
      </c>
      <c r="Q6" s="91">
        <v>175</v>
      </c>
      <c r="R6" s="92">
        <v>1.0023</v>
      </c>
      <c r="S6" s="92">
        <v>0.71519999999999995</v>
      </c>
      <c r="T6" s="93">
        <v>1.401</v>
      </c>
      <c r="U6" s="93">
        <v>1.1819999999999999</v>
      </c>
      <c r="V6" s="93">
        <v>1.593</v>
      </c>
      <c r="W6" s="93">
        <v>0.74399999999999999</v>
      </c>
      <c r="X6" s="93">
        <v>0.58599999999999997</v>
      </c>
      <c r="Y6" s="94">
        <v>2.0169999999999999</v>
      </c>
    </row>
    <row r="7" spans="2:25" ht="15.75" thickBot="1" x14ac:dyDescent="0.3">
      <c r="B7" s="161" t="s">
        <v>61</v>
      </c>
      <c r="C7" s="162" t="s">
        <v>62</v>
      </c>
      <c r="D7" s="163">
        <v>26.04</v>
      </c>
      <c r="E7" s="164">
        <v>84</v>
      </c>
      <c r="F7" s="163">
        <v>1.6</v>
      </c>
      <c r="G7" s="164">
        <v>305</v>
      </c>
      <c r="H7" s="165">
        <v>49.923000000000002</v>
      </c>
      <c r="I7" s="165">
        <v>48.225000000000001</v>
      </c>
      <c r="J7" s="162" t="s">
        <v>63</v>
      </c>
      <c r="K7" s="166">
        <v>13.2</v>
      </c>
      <c r="L7" s="167">
        <v>2540</v>
      </c>
      <c r="M7" s="166">
        <v>8.6999999999999993</v>
      </c>
      <c r="N7" s="164">
        <v>50</v>
      </c>
      <c r="O7" s="168">
        <v>50</v>
      </c>
      <c r="Q7" s="86">
        <v>200</v>
      </c>
      <c r="R7" s="73">
        <v>1.0024999999999999</v>
      </c>
      <c r="S7" s="73">
        <v>0.71540000000000004</v>
      </c>
      <c r="T7" s="76">
        <v>1.401</v>
      </c>
      <c r="U7" s="76">
        <v>1.329</v>
      </c>
      <c r="V7" s="76">
        <v>1.8089999999999999</v>
      </c>
      <c r="W7" s="76">
        <v>0.73599999999999999</v>
      </c>
      <c r="X7" s="76">
        <v>0.753</v>
      </c>
      <c r="Y7" s="87">
        <v>1.7649999999999999</v>
      </c>
    </row>
    <row r="8" spans="2:25" ht="15.75" thickBot="1" x14ac:dyDescent="0.3">
      <c r="B8" s="179" t="s">
        <v>64</v>
      </c>
      <c r="C8" s="172" t="s">
        <v>65</v>
      </c>
      <c r="D8" s="173">
        <v>28.05</v>
      </c>
      <c r="E8" s="174">
        <v>104</v>
      </c>
      <c r="F8" s="173">
        <v>1.54</v>
      </c>
      <c r="G8" s="174">
        <v>490</v>
      </c>
      <c r="H8" s="175">
        <v>50.311999999999998</v>
      </c>
      <c r="I8" s="175">
        <v>47.131999999999998</v>
      </c>
      <c r="J8" s="172" t="s">
        <v>63</v>
      </c>
      <c r="K8" s="176">
        <v>14.7</v>
      </c>
      <c r="L8" s="177">
        <v>2380</v>
      </c>
      <c r="M8" s="176">
        <v>52.4</v>
      </c>
      <c r="N8" s="172" t="s">
        <v>63</v>
      </c>
      <c r="O8" s="180" t="s">
        <v>63</v>
      </c>
      <c r="Q8" s="86">
        <v>225</v>
      </c>
      <c r="R8" s="73">
        <v>1.0026999999999999</v>
      </c>
      <c r="S8" s="73">
        <v>0.71560000000000001</v>
      </c>
      <c r="T8" s="76">
        <v>1.401</v>
      </c>
      <c r="U8" s="76">
        <v>1.4670000000000001</v>
      </c>
      <c r="V8" s="76">
        <v>2.02</v>
      </c>
      <c r="W8" s="76">
        <v>0.72799999999999998</v>
      </c>
      <c r="X8" s="76">
        <v>0.93500000000000005</v>
      </c>
      <c r="Y8" s="87">
        <v>1.569</v>
      </c>
    </row>
    <row r="9" spans="2:25" ht="15.75" thickBot="1" x14ac:dyDescent="0.3">
      <c r="B9" s="161" t="s">
        <v>66</v>
      </c>
      <c r="C9" s="162" t="s">
        <v>67</v>
      </c>
      <c r="D9" s="163">
        <v>30.07</v>
      </c>
      <c r="E9" s="164">
        <v>89</v>
      </c>
      <c r="F9" s="163">
        <v>1.75</v>
      </c>
      <c r="G9" s="164">
        <v>472</v>
      </c>
      <c r="H9" s="165">
        <v>51.902000000000001</v>
      </c>
      <c r="I9" s="165">
        <v>47.610999999999997</v>
      </c>
      <c r="J9" s="164">
        <v>489</v>
      </c>
      <c r="K9" s="166">
        <v>16.100000000000001</v>
      </c>
      <c r="L9" s="167">
        <v>2370</v>
      </c>
      <c r="M9" s="166">
        <v>83.8</v>
      </c>
      <c r="N9" s="164">
        <v>115</v>
      </c>
      <c r="O9" s="168">
        <v>99</v>
      </c>
      <c r="Q9" s="86">
        <v>250</v>
      </c>
      <c r="R9" s="73">
        <v>1.0031000000000001</v>
      </c>
      <c r="S9" s="76">
        <v>0.71599999999999997</v>
      </c>
      <c r="T9" s="76">
        <v>1.401</v>
      </c>
      <c r="U9" s="76">
        <v>1.599</v>
      </c>
      <c r="V9" s="76">
        <v>2.2269999999999999</v>
      </c>
      <c r="W9" s="76">
        <v>0.72</v>
      </c>
      <c r="X9" s="76">
        <v>1.1319999999999999</v>
      </c>
      <c r="Y9" s="87">
        <v>1.4119999999999999</v>
      </c>
    </row>
    <row r="10" spans="2:25" ht="15.75" thickBot="1" x14ac:dyDescent="0.3">
      <c r="B10" s="161" t="s">
        <v>68</v>
      </c>
      <c r="C10" s="162" t="s">
        <v>69</v>
      </c>
      <c r="D10" s="163">
        <v>44.1</v>
      </c>
      <c r="E10" s="164">
        <v>42</v>
      </c>
      <c r="F10" s="163">
        <v>1.62</v>
      </c>
      <c r="G10" s="164">
        <v>470</v>
      </c>
      <c r="H10" s="165">
        <v>50.322000000000003</v>
      </c>
      <c r="I10" s="165">
        <v>46.33</v>
      </c>
      <c r="J10" s="164">
        <v>432</v>
      </c>
      <c r="K10" s="166">
        <v>15.7</v>
      </c>
      <c r="L10" s="167">
        <v>2334</v>
      </c>
      <c r="M10" s="166">
        <v>104.7</v>
      </c>
      <c r="N10" s="164">
        <v>112</v>
      </c>
      <c r="O10" s="168">
        <v>97</v>
      </c>
      <c r="Q10" s="86">
        <v>275</v>
      </c>
      <c r="R10" s="73">
        <v>1.0038</v>
      </c>
      <c r="S10" s="73">
        <v>0.7167</v>
      </c>
      <c r="T10" s="76">
        <v>1.401</v>
      </c>
      <c r="U10" s="76">
        <v>1.7250000000000001</v>
      </c>
      <c r="V10" s="76">
        <v>2.4279999999999999</v>
      </c>
      <c r="W10" s="76">
        <v>0.71299999999999997</v>
      </c>
      <c r="X10" s="76">
        <v>1.343</v>
      </c>
      <c r="Y10" s="87">
        <v>1.284</v>
      </c>
    </row>
    <row r="11" spans="2:25" x14ac:dyDescent="0.25">
      <c r="B11" s="159" t="s">
        <v>70</v>
      </c>
      <c r="C11" s="92" t="s">
        <v>71</v>
      </c>
      <c r="D11" s="100">
        <v>58.12</v>
      </c>
      <c r="E11" s="102">
        <v>0.5</v>
      </c>
      <c r="F11" s="100">
        <v>1.64</v>
      </c>
      <c r="G11" s="101">
        <v>365</v>
      </c>
      <c r="H11" s="93">
        <v>49.511000000000003</v>
      </c>
      <c r="I11" s="93">
        <v>45.725000000000001</v>
      </c>
      <c r="J11" s="101">
        <v>386</v>
      </c>
      <c r="K11" s="102">
        <v>15.5</v>
      </c>
      <c r="L11" s="103">
        <v>2270</v>
      </c>
      <c r="M11" s="102">
        <v>146.6</v>
      </c>
      <c r="N11" s="101">
        <v>94</v>
      </c>
      <c r="O11" s="104">
        <v>90</v>
      </c>
      <c r="Q11" s="86">
        <v>300</v>
      </c>
      <c r="R11" s="73">
        <v>1.0048999999999999</v>
      </c>
      <c r="S11" s="73">
        <v>0.71779999999999999</v>
      </c>
      <c r="T11" s="76">
        <v>1.4</v>
      </c>
      <c r="U11" s="76">
        <v>1.8460000000000001</v>
      </c>
      <c r="V11" s="76">
        <v>2.6240000000000001</v>
      </c>
      <c r="W11" s="76">
        <v>0.70699999999999996</v>
      </c>
      <c r="X11" s="76">
        <v>1.5680000000000001</v>
      </c>
      <c r="Y11" s="87">
        <v>1.177</v>
      </c>
    </row>
    <row r="12" spans="2:25" x14ac:dyDescent="0.25">
      <c r="B12" s="80" t="s">
        <v>70</v>
      </c>
      <c r="C12" s="73" t="s">
        <v>72</v>
      </c>
      <c r="D12" s="74">
        <v>58.12</v>
      </c>
      <c r="E12" s="75">
        <v>12</v>
      </c>
      <c r="F12" s="74">
        <v>1.62</v>
      </c>
      <c r="G12" s="75">
        <v>460</v>
      </c>
      <c r="H12" s="76">
        <v>49.363</v>
      </c>
      <c r="I12" s="76">
        <v>45.576999999999998</v>
      </c>
      <c r="J12" s="75">
        <v>366</v>
      </c>
      <c r="K12" s="77">
        <v>15.5</v>
      </c>
      <c r="L12" s="78">
        <v>2310</v>
      </c>
      <c r="M12" s="77">
        <v>153.5</v>
      </c>
      <c r="N12" s="75">
        <v>102</v>
      </c>
      <c r="O12" s="79">
        <v>98</v>
      </c>
      <c r="Q12" s="86">
        <v>325</v>
      </c>
      <c r="R12" s="73">
        <v>1.0063</v>
      </c>
      <c r="S12" s="73">
        <v>0.71919999999999995</v>
      </c>
      <c r="T12" s="76">
        <v>1.4</v>
      </c>
      <c r="U12" s="76">
        <v>1.962</v>
      </c>
      <c r="V12" s="76">
        <v>2.8159999999999998</v>
      </c>
      <c r="W12" s="76">
        <v>0.70099999999999996</v>
      </c>
      <c r="X12" s="76">
        <v>1.8069999999999999</v>
      </c>
      <c r="Y12" s="87">
        <v>1.0860000000000001</v>
      </c>
    </row>
    <row r="13" spans="2:25" x14ac:dyDescent="0.25">
      <c r="B13" s="80" t="s">
        <v>73</v>
      </c>
      <c r="C13" s="73" t="s">
        <v>74</v>
      </c>
      <c r="D13" s="74">
        <v>72.150000000000006</v>
      </c>
      <c r="E13" s="75">
        <v>36</v>
      </c>
      <c r="F13" s="74">
        <v>1.62</v>
      </c>
      <c r="G13" s="75">
        <v>284</v>
      </c>
      <c r="H13" s="76">
        <v>49.003</v>
      </c>
      <c r="I13" s="76">
        <v>45.343000000000004</v>
      </c>
      <c r="J13" s="75">
        <v>357</v>
      </c>
      <c r="K13" s="77">
        <v>15.3</v>
      </c>
      <c r="L13" s="78">
        <v>2270</v>
      </c>
      <c r="M13" s="77">
        <v>173.5</v>
      </c>
      <c r="N13" s="75">
        <v>62</v>
      </c>
      <c r="O13" s="79">
        <v>63</v>
      </c>
      <c r="Q13" s="86">
        <v>350</v>
      </c>
      <c r="R13" s="73">
        <v>1.0082</v>
      </c>
      <c r="S13" s="73">
        <v>0.72109999999999996</v>
      </c>
      <c r="T13" s="76">
        <v>1.3979999999999999</v>
      </c>
      <c r="U13" s="76">
        <v>2.0750000000000002</v>
      </c>
      <c r="V13" s="76">
        <v>3.0030000000000001</v>
      </c>
      <c r="W13" s="76">
        <v>0.69699999999999995</v>
      </c>
      <c r="X13" s="76">
        <v>2.056</v>
      </c>
      <c r="Y13" s="87">
        <v>1.0089999999999999</v>
      </c>
    </row>
    <row r="14" spans="2:25" x14ac:dyDescent="0.25">
      <c r="B14" s="80" t="s">
        <v>73</v>
      </c>
      <c r="C14" s="73" t="s">
        <v>75</v>
      </c>
      <c r="D14" s="74">
        <v>72.150000000000006</v>
      </c>
      <c r="E14" s="75">
        <v>28</v>
      </c>
      <c r="F14" s="74">
        <v>1.6</v>
      </c>
      <c r="G14" s="75">
        <v>420</v>
      </c>
      <c r="H14" s="76">
        <v>48.908999999999999</v>
      </c>
      <c r="I14" s="76">
        <v>45.249000000000002</v>
      </c>
      <c r="J14" s="75">
        <v>342</v>
      </c>
      <c r="K14" s="77">
        <v>15.3</v>
      </c>
      <c r="L14" s="78">
        <v>2310</v>
      </c>
      <c r="M14" s="77">
        <v>178.5</v>
      </c>
      <c r="N14" s="75">
        <v>93</v>
      </c>
      <c r="O14" s="79">
        <v>90</v>
      </c>
      <c r="Q14" s="86">
        <v>375</v>
      </c>
      <c r="R14" s="73">
        <v>1.0105999999999999</v>
      </c>
      <c r="S14" s="73">
        <v>0.72350000000000003</v>
      </c>
      <c r="T14" s="76">
        <v>1.397</v>
      </c>
      <c r="U14" s="76">
        <v>2.181</v>
      </c>
      <c r="V14" s="76">
        <v>3.1859999999999999</v>
      </c>
      <c r="W14" s="76">
        <v>0.69199999999999995</v>
      </c>
      <c r="X14" s="76">
        <v>2.3170000000000002</v>
      </c>
      <c r="Y14" s="81">
        <v>0.94130000000000003</v>
      </c>
    </row>
    <row r="15" spans="2:25" x14ac:dyDescent="0.25">
      <c r="B15" s="80" t="s">
        <v>76</v>
      </c>
      <c r="C15" s="73" t="s">
        <v>77</v>
      </c>
      <c r="D15" s="74">
        <v>86.18</v>
      </c>
      <c r="E15" s="75">
        <v>69</v>
      </c>
      <c r="F15" s="74">
        <v>1.62</v>
      </c>
      <c r="G15" s="75">
        <v>233</v>
      </c>
      <c r="H15" s="76">
        <v>48.673999999999999</v>
      </c>
      <c r="I15" s="76">
        <v>45.098999999999997</v>
      </c>
      <c r="J15" s="75">
        <v>335</v>
      </c>
      <c r="K15" s="77">
        <v>15.2</v>
      </c>
      <c r="L15" s="78">
        <v>2271</v>
      </c>
      <c r="M15" s="77">
        <v>198.7</v>
      </c>
      <c r="N15" s="75">
        <v>25</v>
      </c>
      <c r="O15" s="79">
        <v>26</v>
      </c>
      <c r="Q15" s="86">
        <v>400</v>
      </c>
      <c r="R15" s="73">
        <v>1.0135000000000001</v>
      </c>
      <c r="S15" s="73">
        <v>0.72640000000000005</v>
      </c>
      <c r="T15" s="76">
        <v>1.395</v>
      </c>
      <c r="U15" s="76">
        <v>2.286</v>
      </c>
      <c r="V15" s="76">
        <v>3.3650000000000002</v>
      </c>
      <c r="W15" s="76">
        <v>0.68799999999999994</v>
      </c>
      <c r="X15" s="76">
        <v>2.5910000000000002</v>
      </c>
      <c r="Y15" s="81">
        <v>0.88239999999999996</v>
      </c>
    </row>
    <row r="16" spans="2:25" x14ac:dyDescent="0.25">
      <c r="B16" s="80" t="s">
        <v>76</v>
      </c>
      <c r="C16" s="73" t="s">
        <v>78</v>
      </c>
      <c r="D16" s="74">
        <v>86.18</v>
      </c>
      <c r="E16" s="75">
        <v>50</v>
      </c>
      <c r="F16" s="74">
        <v>1.58</v>
      </c>
      <c r="G16" s="75">
        <v>421</v>
      </c>
      <c r="H16" s="76">
        <v>48.454000000000001</v>
      </c>
      <c r="I16" s="76">
        <v>44.878999999999998</v>
      </c>
      <c r="J16" s="75">
        <v>305</v>
      </c>
      <c r="K16" s="77">
        <v>15.2</v>
      </c>
      <c r="L16" s="78">
        <v>2300</v>
      </c>
      <c r="M16" s="77">
        <v>207.4</v>
      </c>
      <c r="N16" s="75">
        <v>104</v>
      </c>
      <c r="O16" s="79">
        <v>94</v>
      </c>
      <c r="Q16" s="86">
        <v>450</v>
      </c>
      <c r="R16" s="73">
        <v>1.0206</v>
      </c>
      <c r="S16" s="73">
        <v>0.73350000000000004</v>
      </c>
      <c r="T16" s="76">
        <v>1.391</v>
      </c>
      <c r="U16" s="76">
        <v>2.4860000000000002</v>
      </c>
      <c r="V16" s="76">
        <v>3.71</v>
      </c>
      <c r="W16" s="76">
        <v>0.68400000000000005</v>
      </c>
      <c r="X16" s="76">
        <v>3.1680000000000001</v>
      </c>
      <c r="Y16" s="81">
        <v>0.78439999999999999</v>
      </c>
    </row>
    <row r="17" spans="2:25" x14ac:dyDescent="0.25">
      <c r="B17" s="80" t="s">
        <v>79</v>
      </c>
      <c r="C17" s="73" t="s">
        <v>80</v>
      </c>
      <c r="D17" s="74">
        <v>100.2</v>
      </c>
      <c r="E17" s="75">
        <v>99</v>
      </c>
      <c r="F17" s="74">
        <v>1.61</v>
      </c>
      <c r="G17" s="75">
        <v>215</v>
      </c>
      <c r="H17" s="76">
        <v>48.438000000000002</v>
      </c>
      <c r="I17" s="76">
        <v>44.924999999999997</v>
      </c>
      <c r="J17" s="75">
        <v>317</v>
      </c>
      <c r="K17" s="77">
        <v>15.2</v>
      </c>
      <c r="L17" s="78">
        <v>2273</v>
      </c>
      <c r="M17" s="77">
        <v>224.2</v>
      </c>
      <c r="N17" s="75">
        <v>0</v>
      </c>
      <c r="O17" s="79">
        <v>0</v>
      </c>
      <c r="Q17" s="86">
        <v>500</v>
      </c>
      <c r="R17" s="73">
        <v>1.0295000000000001</v>
      </c>
      <c r="S17" s="73">
        <v>0.74239999999999995</v>
      </c>
      <c r="T17" s="76">
        <v>1.387</v>
      </c>
      <c r="U17" s="76">
        <v>2.67</v>
      </c>
      <c r="V17" s="76">
        <v>4.0410000000000004</v>
      </c>
      <c r="W17" s="76">
        <v>0.68</v>
      </c>
      <c r="X17" s="76">
        <v>3.782</v>
      </c>
      <c r="Y17" s="87">
        <v>0.70599999999999996</v>
      </c>
    </row>
    <row r="18" spans="2:25" ht="15.75" thickBot="1" x14ac:dyDescent="0.3">
      <c r="B18" s="151" t="s">
        <v>81</v>
      </c>
      <c r="C18" s="152" t="s">
        <v>82</v>
      </c>
      <c r="D18" s="153">
        <v>114.23</v>
      </c>
      <c r="E18" s="154">
        <v>126</v>
      </c>
      <c r="F18" s="153">
        <v>1.61</v>
      </c>
      <c r="G18" s="154">
        <v>206</v>
      </c>
      <c r="H18" s="155">
        <v>48.253999999999998</v>
      </c>
      <c r="I18" s="155">
        <v>44.786000000000001</v>
      </c>
      <c r="J18" s="154">
        <v>301</v>
      </c>
      <c r="K18" s="156">
        <v>15.1</v>
      </c>
      <c r="L18" s="157">
        <v>2275</v>
      </c>
      <c r="M18" s="156">
        <v>250.1</v>
      </c>
      <c r="N18" s="154">
        <v>20</v>
      </c>
      <c r="O18" s="158">
        <v>17</v>
      </c>
      <c r="Q18" s="86">
        <v>550</v>
      </c>
      <c r="R18" s="73">
        <v>1.0398000000000001</v>
      </c>
      <c r="S18" s="73">
        <v>0.75270000000000004</v>
      </c>
      <c r="T18" s="76">
        <v>1.381</v>
      </c>
      <c r="U18" s="76">
        <v>2.8490000000000002</v>
      </c>
      <c r="V18" s="76">
        <v>4.3570000000000002</v>
      </c>
      <c r="W18" s="76">
        <v>0.68</v>
      </c>
      <c r="X18" s="76">
        <v>4.4390000000000001</v>
      </c>
      <c r="Y18" s="81">
        <v>0.64180000000000004</v>
      </c>
    </row>
    <row r="19" spans="2:25" ht="15.75" thickBot="1" x14ac:dyDescent="0.3">
      <c r="B19" s="161" t="s">
        <v>81</v>
      </c>
      <c r="C19" s="162" t="s">
        <v>136</v>
      </c>
      <c r="D19" s="163">
        <v>114.23</v>
      </c>
      <c r="E19" s="164">
        <v>114</v>
      </c>
      <c r="F19" s="163">
        <v>1.59</v>
      </c>
      <c r="G19" s="164">
        <v>418</v>
      </c>
      <c r="H19" s="165">
        <v>48.119</v>
      </c>
      <c r="I19" s="165">
        <v>44.651000000000003</v>
      </c>
      <c r="J19" s="164">
        <v>283</v>
      </c>
      <c r="K19" s="166">
        <v>15.1</v>
      </c>
      <c r="L19" s="167">
        <v>2300</v>
      </c>
      <c r="M19" s="371">
        <v>259.2</v>
      </c>
      <c r="N19" s="164">
        <v>100</v>
      </c>
      <c r="O19" s="168">
        <v>100</v>
      </c>
      <c r="Q19" s="86">
        <v>600</v>
      </c>
      <c r="R19" s="73">
        <v>1.0510999999999999</v>
      </c>
      <c r="S19" s="73">
        <v>0.754</v>
      </c>
      <c r="T19" s="76">
        <v>1.3759999999999999</v>
      </c>
      <c r="U19" s="76">
        <v>3.0169999999999999</v>
      </c>
      <c r="V19" s="76">
        <v>4.6609999999999996</v>
      </c>
      <c r="W19" s="76">
        <v>0.68</v>
      </c>
      <c r="X19" s="76">
        <v>5.1280000000000001</v>
      </c>
      <c r="Y19" s="81">
        <v>0.58830000000000005</v>
      </c>
    </row>
    <row r="20" spans="2:25" x14ac:dyDescent="0.25">
      <c r="B20" s="159" t="s">
        <v>83</v>
      </c>
      <c r="C20" s="92" t="s">
        <v>84</v>
      </c>
      <c r="D20" s="102">
        <v>128.6</v>
      </c>
      <c r="E20" s="101">
        <v>151</v>
      </c>
      <c r="F20" s="100">
        <v>1.61</v>
      </c>
      <c r="G20" s="92" t="s">
        <v>63</v>
      </c>
      <c r="H20" s="93">
        <v>48.119</v>
      </c>
      <c r="I20" s="93">
        <v>44.688000000000002</v>
      </c>
      <c r="J20" s="101">
        <v>295</v>
      </c>
      <c r="K20" s="102">
        <v>15.1</v>
      </c>
      <c r="L20" s="103">
        <v>2274</v>
      </c>
      <c r="M20" s="102">
        <v>274.7</v>
      </c>
      <c r="N20" s="92" t="s">
        <v>63</v>
      </c>
      <c r="O20" s="160" t="s">
        <v>63</v>
      </c>
      <c r="Q20" s="86">
        <v>650</v>
      </c>
      <c r="R20" s="73">
        <v>1.0629</v>
      </c>
      <c r="S20" s="73">
        <v>0.77580000000000005</v>
      </c>
      <c r="T20" s="76">
        <v>1.37</v>
      </c>
      <c r="U20" s="76">
        <v>3.1779999999999999</v>
      </c>
      <c r="V20" s="76">
        <v>4.9539999999999997</v>
      </c>
      <c r="W20" s="76">
        <v>0.68200000000000005</v>
      </c>
      <c r="X20" s="76">
        <v>5.8529999999999998</v>
      </c>
      <c r="Y20" s="87">
        <v>0.54300000000000004</v>
      </c>
    </row>
    <row r="21" spans="2:25" x14ac:dyDescent="0.25">
      <c r="B21" s="80" t="s">
        <v>85</v>
      </c>
      <c r="C21" s="73" t="s">
        <v>86</v>
      </c>
      <c r="D21" s="74">
        <v>142.28</v>
      </c>
      <c r="E21" s="75">
        <v>174</v>
      </c>
      <c r="F21" s="74">
        <v>1.61</v>
      </c>
      <c r="G21" s="75">
        <v>210</v>
      </c>
      <c r="H21" s="76">
        <v>48.002000000000002</v>
      </c>
      <c r="I21" s="76">
        <v>44.598999999999997</v>
      </c>
      <c r="J21" s="75">
        <v>277</v>
      </c>
      <c r="K21" s="77">
        <v>15.1</v>
      </c>
      <c r="L21" s="78">
        <v>2278</v>
      </c>
      <c r="M21" s="77">
        <v>300.89999999999998</v>
      </c>
      <c r="N21" s="75">
        <v>41</v>
      </c>
      <c r="O21" s="79">
        <v>38</v>
      </c>
      <c r="Q21" s="86">
        <v>700</v>
      </c>
      <c r="R21" s="73">
        <v>1.075</v>
      </c>
      <c r="S21" s="73">
        <v>0.78790000000000004</v>
      </c>
      <c r="T21" s="76">
        <v>1.3640000000000001</v>
      </c>
      <c r="U21" s="76">
        <v>3.3319999999999999</v>
      </c>
      <c r="V21" s="76">
        <v>5.2359999999999998</v>
      </c>
      <c r="W21" s="76">
        <v>0.68400000000000005</v>
      </c>
      <c r="X21" s="76">
        <v>6.6070000000000002</v>
      </c>
      <c r="Y21" s="81">
        <v>0.50429999999999997</v>
      </c>
    </row>
    <row r="22" spans="2:25" x14ac:dyDescent="0.25">
      <c r="B22" s="80" t="s">
        <v>85</v>
      </c>
      <c r="C22" s="73" t="s">
        <v>87</v>
      </c>
      <c r="D22" s="74">
        <v>142.28</v>
      </c>
      <c r="E22" s="75">
        <v>171</v>
      </c>
      <c r="F22" s="74">
        <v>1.61</v>
      </c>
      <c r="G22" s="73" t="s">
        <v>63</v>
      </c>
      <c r="H22" s="76">
        <v>48.564999999999998</v>
      </c>
      <c r="I22" s="76">
        <v>44.412999999999997</v>
      </c>
      <c r="J22" s="73" t="s">
        <v>63</v>
      </c>
      <c r="K22" s="77">
        <v>15.1</v>
      </c>
      <c r="L22" s="78">
        <v>2340</v>
      </c>
      <c r="M22" s="73" t="s">
        <v>63</v>
      </c>
      <c r="N22" s="75">
        <v>113</v>
      </c>
      <c r="O22" s="79">
        <v>92</v>
      </c>
      <c r="Q22" s="86">
        <v>750</v>
      </c>
      <c r="R22" s="73">
        <v>1.087</v>
      </c>
      <c r="S22" s="73">
        <v>0.79990000000000006</v>
      </c>
      <c r="T22" s="76">
        <v>1.359</v>
      </c>
      <c r="U22" s="76">
        <v>3.4820000000000002</v>
      </c>
      <c r="V22" s="76">
        <v>5.5090000000000003</v>
      </c>
      <c r="W22" s="76">
        <v>0.68700000000000006</v>
      </c>
      <c r="X22" s="76">
        <v>7.399</v>
      </c>
      <c r="Y22" s="81">
        <v>0.47060000000000002</v>
      </c>
    </row>
    <row r="23" spans="2:25" ht="15.75" thickBot="1" x14ac:dyDescent="0.3">
      <c r="B23" s="151" t="s">
        <v>88</v>
      </c>
      <c r="C23" s="152" t="s">
        <v>89</v>
      </c>
      <c r="D23" s="153">
        <v>170.33</v>
      </c>
      <c r="E23" s="154">
        <v>216</v>
      </c>
      <c r="F23" s="153">
        <v>1.61</v>
      </c>
      <c r="G23" s="154">
        <v>204</v>
      </c>
      <c r="H23" s="155">
        <v>47.838000000000001</v>
      </c>
      <c r="I23" s="155">
        <v>44.573999999999998</v>
      </c>
      <c r="J23" s="154">
        <v>256</v>
      </c>
      <c r="K23" s="156">
        <v>15</v>
      </c>
      <c r="L23" s="157">
        <v>2276</v>
      </c>
      <c r="M23" s="156">
        <v>350.9</v>
      </c>
      <c r="N23" s="154">
        <v>88</v>
      </c>
      <c r="O23" s="158">
        <v>90</v>
      </c>
      <c r="Q23" s="86">
        <v>800</v>
      </c>
      <c r="R23" s="73">
        <v>1.0987</v>
      </c>
      <c r="S23" s="73">
        <v>0.81159999999999999</v>
      </c>
      <c r="T23" s="76">
        <v>1.3540000000000001</v>
      </c>
      <c r="U23" s="76">
        <v>3.6240000000000001</v>
      </c>
      <c r="V23" s="76">
        <v>5.774</v>
      </c>
      <c r="W23" s="76">
        <v>0.69</v>
      </c>
      <c r="X23" s="76">
        <v>8.2140000000000004</v>
      </c>
      <c r="Y23" s="81">
        <v>0.44119999999999998</v>
      </c>
    </row>
    <row r="24" spans="2:25" ht="15.75" thickBot="1" x14ac:dyDescent="0.3">
      <c r="B24" s="169" t="s">
        <v>90</v>
      </c>
      <c r="C24" s="162" t="s">
        <v>12</v>
      </c>
      <c r="D24" s="163">
        <v>32.04</v>
      </c>
      <c r="E24" s="164">
        <v>65</v>
      </c>
      <c r="F24" s="163">
        <v>1.37</v>
      </c>
      <c r="G24" s="164">
        <v>385</v>
      </c>
      <c r="H24" s="165">
        <v>22.663</v>
      </c>
      <c r="I24" s="165">
        <v>19.914999999999999</v>
      </c>
      <c r="J24" s="167">
        <v>1099</v>
      </c>
      <c r="K24" s="166">
        <v>6.5</v>
      </c>
      <c r="L24" s="167">
        <v>2183</v>
      </c>
      <c r="M24" s="371">
        <v>201.5</v>
      </c>
      <c r="N24" s="164">
        <v>106</v>
      </c>
      <c r="O24" s="168">
        <v>92</v>
      </c>
      <c r="Q24" s="86">
        <v>850</v>
      </c>
      <c r="R24" s="73">
        <v>1.1101000000000001</v>
      </c>
      <c r="S24" s="73">
        <v>0.82299999999999995</v>
      </c>
      <c r="T24" s="76">
        <v>1.349</v>
      </c>
      <c r="U24" s="76">
        <v>3.7629999999999999</v>
      </c>
      <c r="V24" s="76">
        <v>6.03</v>
      </c>
      <c r="W24" s="76">
        <v>0.69299999999999995</v>
      </c>
      <c r="X24" s="76">
        <v>9.0609999999999999</v>
      </c>
      <c r="Y24" s="81">
        <v>0.4153</v>
      </c>
    </row>
    <row r="25" spans="2:25" ht="15.75" thickBot="1" x14ac:dyDescent="0.3">
      <c r="B25" s="161" t="s">
        <v>91</v>
      </c>
      <c r="C25" s="162" t="s">
        <v>92</v>
      </c>
      <c r="D25" s="163">
        <v>46.07</v>
      </c>
      <c r="E25" s="164">
        <v>78</v>
      </c>
      <c r="F25" s="163">
        <v>1.42</v>
      </c>
      <c r="G25" s="164">
        <v>365</v>
      </c>
      <c r="H25" s="165">
        <v>29.667999999999999</v>
      </c>
      <c r="I25" s="165">
        <v>26.803000000000001</v>
      </c>
      <c r="J25" s="164">
        <v>836</v>
      </c>
      <c r="K25" s="166">
        <v>9</v>
      </c>
      <c r="L25" s="167">
        <v>2144</v>
      </c>
      <c r="M25" s="166">
        <v>235.1</v>
      </c>
      <c r="N25" s="164">
        <v>107</v>
      </c>
      <c r="O25" s="168">
        <v>89</v>
      </c>
      <c r="Q25" s="86">
        <v>900</v>
      </c>
      <c r="R25" s="73">
        <v>1.1209</v>
      </c>
      <c r="S25" s="73">
        <v>0.83379999999999999</v>
      </c>
      <c r="T25" s="76">
        <v>1.3440000000000001</v>
      </c>
      <c r="U25" s="76">
        <v>3.8969999999999998</v>
      </c>
      <c r="V25" s="76">
        <v>6.2759999999999998</v>
      </c>
      <c r="W25" s="76">
        <v>0.69599999999999995</v>
      </c>
      <c r="X25" s="76">
        <v>9.9359999999999999</v>
      </c>
      <c r="Y25" s="81">
        <v>0.39219999999999999</v>
      </c>
    </row>
    <row r="26" spans="2:25" ht="15.75" thickBot="1" x14ac:dyDescent="0.3">
      <c r="B26" s="169" t="s">
        <v>93</v>
      </c>
      <c r="C26" s="162" t="s">
        <v>9</v>
      </c>
      <c r="D26" s="163">
        <v>2.02</v>
      </c>
      <c r="E26" s="164">
        <v>253</v>
      </c>
      <c r="F26" s="163">
        <v>14.47</v>
      </c>
      <c r="G26" s="164">
        <v>400</v>
      </c>
      <c r="H26" s="163">
        <v>141.72</v>
      </c>
      <c r="I26" s="163">
        <v>119.96</v>
      </c>
      <c r="J26" s="164">
        <v>451</v>
      </c>
      <c r="K26" s="166">
        <v>34.299999999999997</v>
      </c>
      <c r="L26" s="167">
        <v>2345</v>
      </c>
      <c r="M26" s="164">
        <v>0</v>
      </c>
      <c r="N26" s="162" t="s">
        <v>63</v>
      </c>
      <c r="O26" s="170" t="s">
        <v>63</v>
      </c>
      <c r="Q26" s="86">
        <v>950</v>
      </c>
      <c r="R26" s="73">
        <v>1.1313</v>
      </c>
      <c r="S26" s="73">
        <v>0.84419999999999995</v>
      </c>
      <c r="T26" s="74">
        <v>1.34</v>
      </c>
      <c r="U26" s="76">
        <v>4.0259999999999998</v>
      </c>
      <c r="V26" s="76">
        <v>6.52</v>
      </c>
      <c r="W26" s="76">
        <v>0.69899999999999995</v>
      </c>
      <c r="X26" s="74">
        <v>10.83</v>
      </c>
      <c r="Y26" s="81">
        <v>0.37159999999999999</v>
      </c>
    </row>
    <row r="27" spans="2:25" ht="15.75" thickBot="1" x14ac:dyDescent="0.3">
      <c r="E27" s="72"/>
      <c r="Q27" s="88">
        <v>1000</v>
      </c>
      <c r="R27" s="73">
        <v>1.1411</v>
      </c>
      <c r="S27" s="73">
        <v>0.85399999999999998</v>
      </c>
      <c r="T27" s="76">
        <v>1.3360000000000001</v>
      </c>
      <c r="U27" s="76">
        <v>4.1529999999999996</v>
      </c>
      <c r="V27" s="76">
        <v>6.7539999999999996</v>
      </c>
      <c r="W27" s="76">
        <v>0.70199999999999996</v>
      </c>
      <c r="X27" s="74">
        <v>11.76</v>
      </c>
      <c r="Y27" s="81">
        <v>0.35299999999999998</v>
      </c>
    </row>
    <row r="28" spans="2:25" x14ac:dyDescent="0.25">
      <c r="B28" s="610" t="s">
        <v>94</v>
      </c>
      <c r="C28" s="611"/>
      <c r="D28" s="611"/>
      <c r="E28" s="612"/>
      <c r="Q28" s="88">
        <v>1050</v>
      </c>
      <c r="R28" s="73">
        <v>1.1501999999999999</v>
      </c>
      <c r="S28" s="73">
        <v>0.86309999999999998</v>
      </c>
      <c r="T28" s="76">
        <v>1.333</v>
      </c>
      <c r="U28" s="76">
        <v>4.2759999999999998</v>
      </c>
      <c r="V28" s="76">
        <v>6.9850000000000003</v>
      </c>
      <c r="W28" s="76">
        <v>0.70399999999999996</v>
      </c>
      <c r="X28" s="74">
        <v>12.72</v>
      </c>
      <c r="Y28" s="81">
        <v>0.3362</v>
      </c>
    </row>
    <row r="29" spans="2:25" x14ac:dyDescent="0.25">
      <c r="B29" s="601" t="s">
        <v>95</v>
      </c>
      <c r="C29" s="602"/>
      <c r="D29" s="602"/>
      <c r="E29" s="603"/>
      <c r="Q29" s="88">
        <v>1100</v>
      </c>
      <c r="R29" s="73">
        <v>1.1589</v>
      </c>
      <c r="S29" s="73">
        <v>0.87180000000000002</v>
      </c>
      <c r="T29" s="76">
        <v>1.329</v>
      </c>
      <c r="U29" s="76">
        <v>4.3959999999999999</v>
      </c>
      <c r="V29" s="76">
        <v>7.2089999999999996</v>
      </c>
      <c r="W29" s="76">
        <v>0.70699999999999996</v>
      </c>
      <c r="X29" s="74">
        <v>13.7</v>
      </c>
      <c r="Y29" s="81">
        <v>0.32090000000000002</v>
      </c>
    </row>
    <row r="30" spans="2:25" x14ac:dyDescent="0.25">
      <c r="B30" s="601" t="s">
        <v>96</v>
      </c>
      <c r="C30" s="602"/>
      <c r="D30" s="602"/>
      <c r="E30" s="603"/>
      <c r="Q30" s="88">
        <v>1150</v>
      </c>
      <c r="R30" s="73">
        <v>1.167</v>
      </c>
      <c r="S30" s="73">
        <v>0.87990000000000002</v>
      </c>
      <c r="T30" s="76">
        <v>1.3260000000000001</v>
      </c>
      <c r="U30" s="76">
        <v>4.5110000000000001</v>
      </c>
      <c r="V30" s="76">
        <v>7.4269999999999996</v>
      </c>
      <c r="W30" s="76">
        <v>0.70899999999999996</v>
      </c>
      <c r="X30" s="74">
        <v>14.07</v>
      </c>
      <c r="Y30" s="81">
        <v>0.30690000000000001</v>
      </c>
    </row>
    <row r="31" spans="2:25" x14ac:dyDescent="0.25">
      <c r="B31" s="601" t="s">
        <v>97</v>
      </c>
      <c r="C31" s="602"/>
      <c r="D31" s="602"/>
      <c r="E31" s="603"/>
      <c r="Q31" s="88">
        <v>1200</v>
      </c>
      <c r="R31" s="73">
        <v>1.1746000000000001</v>
      </c>
      <c r="S31" s="73">
        <v>0.88749999999999996</v>
      </c>
      <c r="T31" s="76">
        <v>1.323</v>
      </c>
      <c r="U31" s="76">
        <v>4.6260000000000003</v>
      </c>
      <c r="V31" s="76">
        <v>7.64</v>
      </c>
      <c r="W31" s="76">
        <v>0.71099999999999997</v>
      </c>
      <c r="X31" s="74">
        <v>15.73</v>
      </c>
      <c r="Y31" s="81">
        <v>0.29409999999999997</v>
      </c>
    </row>
    <row r="32" spans="2:25" ht="15.75" thickBot="1" x14ac:dyDescent="0.3">
      <c r="B32" s="604" t="s">
        <v>98</v>
      </c>
      <c r="C32" s="605"/>
      <c r="D32" s="605"/>
      <c r="E32" s="606"/>
      <c r="Q32" s="88">
        <v>1250</v>
      </c>
      <c r="R32" s="73">
        <v>1.1817</v>
      </c>
      <c r="S32" s="73">
        <v>0.89459999999999995</v>
      </c>
      <c r="T32" s="76">
        <v>1.321</v>
      </c>
      <c r="U32" s="76">
        <v>4.7359999999999998</v>
      </c>
      <c r="V32" s="76">
        <v>7.8490000000000002</v>
      </c>
      <c r="W32" s="76">
        <v>0.71299999999999997</v>
      </c>
      <c r="X32" s="74">
        <v>16.77</v>
      </c>
      <c r="Y32" s="81">
        <v>0.28239999999999998</v>
      </c>
    </row>
    <row r="33" spans="17:25" x14ac:dyDescent="0.25">
      <c r="Q33" s="88">
        <v>1300</v>
      </c>
      <c r="R33" s="73">
        <v>1.1883999999999999</v>
      </c>
      <c r="S33" s="73">
        <v>0.90129999999999999</v>
      </c>
      <c r="T33" s="76">
        <v>1.319</v>
      </c>
      <c r="U33" s="76">
        <v>4.8460000000000001</v>
      </c>
      <c r="V33" s="76">
        <v>8.0540000000000003</v>
      </c>
      <c r="W33" s="76">
        <v>0.71499999999999997</v>
      </c>
      <c r="X33" s="74">
        <v>17.850000000000001</v>
      </c>
      <c r="Y33" s="81">
        <v>0.27150000000000002</v>
      </c>
    </row>
    <row r="34" spans="17:25" x14ac:dyDescent="0.25">
      <c r="Q34" s="88">
        <v>1350</v>
      </c>
      <c r="R34" s="73">
        <v>1.1946000000000001</v>
      </c>
      <c r="S34" s="73">
        <v>0.90749999999999997</v>
      </c>
      <c r="T34" s="76">
        <v>1.3160000000000001</v>
      </c>
      <c r="U34" s="76">
        <v>4.952</v>
      </c>
      <c r="V34" s="76">
        <v>8.2530000000000001</v>
      </c>
      <c r="W34" s="76">
        <v>0.71699999999999997</v>
      </c>
      <c r="X34" s="74">
        <v>18.940000000000001</v>
      </c>
      <c r="Y34" s="81">
        <v>0.26150000000000001</v>
      </c>
    </row>
    <row r="35" spans="17:25" x14ac:dyDescent="0.25">
      <c r="Q35" s="88">
        <v>1400</v>
      </c>
      <c r="R35" s="73">
        <v>1.2004999999999999</v>
      </c>
      <c r="S35" s="73">
        <v>0.91339999999999999</v>
      </c>
      <c r="T35" s="76">
        <v>1.3140000000000001</v>
      </c>
      <c r="U35" s="76">
        <v>5.0570000000000004</v>
      </c>
      <c r="V35" s="76">
        <v>8.4499999999999993</v>
      </c>
      <c r="W35" s="76">
        <v>0.71899999999999997</v>
      </c>
      <c r="X35" s="74">
        <v>20.059999999999999</v>
      </c>
      <c r="Y35" s="81">
        <v>0.25209999999999999</v>
      </c>
    </row>
    <row r="36" spans="17:25" x14ac:dyDescent="0.25">
      <c r="Q36" s="88">
        <v>1500</v>
      </c>
      <c r="R36" s="73">
        <v>1.2112000000000001</v>
      </c>
      <c r="S36" s="73">
        <v>0.92410000000000003</v>
      </c>
      <c r="T36" s="76">
        <v>1.3109999999999999</v>
      </c>
      <c r="U36" s="76">
        <v>5.2619999999999996</v>
      </c>
      <c r="V36" s="76">
        <v>8.8309999999999995</v>
      </c>
      <c r="W36" s="76">
        <v>0.72199999999999998</v>
      </c>
      <c r="X36" s="74">
        <v>22.36</v>
      </c>
      <c r="Y36" s="81">
        <v>0.23530000000000001</v>
      </c>
    </row>
    <row r="37" spans="17:25" x14ac:dyDescent="0.25">
      <c r="Q37" s="88">
        <v>1600</v>
      </c>
      <c r="R37" s="73">
        <v>1.2206999999999999</v>
      </c>
      <c r="S37" s="73">
        <v>0.93359999999999999</v>
      </c>
      <c r="T37" s="76">
        <v>1.3080000000000001</v>
      </c>
      <c r="U37" s="76">
        <v>5.4569999999999999</v>
      </c>
      <c r="V37" s="76">
        <v>9.1989999999999998</v>
      </c>
      <c r="W37" s="76">
        <v>0.72399999999999998</v>
      </c>
      <c r="X37" s="74">
        <v>24.74</v>
      </c>
      <c r="Y37" s="81">
        <v>0.22059999999999999</v>
      </c>
    </row>
    <row r="38" spans="17:25" x14ac:dyDescent="0.25">
      <c r="Q38" s="88">
        <v>1700</v>
      </c>
      <c r="R38" s="73">
        <v>1.2293000000000001</v>
      </c>
      <c r="S38" s="73">
        <v>0.94220000000000004</v>
      </c>
      <c r="T38" s="76">
        <v>1.3049999999999999</v>
      </c>
      <c r="U38" s="76">
        <v>5.6459999999999999</v>
      </c>
      <c r="V38" s="76">
        <v>9.5540000000000003</v>
      </c>
      <c r="W38" s="76">
        <v>0.72599999999999998</v>
      </c>
      <c r="X38" s="74">
        <v>27.2</v>
      </c>
      <c r="Y38" s="81">
        <v>0.20760000000000001</v>
      </c>
    </row>
    <row r="39" spans="17:25" x14ac:dyDescent="0.25">
      <c r="Q39" s="88">
        <v>1800</v>
      </c>
      <c r="R39" s="73">
        <v>1.2370000000000001</v>
      </c>
      <c r="S39" s="73">
        <v>0.94989999999999997</v>
      </c>
      <c r="T39" s="76">
        <v>1.302</v>
      </c>
      <c r="U39" s="76">
        <v>5.8289999999999997</v>
      </c>
      <c r="V39" s="76">
        <v>9.8989999999999991</v>
      </c>
      <c r="W39" s="76">
        <v>0.72799999999999998</v>
      </c>
      <c r="X39" s="74">
        <v>29.72</v>
      </c>
      <c r="Y39" s="81">
        <v>0.1961</v>
      </c>
    </row>
    <row r="40" spans="17:25" ht="15.75" thickBot="1" x14ac:dyDescent="0.3">
      <c r="Q40" s="89">
        <v>1900</v>
      </c>
      <c r="R40" s="82">
        <v>1.244</v>
      </c>
      <c r="S40" s="82">
        <v>0.95689999999999997</v>
      </c>
      <c r="T40" s="90">
        <v>1.3</v>
      </c>
      <c r="U40" s="90">
        <v>6.008</v>
      </c>
      <c r="V40" s="90">
        <v>10.233000000000001</v>
      </c>
      <c r="W40" s="90">
        <v>0.73</v>
      </c>
      <c r="X40" s="83">
        <v>32.340000000000003</v>
      </c>
      <c r="Y40" s="85">
        <v>0.18579999999999999</v>
      </c>
    </row>
  </sheetData>
  <mergeCells count="7">
    <mergeCell ref="B31:E31"/>
    <mergeCell ref="B32:E32"/>
    <mergeCell ref="B3:O3"/>
    <mergeCell ref="Q1:Y1"/>
    <mergeCell ref="B28:E28"/>
    <mergeCell ref="B29:E29"/>
    <mergeCell ref="B30:E30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</sheetPr>
  <dimension ref="B3:X74"/>
  <sheetViews>
    <sheetView workbookViewId="0">
      <selection activeCell="L8" sqref="L8"/>
    </sheetView>
  </sheetViews>
  <sheetFormatPr defaultColWidth="9.140625" defaultRowHeight="15" x14ac:dyDescent="0.25"/>
  <cols>
    <col min="1" max="2" width="9.140625" style="24"/>
    <col min="3" max="3" width="12.140625" style="24" bestFit="1" customWidth="1"/>
    <col min="4" max="4" width="30.28515625" style="24" bestFit="1" customWidth="1"/>
    <col min="5" max="5" width="11.28515625" style="24" bestFit="1" customWidth="1"/>
    <col min="6" max="6" width="5.7109375" style="24" bestFit="1" customWidth="1"/>
    <col min="7" max="8" width="9.140625" style="24"/>
    <col min="9" max="9" width="12.140625" style="24" bestFit="1" customWidth="1"/>
    <col min="10" max="10" width="11" style="24" bestFit="1" customWidth="1"/>
    <col min="11" max="11" width="11.28515625" style="24" bestFit="1" customWidth="1"/>
    <col min="12" max="12" width="5.7109375" style="24" bestFit="1" customWidth="1"/>
    <col min="13" max="13" width="9.140625" style="24"/>
    <col min="14" max="14" width="5" style="24" bestFit="1" customWidth="1"/>
    <col min="15" max="15" width="12.140625" style="24" bestFit="1" customWidth="1"/>
    <col min="16" max="16" width="11" style="24" bestFit="1" customWidth="1"/>
    <col min="17" max="17" width="11.28515625" style="24" bestFit="1" customWidth="1"/>
    <col min="18" max="18" width="5.7109375" style="24" bestFit="1" customWidth="1"/>
    <col min="19" max="19" width="9.140625" style="24"/>
    <col min="20" max="20" width="5" style="24" bestFit="1" customWidth="1"/>
    <col min="21" max="21" width="12.140625" style="24" bestFit="1" customWidth="1"/>
    <col min="22" max="22" width="11" style="24" bestFit="1" customWidth="1"/>
    <col min="23" max="23" width="11.28515625" style="24" bestFit="1" customWidth="1"/>
    <col min="24" max="24" width="4.85546875" style="24" bestFit="1" customWidth="1"/>
    <col min="25" max="16384" width="9.140625" style="24"/>
  </cols>
  <sheetData>
    <row r="3" spans="2:24" ht="15.75" thickBot="1" x14ac:dyDescent="0.3"/>
    <row r="4" spans="2:24" ht="19.5" thickBot="1" x14ac:dyDescent="0.35">
      <c r="B4" s="616" t="s">
        <v>126</v>
      </c>
      <c r="C4" s="617"/>
      <c r="D4" s="617"/>
      <c r="E4" s="617"/>
      <c r="F4" s="617"/>
      <c r="G4" s="617"/>
      <c r="H4" s="617"/>
      <c r="I4" s="617"/>
      <c r="J4" s="617"/>
      <c r="K4" s="617"/>
      <c r="L4" s="617"/>
      <c r="M4" s="617"/>
      <c r="N4" s="617"/>
      <c r="O4" s="617"/>
      <c r="P4" s="617"/>
      <c r="Q4" s="617"/>
      <c r="R4" s="617"/>
      <c r="S4" s="617"/>
      <c r="T4" s="617"/>
      <c r="U4" s="617"/>
      <c r="V4" s="617"/>
      <c r="W4" s="617"/>
      <c r="X4" s="618"/>
    </row>
    <row r="5" spans="2:24" ht="19.5" thickBot="1" x14ac:dyDescent="0.35">
      <c r="B5" s="613" t="s">
        <v>127</v>
      </c>
      <c r="C5" s="614"/>
      <c r="D5" s="614"/>
      <c r="E5" s="614"/>
      <c r="F5" s="615"/>
      <c r="H5" s="613" t="s">
        <v>133</v>
      </c>
      <c r="I5" s="614"/>
      <c r="J5" s="614"/>
      <c r="K5" s="614"/>
      <c r="L5" s="615"/>
      <c r="N5" s="613" t="s">
        <v>0</v>
      </c>
      <c r="O5" s="614"/>
      <c r="P5" s="614"/>
      <c r="Q5" s="614"/>
      <c r="R5" s="615"/>
      <c r="T5" s="607" t="s">
        <v>1</v>
      </c>
      <c r="U5" s="608"/>
      <c r="V5" s="608"/>
      <c r="W5" s="608"/>
      <c r="X5" s="609"/>
    </row>
    <row r="6" spans="2:24" ht="15.75" thickBot="1" x14ac:dyDescent="0.3">
      <c r="B6" s="119" t="s">
        <v>128</v>
      </c>
      <c r="C6" s="120" t="s">
        <v>129</v>
      </c>
      <c r="D6" s="120" t="s">
        <v>177</v>
      </c>
      <c r="E6" s="120" t="s">
        <v>131</v>
      </c>
      <c r="F6" s="121" t="s">
        <v>132</v>
      </c>
      <c r="H6" s="116" t="s">
        <v>128</v>
      </c>
      <c r="I6" s="117" t="s">
        <v>129</v>
      </c>
      <c r="J6" s="117" t="s">
        <v>130</v>
      </c>
      <c r="K6" s="117" t="s">
        <v>131</v>
      </c>
      <c r="L6" s="118" t="s">
        <v>134</v>
      </c>
      <c r="N6" s="122" t="s">
        <v>128</v>
      </c>
      <c r="O6" s="123" t="s">
        <v>129</v>
      </c>
      <c r="P6" s="123" t="s">
        <v>130</v>
      </c>
      <c r="Q6" s="123" t="s">
        <v>131</v>
      </c>
      <c r="R6" s="124" t="s">
        <v>132</v>
      </c>
      <c r="T6" s="125" t="s">
        <v>128</v>
      </c>
      <c r="U6" s="126" t="s">
        <v>129</v>
      </c>
      <c r="V6" s="126" t="s">
        <v>130</v>
      </c>
      <c r="W6" s="126" t="s">
        <v>131</v>
      </c>
      <c r="X6" s="127" t="s">
        <v>134</v>
      </c>
    </row>
    <row r="7" spans="2:24" x14ac:dyDescent="0.25">
      <c r="B7" s="91">
        <v>200</v>
      </c>
      <c r="C7" s="100">
        <v>32.39</v>
      </c>
      <c r="D7" s="100">
        <v>3.42</v>
      </c>
      <c r="E7" s="100">
        <v>199.87</v>
      </c>
      <c r="F7" s="114">
        <v>262.76</v>
      </c>
      <c r="H7" s="91">
        <v>200</v>
      </c>
      <c r="I7" s="100">
        <v>32.25</v>
      </c>
      <c r="J7" s="100">
        <v>3.23</v>
      </c>
      <c r="K7" s="100">
        <v>175.59</v>
      </c>
      <c r="L7" s="115">
        <v>168.5</v>
      </c>
      <c r="N7" s="91">
        <v>200</v>
      </c>
      <c r="O7" s="100">
        <v>28.47</v>
      </c>
      <c r="P7" s="100">
        <v>2.84</v>
      </c>
      <c r="Q7" s="100">
        <v>193.51</v>
      </c>
      <c r="R7" s="114">
        <v>24.98</v>
      </c>
      <c r="T7" s="91">
        <v>200</v>
      </c>
      <c r="U7" s="100">
        <v>28.79</v>
      </c>
      <c r="V7" s="100">
        <v>2.84</v>
      </c>
      <c r="W7" s="100">
        <v>179.95</v>
      </c>
      <c r="X7" s="114">
        <v>23.35</v>
      </c>
    </row>
    <row r="8" spans="2:24" x14ac:dyDescent="0.25">
      <c r="B8" s="86">
        <v>250</v>
      </c>
      <c r="C8" s="74">
        <v>34.96</v>
      </c>
      <c r="D8" s="74">
        <v>1.74</v>
      </c>
      <c r="E8" s="74">
        <v>207.37</v>
      </c>
      <c r="F8" s="111">
        <v>215.11</v>
      </c>
      <c r="H8" s="86">
        <v>250</v>
      </c>
      <c r="I8" s="77">
        <v>32.9</v>
      </c>
      <c r="J8" s="77">
        <v>1.6</v>
      </c>
      <c r="K8" s="74">
        <v>182.86</v>
      </c>
      <c r="L8" s="111">
        <v>139.11000000000001</v>
      </c>
      <c r="N8" s="86">
        <v>250</v>
      </c>
      <c r="O8" s="77">
        <v>28.9</v>
      </c>
      <c r="P8" s="77">
        <v>1.4</v>
      </c>
      <c r="Q8" s="74">
        <v>199.91</v>
      </c>
      <c r="R8" s="111">
        <v>24.72</v>
      </c>
      <c r="T8" s="86">
        <v>250</v>
      </c>
      <c r="U8" s="74">
        <v>28.95</v>
      </c>
      <c r="V8" s="77">
        <v>1.4</v>
      </c>
      <c r="W8" s="74">
        <v>186.39</v>
      </c>
      <c r="X8" s="111">
        <v>23.09</v>
      </c>
    </row>
    <row r="9" spans="2:24" x14ac:dyDescent="0.25">
      <c r="B9" s="86">
        <v>298</v>
      </c>
      <c r="C9" s="77">
        <v>37.200000000000003</v>
      </c>
      <c r="D9" s="75">
        <v>0</v>
      </c>
      <c r="E9" s="74">
        <v>213.73</v>
      </c>
      <c r="F9" s="111">
        <v>184.46</v>
      </c>
      <c r="H9" s="86">
        <v>298</v>
      </c>
      <c r="I9" s="74">
        <v>33.450000000000003</v>
      </c>
      <c r="J9" s="75">
        <v>0</v>
      </c>
      <c r="K9" s="74">
        <v>188.71</v>
      </c>
      <c r="L9" s="111">
        <v>120.26</v>
      </c>
      <c r="N9" s="86">
        <v>298</v>
      </c>
      <c r="O9" s="74">
        <v>29.31</v>
      </c>
      <c r="P9" s="75">
        <v>0</v>
      </c>
      <c r="Q9" s="74">
        <v>205.03</v>
      </c>
      <c r="R9" s="111">
        <v>24.66</v>
      </c>
      <c r="T9" s="86">
        <v>298</v>
      </c>
      <c r="U9" s="74">
        <v>29.07</v>
      </c>
      <c r="V9" s="75">
        <v>0</v>
      </c>
      <c r="W9" s="77">
        <v>191.5</v>
      </c>
      <c r="X9" s="111">
        <v>23.03</v>
      </c>
    </row>
    <row r="10" spans="2:24" x14ac:dyDescent="0.25">
      <c r="B10" s="86">
        <v>300</v>
      </c>
      <c r="C10" s="74">
        <v>37.28</v>
      </c>
      <c r="D10" s="74">
        <v>7.0000000000000007E-2</v>
      </c>
      <c r="E10" s="74">
        <v>213.96</v>
      </c>
      <c r="F10" s="111">
        <v>183.48</v>
      </c>
      <c r="H10" s="86">
        <v>300</v>
      </c>
      <c r="I10" s="74">
        <v>33.47</v>
      </c>
      <c r="J10" s="74">
        <v>0.06</v>
      </c>
      <c r="K10" s="74">
        <v>188.91</v>
      </c>
      <c r="L10" s="111">
        <v>119.66</v>
      </c>
      <c r="N10" s="86">
        <v>300</v>
      </c>
      <c r="O10" s="74">
        <v>29.33</v>
      </c>
      <c r="P10" s="74">
        <v>0.05</v>
      </c>
      <c r="Q10" s="74">
        <v>205.21</v>
      </c>
      <c r="R10" s="111">
        <v>24.66</v>
      </c>
      <c r="T10" s="86">
        <v>300</v>
      </c>
      <c r="U10" s="74">
        <v>29.07</v>
      </c>
      <c r="V10" s="74">
        <v>0.05</v>
      </c>
      <c r="W10" s="74">
        <v>191.68</v>
      </c>
      <c r="X10" s="111">
        <v>23.03</v>
      </c>
    </row>
    <row r="11" spans="2:24" x14ac:dyDescent="0.25">
      <c r="B11" s="86">
        <v>350</v>
      </c>
      <c r="C11" s="74">
        <v>39.369999999999997</v>
      </c>
      <c r="D11" s="74">
        <v>1.99</v>
      </c>
      <c r="E11" s="74">
        <v>219.86</v>
      </c>
      <c r="F11" s="79">
        <v>161</v>
      </c>
      <c r="H11" s="86">
        <v>350</v>
      </c>
      <c r="I11" s="74">
        <v>33.97</v>
      </c>
      <c r="J11" s="74">
        <v>1.75</v>
      </c>
      <c r="K11" s="74">
        <v>194.11</v>
      </c>
      <c r="L11" s="111">
        <v>105.85</v>
      </c>
      <c r="N11" s="86">
        <v>350</v>
      </c>
      <c r="O11" s="74">
        <v>29.77</v>
      </c>
      <c r="P11" s="74">
        <v>1.53</v>
      </c>
      <c r="Q11" s="74">
        <v>209.77</v>
      </c>
      <c r="R11" s="112">
        <v>24.7</v>
      </c>
      <c r="T11" s="86">
        <v>350</v>
      </c>
      <c r="U11" s="74">
        <v>29.19</v>
      </c>
      <c r="V11" s="74">
        <v>1.51</v>
      </c>
      <c r="W11" s="74">
        <v>196.17</v>
      </c>
      <c r="X11" s="111">
        <v>23.08</v>
      </c>
    </row>
    <row r="12" spans="2:24" x14ac:dyDescent="0.25">
      <c r="B12" s="86">
        <v>400</v>
      </c>
      <c r="C12" s="74">
        <v>41.27</v>
      </c>
      <c r="D12" s="75">
        <v>4</v>
      </c>
      <c r="E12" s="74">
        <v>225.25</v>
      </c>
      <c r="F12" s="111">
        <v>144.22</v>
      </c>
      <c r="H12" s="86">
        <v>400</v>
      </c>
      <c r="I12" s="74">
        <v>34.44</v>
      </c>
      <c r="J12" s="74">
        <v>3.46</v>
      </c>
      <c r="K12" s="74">
        <v>198.68</v>
      </c>
      <c r="L12" s="111">
        <v>95.58</v>
      </c>
      <c r="N12" s="86">
        <v>400</v>
      </c>
      <c r="O12" s="74">
        <v>30.21</v>
      </c>
      <c r="P12" s="74">
        <v>3.03</v>
      </c>
      <c r="Q12" s="74">
        <v>213.77</v>
      </c>
      <c r="R12" s="112">
        <v>24.8</v>
      </c>
      <c r="T12" s="86">
        <v>400</v>
      </c>
      <c r="U12" s="74">
        <v>29.32</v>
      </c>
      <c r="V12" s="74">
        <v>2.97</v>
      </c>
      <c r="W12" s="74">
        <v>200.08</v>
      </c>
      <c r="X12" s="111">
        <v>23.17</v>
      </c>
    </row>
    <row r="13" spans="2:24" x14ac:dyDescent="0.25">
      <c r="B13" s="86">
        <v>450</v>
      </c>
      <c r="C13" s="75">
        <v>43</v>
      </c>
      <c r="D13" s="74">
        <v>6.11</v>
      </c>
      <c r="E13" s="74">
        <v>230.21</v>
      </c>
      <c r="F13" s="111">
        <v>131.24</v>
      </c>
      <c r="H13" s="86">
        <v>450</v>
      </c>
      <c r="I13" s="74">
        <v>34.89</v>
      </c>
      <c r="J13" s="74">
        <v>5.19</v>
      </c>
      <c r="K13" s="74">
        <v>202.76</v>
      </c>
      <c r="L13" s="111">
        <v>87.64</v>
      </c>
      <c r="N13" s="86">
        <v>450</v>
      </c>
      <c r="O13" s="74">
        <v>30.66</v>
      </c>
      <c r="P13" s="74">
        <v>4.55</v>
      </c>
      <c r="Q13" s="74">
        <v>217.36</v>
      </c>
      <c r="R13" s="111">
        <v>24.93</v>
      </c>
      <c r="T13" s="86">
        <v>450</v>
      </c>
      <c r="U13" s="74">
        <v>29.46</v>
      </c>
      <c r="V13" s="74">
        <v>4.4400000000000004</v>
      </c>
      <c r="W13" s="74">
        <v>203.54</v>
      </c>
      <c r="X13" s="111">
        <v>23.29</v>
      </c>
    </row>
    <row r="14" spans="2:24" x14ac:dyDescent="0.25">
      <c r="B14" s="86">
        <v>500</v>
      </c>
      <c r="C14" s="74">
        <v>44.57</v>
      </c>
      <c r="D14" s="77">
        <v>8.3000000000000007</v>
      </c>
      <c r="E14" s="74">
        <v>234.82</v>
      </c>
      <c r="F14" s="111">
        <v>120.91</v>
      </c>
      <c r="H14" s="86">
        <v>500</v>
      </c>
      <c r="I14" s="74">
        <v>35.340000000000003</v>
      </c>
      <c r="J14" s="74">
        <v>6.95</v>
      </c>
      <c r="K14" s="74">
        <v>206.46</v>
      </c>
      <c r="L14" s="111">
        <v>81.34</v>
      </c>
      <c r="N14" s="86">
        <v>500</v>
      </c>
      <c r="O14" s="74">
        <v>31.11</v>
      </c>
      <c r="P14" s="77">
        <v>6.1</v>
      </c>
      <c r="Q14" s="74">
        <v>220.61</v>
      </c>
      <c r="R14" s="111">
        <v>25.07</v>
      </c>
      <c r="T14" s="86">
        <v>500</v>
      </c>
      <c r="U14" s="74">
        <v>29.63</v>
      </c>
      <c r="V14" s="74">
        <v>5.92</v>
      </c>
      <c r="W14" s="74">
        <v>206.65</v>
      </c>
      <c r="X14" s="111">
        <v>23.43</v>
      </c>
    </row>
    <row r="15" spans="2:24" x14ac:dyDescent="0.25">
      <c r="B15" s="86">
        <v>550</v>
      </c>
      <c r="C15" s="75">
        <v>46</v>
      </c>
      <c r="D15" s="74">
        <v>10.56</v>
      </c>
      <c r="E15" s="74">
        <v>239.14</v>
      </c>
      <c r="F15" s="111">
        <v>112.51</v>
      </c>
      <c r="H15" s="86">
        <v>550</v>
      </c>
      <c r="I15" s="77">
        <v>35.799999999999997</v>
      </c>
      <c r="J15" s="74">
        <v>8.73</v>
      </c>
      <c r="K15" s="74">
        <v>209.85</v>
      </c>
      <c r="L15" s="111">
        <v>76.22</v>
      </c>
      <c r="N15" s="86">
        <v>550</v>
      </c>
      <c r="O15" s="74">
        <v>31.57</v>
      </c>
      <c r="P15" s="74">
        <v>7.66</v>
      </c>
      <c r="Q15" s="77">
        <v>223.6</v>
      </c>
      <c r="R15" s="111">
        <v>25.22</v>
      </c>
      <c r="T15" s="86">
        <v>550</v>
      </c>
      <c r="U15" s="74">
        <v>29.84</v>
      </c>
      <c r="V15" s="74">
        <v>7.41</v>
      </c>
      <c r="W15" s="74">
        <v>209.49</v>
      </c>
      <c r="X15" s="111">
        <v>23.58</v>
      </c>
    </row>
    <row r="16" spans="2:24" x14ac:dyDescent="0.25">
      <c r="B16" s="86">
        <v>600</v>
      </c>
      <c r="C16" s="74">
        <v>47.31</v>
      </c>
      <c r="D16" s="77">
        <v>12.9</v>
      </c>
      <c r="E16" s="77">
        <v>243.2</v>
      </c>
      <c r="F16" s="111">
        <v>105.55</v>
      </c>
      <c r="H16" s="86">
        <v>600</v>
      </c>
      <c r="I16" s="74">
        <v>36.29</v>
      </c>
      <c r="J16" s="74">
        <v>10.53</v>
      </c>
      <c r="K16" s="74">
        <v>212.98</v>
      </c>
      <c r="L16" s="111">
        <v>71.989999999999995</v>
      </c>
      <c r="N16" s="86">
        <v>600</v>
      </c>
      <c r="O16" s="74">
        <v>32.03</v>
      </c>
      <c r="P16" s="74">
        <v>9.25</v>
      </c>
      <c r="Q16" s="74">
        <v>226.36</v>
      </c>
      <c r="R16" s="111">
        <v>25.37</v>
      </c>
      <c r="T16" s="86">
        <v>600</v>
      </c>
      <c r="U16" s="74">
        <v>30.08</v>
      </c>
      <c r="V16" s="77">
        <v>8.9</v>
      </c>
      <c r="W16" s="74">
        <v>212.09</v>
      </c>
      <c r="X16" s="111">
        <v>23.72</v>
      </c>
    </row>
    <row r="17" spans="2:24" x14ac:dyDescent="0.25">
      <c r="B17" s="86">
        <v>650</v>
      </c>
      <c r="C17" s="74">
        <v>48.51</v>
      </c>
      <c r="D17" s="74">
        <v>15.29</v>
      </c>
      <c r="E17" s="74">
        <v>247.03</v>
      </c>
      <c r="F17" s="112">
        <v>99.7</v>
      </c>
      <c r="H17" s="86">
        <v>650</v>
      </c>
      <c r="I17" s="74">
        <v>36.81</v>
      </c>
      <c r="J17" s="74">
        <v>12.35</v>
      </c>
      <c r="K17" s="74">
        <v>215.91</v>
      </c>
      <c r="L17" s="111">
        <v>68.430000000000007</v>
      </c>
      <c r="N17" s="86">
        <v>650</v>
      </c>
      <c r="O17" s="74">
        <v>32.479999999999997</v>
      </c>
      <c r="P17" s="74">
        <v>10.87</v>
      </c>
      <c r="Q17" s="74">
        <v>228.94</v>
      </c>
      <c r="R17" s="111">
        <v>25.53</v>
      </c>
      <c r="T17" s="86">
        <v>650</v>
      </c>
      <c r="U17" s="74">
        <v>30.37</v>
      </c>
      <c r="V17" s="74">
        <v>10.42</v>
      </c>
      <c r="W17" s="74">
        <v>214.51</v>
      </c>
      <c r="X17" s="111">
        <v>23.87</v>
      </c>
    </row>
    <row r="18" spans="2:24" x14ac:dyDescent="0.25">
      <c r="B18" s="86">
        <v>700</v>
      </c>
      <c r="C18" s="74">
        <v>49.61</v>
      </c>
      <c r="D18" s="74">
        <v>17.75</v>
      </c>
      <c r="E18" s="74">
        <v>250.67</v>
      </c>
      <c r="F18" s="111">
        <v>94.72</v>
      </c>
      <c r="H18" s="86">
        <v>700</v>
      </c>
      <c r="I18" s="74">
        <v>37.36</v>
      </c>
      <c r="J18" s="74">
        <v>14.21</v>
      </c>
      <c r="K18" s="74">
        <v>218.65</v>
      </c>
      <c r="L18" s="111">
        <v>65.41</v>
      </c>
      <c r="N18" s="86">
        <v>700</v>
      </c>
      <c r="O18" s="74">
        <v>32.93</v>
      </c>
      <c r="P18" s="77">
        <v>12.5</v>
      </c>
      <c r="Q18" s="74">
        <v>231.37</v>
      </c>
      <c r="R18" s="111">
        <v>25.68</v>
      </c>
      <c r="T18" s="86">
        <v>700</v>
      </c>
      <c r="U18" s="74">
        <v>30.68</v>
      </c>
      <c r="V18" s="74">
        <v>11.94</v>
      </c>
      <c r="W18" s="74">
        <v>216.77</v>
      </c>
      <c r="X18" s="111">
        <v>24.02</v>
      </c>
    </row>
    <row r="19" spans="2:24" x14ac:dyDescent="0.25">
      <c r="B19" s="86">
        <v>750</v>
      </c>
      <c r="C19" s="74">
        <v>50.62</v>
      </c>
      <c r="D19" s="74">
        <v>20.25</v>
      </c>
      <c r="E19" s="74">
        <v>254.13</v>
      </c>
      <c r="F19" s="111">
        <v>90.43</v>
      </c>
      <c r="H19" s="86">
        <v>750</v>
      </c>
      <c r="I19" s="74">
        <v>37.96</v>
      </c>
      <c r="J19" s="74">
        <v>16.09</v>
      </c>
      <c r="K19" s="74">
        <v>221.25</v>
      </c>
      <c r="L19" s="111">
        <v>62.81</v>
      </c>
      <c r="N19" s="86">
        <v>750</v>
      </c>
      <c r="O19" s="74">
        <v>33.35</v>
      </c>
      <c r="P19" s="74">
        <v>14.16</v>
      </c>
      <c r="Q19" s="74">
        <v>233.65</v>
      </c>
      <c r="R19" s="111">
        <v>25.83</v>
      </c>
      <c r="T19" s="86">
        <v>750</v>
      </c>
      <c r="U19" s="74">
        <v>31.03</v>
      </c>
      <c r="V19" s="74">
        <v>13.48</v>
      </c>
      <c r="W19" s="77">
        <v>218.9</v>
      </c>
      <c r="X19" s="111">
        <v>24.17</v>
      </c>
    </row>
    <row r="20" spans="2:24" x14ac:dyDescent="0.25">
      <c r="B20" s="86">
        <v>800</v>
      </c>
      <c r="C20" s="74">
        <v>51.55</v>
      </c>
      <c r="D20" s="74">
        <v>22.81</v>
      </c>
      <c r="E20" s="74">
        <v>257.42</v>
      </c>
      <c r="F20" s="112">
        <v>86.7</v>
      </c>
      <c r="H20" s="86">
        <v>800</v>
      </c>
      <c r="I20" s="74">
        <v>38.590000000000003</v>
      </c>
      <c r="J20" s="75">
        <v>18</v>
      </c>
      <c r="K20" s="74">
        <v>223.72</v>
      </c>
      <c r="L20" s="111">
        <v>60.56</v>
      </c>
      <c r="N20" s="86">
        <v>800</v>
      </c>
      <c r="O20" s="74">
        <v>33.76</v>
      </c>
      <c r="P20" s="74">
        <v>15.84</v>
      </c>
      <c r="Q20" s="74">
        <v>235.82</v>
      </c>
      <c r="R20" s="111">
        <v>25.98</v>
      </c>
      <c r="T20" s="86">
        <v>800</v>
      </c>
      <c r="U20" s="74">
        <v>31.39</v>
      </c>
      <c r="V20" s="74">
        <v>15.04</v>
      </c>
      <c r="W20" s="74">
        <v>220.92</v>
      </c>
      <c r="X20" s="111">
        <v>24.31</v>
      </c>
    </row>
    <row r="21" spans="2:24" x14ac:dyDescent="0.25">
      <c r="B21" s="86">
        <v>850</v>
      </c>
      <c r="C21" s="74">
        <v>52.38</v>
      </c>
      <c r="D21" s="74">
        <v>25.41</v>
      </c>
      <c r="E21" s="74">
        <v>260.57</v>
      </c>
      <c r="F21" s="111">
        <v>83.43</v>
      </c>
      <c r="H21" s="86">
        <v>850</v>
      </c>
      <c r="I21" s="74">
        <v>39.25</v>
      </c>
      <c r="J21" s="74">
        <v>19.95</v>
      </c>
      <c r="K21" s="74">
        <v>226.08</v>
      </c>
      <c r="L21" s="111">
        <v>58.59</v>
      </c>
      <c r="N21" s="86">
        <v>850</v>
      </c>
      <c r="O21" s="74">
        <v>34.130000000000003</v>
      </c>
      <c r="P21" s="74">
        <v>17.53</v>
      </c>
      <c r="Q21" s="74">
        <v>237.88</v>
      </c>
      <c r="R21" s="111">
        <v>26.13</v>
      </c>
      <c r="T21" s="86">
        <v>850</v>
      </c>
      <c r="U21" s="74">
        <v>31.76</v>
      </c>
      <c r="V21" s="74">
        <v>16.62</v>
      </c>
      <c r="W21" s="74">
        <v>222.83</v>
      </c>
      <c r="X21" s="111">
        <v>24.45</v>
      </c>
    </row>
    <row r="22" spans="2:24" x14ac:dyDescent="0.25">
      <c r="B22" s="86">
        <v>900</v>
      </c>
      <c r="C22" s="74">
        <v>53.13</v>
      </c>
      <c r="D22" s="74">
        <v>28.05</v>
      </c>
      <c r="E22" s="74">
        <v>263.58999999999997</v>
      </c>
      <c r="F22" s="111">
        <v>80.55</v>
      </c>
      <c r="H22" s="86">
        <v>900</v>
      </c>
      <c r="I22" s="74">
        <v>39.93</v>
      </c>
      <c r="J22" s="74">
        <v>21.93</v>
      </c>
      <c r="K22" s="74">
        <v>228.34</v>
      </c>
      <c r="L22" s="111">
        <v>56.85</v>
      </c>
      <c r="N22" s="86">
        <v>900</v>
      </c>
      <c r="O22" s="74">
        <v>34.450000000000003</v>
      </c>
      <c r="P22" s="74">
        <v>19.25</v>
      </c>
      <c r="Q22" s="74">
        <v>239.84</v>
      </c>
      <c r="R22" s="111">
        <v>26.28</v>
      </c>
      <c r="T22" s="86">
        <v>900</v>
      </c>
      <c r="U22" s="74">
        <v>32.130000000000003</v>
      </c>
      <c r="V22" s="74">
        <v>18.22</v>
      </c>
      <c r="W22" s="74">
        <v>224.66</v>
      </c>
      <c r="X22" s="111">
        <v>24.59</v>
      </c>
    </row>
    <row r="23" spans="2:24" x14ac:dyDescent="0.25">
      <c r="B23" s="86">
        <v>950</v>
      </c>
      <c r="C23" s="74">
        <v>53.79</v>
      </c>
      <c r="D23" s="74">
        <v>30.72</v>
      </c>
      <c r="E23" s="74">
        <v>266.48</v>
      </c>
      <c r="F23" s="111">
        <v>77.989999999999995</v>
      </c>
      <c r="H23" s="86">
        <v>950</v>
      </c>
      <c r="I23" s="74">
        <v>40.619999999999997</v>
      </c>
      <c r="J23" s="74">
        <v>23.94</v>
      </c>
      <c r="K23" s="74">
        <v>230.52</v>
      </c>
      <c r="L23" s="111">
        <v>55.31</v>
      </c>
      <c r="N23" s="86">
        <v>950</v>
      </c>
      <c r="O23" s="74">
        <v>34.729999999999997</v>
      </c>
      <c r="P23" s="74">
        <v>20.98</v>
      </c>
      <c r="Q23" s="74">
        <v>241.71</v>
      </c>
      <c r="R23" s="111">
        <v>26.42</v>
      </c>
      <c r="T23" s="86">
        <v>950</v>
      </c>
      <c r="U23" s="74">
        <v>32.47</v>
      </c>
      <c r="V23" s="74">
        <v>19.84</v>
      </c>
      <c r="W23" s="77">
        <v>226.4</v>
      </c>
      <c r="X23" s="111">
        <v>24.72</v>
      </c>
    </row>
    <row r="24" spans="2:24" x14ac:dyDescent="0.25">
      <c r="B24" s="88">
        <v>1000</v>
      </c>
      <c r="C24" s="74">
        <v>54.36</v>
      </c>
      <c r="D24" s="74">
        <v>33.42</v>
      </c>
      <c r="E24" s="74">
        <v>269.25</v>
      </c>
      <c r="F24" s="112">
        <v>75.7</v>
      </c>
      <c r="H24" s="88">
        <v>1000</v>
      </c>
      <c r="I24" s="74">
        <v>41.31</v>
      </c>
      <c r="J24" s="74">
        <v>25.99</v>
      </c>
      <c r="K24" s="74">
        <v>232.62</v>
      </c>
      <c r="L24" s="111">
        <v>53.94</v>
      </c>
      <c r="N24" s="88">
        <v>1000</v>
      </c>
      <c r="O24" s="74">
        <v>34.93</v>
      </c>
      <c r="P24" s="74">
        <v>22.72</v>
      </c>
      <c r="Q24" s="74">
        <v>243.49</v>
      </c>
      <c r="R24" s="111">
        <v>26.55</v>
      </c>
      <c r="T24" s="88">
        <v>1000</v>
      </c>
      <c r="U24" s="74">
        <v>32.76</v>
      </c>
      <c r="V24" s="74">
        <v>21.47</v>
      </c>
      <c r="W24" s="74">
        <v>228.08</v>
      </c>
      <c r="X24" s="111">
        <v>24.85</v>
      </c>
    </row>
    <row r="25" spans="2:24" x14ac:dyDescent="0.25">
      <c r="B25" s="88">
        <v>1050</v>
      </c>
      <c r="C25" s="74">
        <v>54.86</v>
      </c>
      <c r="D25" s="74">
        <v>36.15</v>
      </c>
      <c r="E25" s="74">
        <v>271.92</v>
      </c>
      <c r="F25" s="111">
        <v>73.64</v>
      </c>
      <c r="H25" s="88">
        <v>1050</v>
      </c>
      <c r="I25" s="74">
        <v>41.99</v>
      </c>
      <c r="J25" s="74">
        <v>28.07</v>
      </c>
      <c r="K25" s="74">
        <v>234.65</v>
      </c>
      <c r="L25" s="111">
        <v>52.71</v>
      </c>
      <c r="N25" s="88">
        <v>1050</v>
      </c>
      <c r="O25" s="77">
        <v>35.1</v>
      </c>
      <c r="P25" s="74">
        <v>24.47</v>
      </c>
      <c r="Q25" s="77">
        <v>245.2</v>
      </c>
      <c r="R25" s="111">
        <v>26.69</v>
      </c>
      <c r="T25" s="88">
        <v>1050</v>
      </c>
      <c r="U25" s="74">
        <v>33.01</v>
      </c>
      <c r="V25" s="74">
        <v>23.11</v>
      </c>
      <c r="W25" s="74">
        <v>229.68</v>
      </c>
      <c r="X25" s="111">
        <v>24.98</v>
      </c>
    </row>
    <row r="26" spans="2:24" x14ac:dyDescent="0.25">
      <c r="B26" s="88">
        <v>1100</v>
      </c>
      <c r="C26" s="74">
        <v>55.33</v>
      </c>
      <c r="D26" s="74">
        <v>38.909999999999997</v>
      </c>
      <c r="E26" s="74">
        <v>274.48</v>
      </c>
      <c r="F26" s="111">
        <v>71.790000000000006</v>
      </c>
      <c r="H26" s="88">
        <v>1100</v>
      </c>
      <c r="I26" s="74">
        <v>42.64</v>
      </c>
      <c r="J26" s="74">
        <v>30.19</v>
      </c>
      <c r="K26" s="74">
        <v>236.62</v>
      </c>
      <c r="L26" s="112">
        <v>51.6</v>
      </c>
      <c r="N26" s="88">
        <v>1100</v>
      </c>
      <c r="O26" s="74">
        <v>35.270000000000003</v>
      </c>
      <c r="P26" s="74">
        <v>26.23</v>
      </c>
      <c r="Q26" s="74">
        <v>246.84</v>
      </c>
      <c r="R26" s="111">
        <v>26.82</v>
      </c>
      <c r="T26" s="88">
        <v>1100</v>
      </c>
      <c r="U26" s="74">
        <v>33.26</v>
      </c>
      <c r="V26" s="74">
        <v>24.77</v>
      </c>
      <c r="W26" s="74">
        <v>231.22</v>
      </c>
      <c r="X26" s="112">
        <v>25.1</v>
      </c>
    </row>
    <row r="27" spans="2:24" x14ac:dyDescent="0.25">
      <c r="B27" s="88">
        <v>1150</v>
      </c>
      <c r="C27" s="74">
        <v>55.78</v>
      </c>
      <c r="D27" s="74">
        <v>41.69</v>
      </c>
      <c r="E27" s="74">
        <v>276.95</v>
      </c>
      <c r="F27" s="111">
        <v>70.11</v>
      </c>
      <c r="H27" s="88">
        <v>1150</v>
      </c>
      <c r="I27" s="74">
        <v>43.26</v>
      </c>
      <c r="J27" s="74">
        <v>32.340000000000003</v>
      </c>
      <c r="K27" s="74">
        <v>238.53</v>
      </c>
      <c r="L27" s="112">
        <v>50.6</v>
      </c>
      <c r="N27" s="88">
        <v>1150</v>
      </c>
      <c r="O27" s="74">
        <v>35.43</v>
      </c>
      <c r="P27" s="75">
        <v>28</v>
      </c>
      <c r="Q27" s="74">
        <v>248.41</v>
      </c>
      <c r="R27" s="111">
        <v>26.95</v>
      </c>
      <c r="T27" s="88">
        <v>1150</v>
      </c>
      <c r="U27" s="74">
        <v>33.49</v>
      </c>
      <c r="V27" s="74">
        <v>26.44</v>
      </c>
      <c r="W27" s="74">
        <v>232.71</v>
      </c>
      <c r="X27" s="111">
        <v>25.22</v>
      </c>
    </row>
    <row r="28" spans="2:24" x14ac:dyDescent="0.25">
      <c r="B28" s="88">
        <v>1200</v>
      </c>
      <c r="C28" s="77">
        <v>56.2</v>
      </c>
      <c r="D28" s="74">
        <v>44.49</v>
      </c>
      <c r="E28" s="74">
        <v>279.33</v>
      </c>
      <c r="F28" s="111">
        <v>68.58</v>
      </c>
      <c r="H28" s="88">
        <v>1200</v>
      </c>
      <c r="I28" s="74">
        <v>43.87</v>
      </c>
      <c r="J28" s="74">
        <v>34.520000000000003</v>
      </c>
      <c r="K28" s="74">
        <v>240.39</v>
      </c>
      <c r="L28" s="111">
        <v>49.69</v>
      </c>
      <c r="N28" s="88">
        <v>1200</v>
      </c>
      <c r="O28" s="74">
        <v>35.590000000000003</v>
      </c>
      <c r="P28" s="74">
        <v>29.77</v>
      </c>
      <c r="Q28" s="74">
        <v>249.92</v>
      </c>
      <c r="R28" s="111">
        <v>27.08</v>
      </c>
      <c r="T28" s="88">
        <v>1200</v>
      </c>
      <c r="U28" s="74">
        <v>33.71</v>
      </c>
      <c r="V28" s="74">
        <v>28.12</v>
      </c>
      <c r="W28" s="74">
        <v>234.14</v>
      </c>
      <c r="X28" s="111">
        <v>25.34</v>
      </c>
    </row>
    <row r="29" spans="2:24" x14ac:dyDescent="0.25">
      <c r="B29" s="88">
        <v>1250</v>
      </c>
      <c r="C29" s="77">
        <v>56.6</v>
      </c>
      <c r="D29" s="74">
        <v>47.31</v>
      </c>
      <c r="E29" s="74">
        <v>281.64</v>
      </c>
      <c r="F29" s="111">
        <v>67.19</v>
      </c>
      <c r="H29" s="88">
        <v>1250</v>
      </c>
      <c r="I29" s="74">
        <v>44.46</v>
      </c>
      <c r="J29" s="74">
        <v>36.72</v>
      </c>
      <c r="K29" s="74">
        <v>242.19</v>
      </c>
      <c r="L29" s="111">
        <v>48.87</v>
      </c>
      <c r="N29" s="88">
        <v>1250</v>
      </c>
      <c r="O29" s="74">
        <v>35.75</v>
      </c>
      <c r="P29" s="74">
        <v>31.56</v>
      </c>
      <c r="Q29" s="74">
        <v>251.38</v>
      </c>
      <c r="R29" s="112">
        <v>27.2</v>
      </c>
      <c r="T29" s="88">
        <v>1250</v>
      </c>
      <c r="U29" s="74">
        <v>33.909999999999997</v>
      </c>
      <c r="V29" s="74">
        <v>29.81</v>
      </c>
      <c r="W29" s="74">
        <v>235.52</v>
      </c>
      <c r="X29" s="111">
        <v>25.46</v>
      </c>
    </row>
    <row r="30" spans="2:24" x14ac:dyDescent="0.25">
      <c r="B30" s="88">
        <v>1300</v>
      </c>
      <c r="C30" s="74">
        <v>56.98</v>
      </c>
      <c r="D30" s="74">
        <v>50.15</v>
      </c>
      <c r="E30" s="74">
        <v>283.86</v>
      </c>
      <c r="F30" s="111">
        <v>65.91</v>
      </c>
      <c r="H30" s="88">
        <v>1300</v>
      </c>
      <c r="I30" s="74">
        <v>45.02</v>
      </c>
      <c r="J30" s="74">
        <v>38.96</v>
      </c>
      <c r="K30" s="74">
        <v>243.94</v>
      </c>
      <c r="L30" s="111">
        <v>48.11</v>
      </c>
      <c r="N30" s="88">
        <v>1300</v>
      </c>
      <c r="O30" s="77">
        <v>35.9</v>
      </c>
      <c r="P30" s="74">
        <v>33.35</v>
      </c>
      <c r="Q30" s="74">
        <v>252.78</v>
      </c>
      <c r="R30" s="111">
        <v>27.32</v>
      </c>
      <c r="T30" s="88">
        <v>1300</v>
      </c>
      <c r="U30" s="74">
        <v>34.11</v>
      </c>
      <c r="V30" s="74">
        <v>31.51</v>
      </c>
      <c r="W30" s="74">
        <v>236.85</v>
      </c>
      <c r="X30" s="111">
        <v>25.57</v>
      </c>
    </row>
    <row r="31" spans="2:24" x14ac:dyDescent="0.25">
      <c r="B31" s="88">
        <v>1350</v>
      </c>
      <c r="C31" s="74">
        <v>57.34</v>
      </c>
      <c r="D31" s="75">
        <v>53</v>
      </c>
      <c r="E31" s="74">
        <v>286.02</v>
      </c>
      <c r="F31" s="111">
        <v>64.739999999999995</v>
      </c>
      <c r="H31" s="88">
        <v>1350</v>
      </c>
      <c r="I31" s="74">
        <v>45.57</v>
      </c>
      <c r="J31" s="74">
        <v>41.23</v>
      </c>
      <c r="K31" s="74">
        <v>245.65</v>
      </c>
      <c r="L31" s="111">
        <v>47.42</v>
      </c>
      <c r="N31" s="88">
        <v>1350</v>
      </c>
      <c r="O31" s="74">
        <v>36.049999999999997</v>
      </c>
      <c r="P31" s="74">
        <v>35.15</v>
      </c>
      <c r="Q31" s="74">
        <v>254.14</v>
      </c>
      <c r="R31" s="111">
        <v>27.44</v>
      </c>
      <c r="T31" s="88">
        <v>1350</v>
      </c>
      <c r="U31" s="77">
        <v>34.299999999999997</v>
      </c>
      <c r="V31" s="74">
        <v>33.22</v>
      </c>
      <c r="W31" s="74">
        <v>238.14</v>
      </c>
      <c r="X31" s="111">
        <v>25.68</v>
      </c>
    </row>
    <row r="32" spans="2:24" x14ac:dyDescent="0.25">
      <c r="B32" s="88">
        <v>1400</v>
      </c>
      <c r="C32" s="74">
        <v>57.67</v>
      </c>
      <c r="D32" s="74">
        <v>55.88</v>
      </c>
      <c r="E32" s="74">
        <v>288.11</v>
      </c>
      <c r="F32" s="111">
        <v>63.66</v>
      </c>
      <c r="H32" s="88">
        <v>1400</v>
      </c>
      <c r="I32" s="77">
        <v>46.1</v>
      </c>
      <c r="J32" s="74">
        <v>43.52</v>
      </c>
      <c r="K32" s="74">
        <v>247.32</v>
      </c>
      <c r="L32" s="111">
        <v>46.79</v>
      </c>
      <c r="N32" s="88">
        <v>1400</v>
      </c>
      <c r="O32" s="77">
        <v>36.200000000000003</v>
      </c>
      <c r="P32" s="74">
        <v>36.950000000000003</v>
      </c>
      <c r="Q32" s="74">
        <v>255.46</v>
      </c>
      <c r="R32" s="111">
        <v>27.55</v>
      </c>
      <c r="T32" s="88">
        <v>1400</v>
      </c>
      <c r="U32" s="74">
        <v>34.479999999999997</v>
      </c>
      <c r="V32" s="74">
        <v>34.94</v>
      </c>
      <c r="W32" s="74">
        <v>239.39</v>
      </c>
      <c r="X32" s="111">
        <v>25.79</v>
      </c>
    </row>
    <row r="33" spans="2:24" x14ac:dyDescent="0.25">
      <c r="B33" s="88">
        <v>1450</v>
      </c>
      <c r="C33" s="74">
        <v>57.99</v>
      </c>
      <c r="D33" s="74">
        <v>58.77</v>
      </c>
      <c r="E33" s="74">
        <v>290.14</v>
      </c>
      <c r="F33" s="111">
        <v>62.67</v>
      </c>
      <c r="H33" s="88">
        <v>1450</v>
      </c>
      <c r="I33" s="74">
        <v>46.61</v>
      </c>
      <c r="J33" s="74">
        <v>45.84</v>
      </c>
      <c r="K33" s="74">
        <v>248.95</v>
      </c>
      <c r="L33" s="112">
        <v>46.2</v>
      </c>
      <c r="N33" s="88">
        <v>1450</v>
      </c>
      <c r="O33" s="74">
        <v>36.35</v>
      </c>
      <c r="P33" s="74">
        <v>38.770000000000003</v>
      </c>
      <c r="Q33" s="74">
        <v>256.73</v>
      </c>
      <c r="R33" s="111">
        <v>27.66</v>
      </c>
      <c r="T33" s="88">
        <v>1450</v>
      </c>
      <c r="U33" s="74">
        <v>34.64</v>
      </c>
      <c r="V33" s="74">
        <v>36.67</v>
      </c>
      <c r="W33" s="77">
        <v>240.6</v>
      </c>
      <c r="X33" s="112">
        <v>25.9</v>
      </c>
    </row>
    <row r="34" spans="2:24" x14ac:dyDescent="0.25">
      <c r="B34" s="88">
        <v>1500</v>
      </c>
      <c r="C34" s="74">
        <v>58.29</v>
      </c>
      <c r="D34" s="74">
        <v>61.68</v>
      </c>
      <c r="E34" s="74">
        <v>292.11</v>
      </c>
      <c r="F34" s="111">
        <v>61.74</v>
      </c>
      <c r="H34" s="88">
        <v>1500</v>
      </c>
      <c r="I34" s="77">
        <v>47.1</v>
      </c>
      <c r="J34" s="74">
        <v>48.18</v>
      </c>
      <c r="K34" s="74">
        <v>250.53</v>
      </c>
      <c r="L34" s="111">
        <v>45.66</v>
      </c>
      <c r="N34" s="88">
        <v>1500</v>
      </c>
      <c r="O34" s="74">
        <v>36.49</v>
      </c>
      <c r="P34" s="74">
        <v>40.590000000000003</v>
      </c>
      <c r="Q34" s="74">
        <v>257.95999999999998</v>
      </c>
      <c r="R34" s="111">
        <v>27.77</v>
      </c>
      <c r="T34" s="88">
        <v>1500</v>
      </c>
      <c r="U34" s="77">
        <v>34.799999999999997</v>
      </c>
      <c r="V34" s="77">
        <v>38.4</v>
      </c>
      <c r="W34" s="74">
        <v>241.78</v>
      </c>
      <c r="X34" s="79">
        <v>26</v>
      </c>
    </row>
    <row r="35" spans="2:24" x14ac:dyDescent="0.25">
      <c r="B35" s="88">
        <v>1550</v>
      </c>
      <c r="C35" s="74">
        <v>58.57</v>
      </c>
      <c r="D35" s="77">
        <v>64.599999999999994</v>
      </c>
      <c r="E35" s="74">
        <v>294.02999999999997</v>
      </c>
      <c r="F35" s="111">
        <v>60.89</v>
      </c>
      <c r="H35" s="88">
        <v>1550</v>
      </c>
      <c r="I35" s="74">
        <v>47.58</v>
      </c>
      <c r="J35" s="74">
        <v>50.55</v>
      </c>
      <c r="K35" s="74">
        <v>252.09</v>
      </c>
      <c r="L35" s="111">
        <v>45.16</v>
      </c>
      <c r="N35" s="88">
        <v>1550</v>
      </c>
      <c r="O35" s="74">
        <v>36.630000000000003</v>
      </c>
      <c r="P35" s="74">
        <v>42.42</v>
      </c>
      <c r="Q35" s="74">
        <v>259.16000000000003</v>
      </c>
      <c r="R35" s="111">
        <v>27.88</v>
      </c>
      <c r="T35" s="88">
        <v>1550</v>
      </c>
      <c r="U35" s="74">
        <v>34.950000000000003</v>
      </c>
      <c r="V35" s="74">
        <v>40.15</v>
      </c>
      <c r="W35" s="74">
        <v>242.92</v>
      </c>
      <c r="X35" s="112">
        <v>26.1</v>
      </c>
    </row>
    <row r="36" spans="2:24" x14ac:dyDescent="0.25">
      <c r="B36" s="88">
        <v>1600</v>
      </c>
      <c r="C36" s="74">
        <v>58.83</v>
      </c>
      <c r="D36" s="74">
        <v>67.540000000000006</v>
      </c>
      <c r="E36" s="74">
        <v>295.89</v>
      </c>
      <c r="F36" s="112">
        <v>60.1</v>
      </c>
      <c r="H36" s="88">
        <v>1600</v>
      </c>
      <c r="I36" s="74">
        <v>48.03</v>
      </c>
      <c r="J36" s="74">
        <v>52.94</v>
      </c>
      <c r="K36" s="77">
        <v>253.6</v>
      </c>
      <c r="L36" s="112">
        <v>44.7</v>
      </c>
      <c r="N36" s="88">
        <v>1600</v>
      </c>
      <c r="O36" s="74">
        <v>36.770000000000003</v>
      </c>
      <c r="P36" s="74">
        <v>44.25</v>
      </c>
      <c r="Q36" s="74">
        <v>260.33</v>
      </c>
      <c r="R36" s="111">
        <v>27.99</v>
      </c>
      <c r="T36" s="88">
        <v>1600</v>
      </c>
      <c r="U36" s="77">
        <v>35.1</v>
      </c>
      <c r="V36" s="77">
        <v>41.9</v>
      </c>
      <c r="W36" s="74">
        <v>244.04</v>
      </c>
      <c r="X36" s="112">
        <v>26.2</v>
      </c>
    </row>
    <row r="37" spans="2:24" x14ac:dyDescent="0.25">
      <c r="B37" s="88">
        <v>1650</v>
      </c>
      <c r="C37" s="74">
        <v>59.08</v>
      </c>
      <c r="D37" s="74">
        <v>70.48</v>
      </c>
      <c r="E37" s="74">
        <v>297.70999999999998</v>
      </c>
      <c r="F37" s="111">
        <v>59.36</v>
      </c>
      <c r="H37" s="88">
        <v>1650</v>
      </c>
      <c r="I37" s="74">
        <v>48.47</v>
      </c>
      <c r="J37" s="74">
        <v>55.35</v>
      </c>
      <c r="K37" s="74">
        <v>255.09</v>
      </c>
      <c r="L37" s="111">
        <v>44.28</v>
      </c>
      <c r="N37" s="88">
        <v>1650</v>
      </c>
      <c r="O37" s="77">
        <v>36.9</v>
      </c>
      <c r="P37" s="74">
        <v>46.09</v>
      </c>
      <c r="Q37" s="74">
        <v>261.45999999999998</v>
      </c>
      <c r="R37" s="111">
        <v>28.09</v>
      </c>
      <c r="T37" s="88">
        <v>1650</v>
      </c>
      <c r="U37" s="74">
        <v>35.229999999999997</v>
      </c>
      <c r="V37" s="74">
        <v>43.66</v>
      </c>
      <c r="W37" s="74">
        <v>245.12</v>
      </c>
      <c r="X37" s="112">
        <v>26.3</v>
      </c>
    </row>
    <row r="38" spans="2:24" x14ac:dyDescent="0.25">
      <c r="B38" s="88">
        <v>1700</v>
      </c>
      <c r="C38" s="74">
        <v>59.31</v>
      </c>
      <c r="D38" s="74">
        <v>73.44</v>
      </c>
      <c r="E38" s="74">
        <v>299.47000000000003</v>
      </c>
      <c r="F38" s="111">
        <v>58.67</v>
      </c>
      <c r="H38" s="88">
        <v>1700</v>
      </c>
      <c r="I38" s="77">
        <v>48.9</v>
      </c>
      <c r="J38" s="74">
        <v>57.78</v>
      </c>
      <c r="K38" s="74">
        <v>256.54000000000002</v>
      </c>
      <c r="L38" s="111">
        <v>43.88</v>
      </c>
      <c r="N38" s="88">
        <v>1700</v>
      </c>
      <c r="O38" s="74">
        <v>37.03</v>
      </c>
      <c r="P38" s="74">
        <v>47.94</v>
      </c>
      <c r="Q38" s="74">
        <v>262.56</v>
      </c>
      <c r="R38" s="111">
        <v>28.19</v>
      </c>
      <c r="T38" s="88">
        <v>1700</v>
      </c>
      <c r="U38" s="74">
        <v>35.36</v>
      </c>
      <c r="V38" s="74">
        <v>45.42</v>
      </c>
      <c r="W38" s="74">
        <v>246.17</v>
      </c>
      <c r="X38" s="112">
        <v>26.4</v>
      </c>
    </row>
    <row r="39" spans="2:24" x14ac:dyDescent="0.25">
      <c r="B39" s="88">
        <v>1750</v>
      </c>
      <c r="C39" s="74">
        <v>59.53</v>
      </c>
      <c r="D39" s="74">
        <v>76.41</v>
      </c>
      <c r="E39" s="77">
        <v>301.2</v>
      </c>
      <c r="F39" s="111">
        <v>58.02</v>
      </c>
      <c r="H39" s="88">
        <v>1750</v>
      </c>
      <c r="I39" s="74">
        <v>49.31</v>
      </c>
      <c r="J39" s="74">
        <v>60.24</v>
      </c>
      <c r="K39" s="74">
        <v>257.97000000000003</v>
      </c>
      <c r="L39" s="111">
        <v>43.51</v>
      </c>
      <c r="N39" s="88">
        <v>1750</v>
      </c>
      <c r="O39" s="74">
        <v>37.17</v>
      </c>
      <c r="P39" s="77">
        <v>49.8</v>
      </c>
      <c r="Q39" s="74">
        <v>263.64</v>
      </c>
      <c r="R39" s="111">
        <v>28.29</v>
      </c>
      <c r="T39" s="88">
        <v>1750</v>
      </c>
      <c r="U39" s="74">
        <v>35.479999999999997</v>
      </c>
      <c r="V39" s="74">
        <v>47.19</v>
      </c>
      <c r="W39" s="77">
        <v>247.2</v>
      </c>
      <c r="X39" s="111">
        <v>26.49</v>
      </c>
    </row>
    <row r="40" spans="2:24" x14ac:dyDescent="0.25">
      <c r="B40" s="88">
        <v>1800</v>
      </c>
      <c r="C40" s="74">
        <v>59.73</v>
      </c>
      <c r="D40" s="77">
        <v>79.400000000000006</v>
      </c>
      <c r="E40" s="74">
        <v>302.88</v>
      </c>
      <c r="F40" s="111">
        <v>57.42</v>
      </c>
      <c r="H40" s="88">
        <v>1800</v>
      </c>
      <c r="I40" s="77">
        <v>49.7</v>
      </c>
      <c r="J40" s="74">
        <v>62.71</v>
      </c>
      <c r="K40" s="74">
        <v>259.36</v>
      </c>
      <c r="L40" s="111">
        <v>43.16</v>
      </c>
      <c r="N40" s="88">
        <v>1800</v>
      </c>
      <c r="O40" s="74">
        <v>37.29</v>
      </c>
      <c r="P40" s="74">
        <v>51.66</v>
      </c>
      <c r="Q40" s="74">
        <v>264.69</v>
      </c>
      <c r="R40" s="111">
        <v>28.38</v>
      </c>
      <c r="T40" s="88">
        <v>1800</v>
      </c>
      <c r="U40" s="74">
        <v>35.590000000000003</v>
      </c>
      <c r="V40" s="74">
        <v>48.97</v>
      </c>
      <c r="W40" s="77">
        <v>248.2</v>
      </c>
      <c r="X40" s="111">
        <v>26.58</v>
      </c>
    </row>
    <row r="41" spans="2:24" x14ac:dyDescent="0.25">
      <c r="B41" s="88">
        <v>1850</v>
      </c>
      <c r="C41" s="74">
        <v>59.93</v>
      </c>
      <c r="D41" s="74">
        <v>82.39</v>
      </c>
      <c r="E41" s="74">
        <v>304.52</v>
      </c>
      <c r="F41" s="111">
        <v>56.86</v>
      </c>
      <c r="H41" s="88">
        <v>1850</v>
      </c>
      <c r="I41" s="74">
        <v>50.08</v>
      </c>
      <c r="J41" s="74">
        <v>65.209999999999994</v>
      </c>
      <c r="K41" s="74">
        <v>260.73</v>
      </c>
      <c r="L41" s="111">
        <v>42.84</v>
      </c>
      <c r="N41" s="88">
        <v>1850</v>
      </c>
      <c r="O41" s="74">
        <v>37.42</v>
      </c>
      <c r="P41" s="74">
        <v>53.53</v>
      </c>
      <c r="Q41" s="74">
        <v>265.70999999999998</v>
      </c>
      <c r="R41" s="111">
        <v>28.48</v>
      </c>
      <c r="T41" s="88">
        <v>1850</v>
      </c>
      <c r="U41" s="77">
        <v>35.700000000000003</v>
      </c>
      <c r="V41" s="74">
        <v>50.75</v>
      </c>
      <c r="W41" s="74">
        <v>249.18</v>
      </c>
      <c r="X41" s="111">
        <v>26.67</v>
      </c>
    </row>
    <row r="42" spans="2:24" x14ac:dyDescent="0.25">
      <c r="B42" s="88">
        <v>1900</v>
      </c>
      <c r="C42" s="74">
        <v>60.11</v>
      </c>
      <c r="D42" s="74">
        <v>85.39</v>
      </c>
      <c r="E42" s="74">
        <v>306.12</v>
      </c>
      <c r="F42" s="111">
        <v>56.33</v>
      </c>
      <c r="H42" s="88">
        <v>1900</v>
      </c>
      <c r="I42" s="74">
        <v>50.45</v>
      </c>
      <c r="J42" s="74">
        <v>67.72</v>
      </c>
      <c r="K42" s="74">
        <v>262.07</v>
      </c>
      <c r="L42" s="111">
        <v>42.54</v>
      </c>
      <c r="N42" s="88">
        <v>1900</v>
      </c>
      <c r="O42" s="74">
        <v>37.54</v>
      </c>
      <c r="P42" s="77">
        <v>55.4</v>
      </c>
      <c r="Q42" s="74">
        <v>266.70999999999998</v>
      </c>
      <c r="R42" s="111">
        <v>28.57</v>
      </c>
      <c r="T42" s="88">
        <v>1900</v>
      </c>
      <c r="U42" s="77">
        <v>35.799999999999997</v>
      </c>
      <c r="V42" s="74">
        <v>52.54</v>
      </c>
      <c r="W42" s="74">
        <v>250.13</v>
      </c>
      <c r="X42" s="111">
        <v>26.76</v>
      </c>
    </row>
    <row r="43" spans="2:24" x14ac:dyDescent="0.25">
      <c r="B43" s="88">
        <v>1950</v>
      </c>
      <c r="C43" s="74">
        <v>60.27</v>
      </c>
      <c r="D43" s="77">
        <v>88.4</v>
      </c>
      <c r="E43" s="74">
        <v>307.68</v>
      </c>
      <c r="F43" s="111">
        <v>55.83</v>
      </c>
      <c r="H43" s="88">
        <v>1950</v>
      </c>
      <c r="I43" s="77">
        <v>50.8</v>
      </c>
      <c r="J43" s="74">
        <v>70.25</v>
      </c>
      <c r="K43" s="74">
        <v>263.38</v>
      </c>
      <c r="L43" s="111">
        <v>42.26</v>
      </c>
      <c r="N43" s="88">
        <v>1950</v>
      </c>
      <c r="O43" s="74">
        <v>37.67</v>
      </c>
      <c r="P43" s="74">
        <v>57.28</v>
      </c>
      <c r="Q43" s="74">
        <v>267.69</v>
      </c>
      <c r="R43" s="111">
        <v>28.66</v>
      </c>
      <c r="T43" s="88">
        <v>1950</v>
      </c>
      <c r="U43" s="77">
        <v>35.9</v>
      </c>
      <c r="V43" s="74">
        <v>54.33</v>
      </c>
      <c r="W43" s="74">
        <v>251.06</v>
      </c>
      <c r="X43" s="111">
        <v>26.85</v>
      </c>
    </row>
    <row r="44" spans="2:24" x14ac:dyDescent="0.25">
      <c r="B44" s="88">
        <v>2000</v>
      </c>
      <c r="C44" s="74">
        <v>60.43</v>
      </c>
      <c r="D44" s="74">
        <v>91.42</v>
      </c>
      <c r="E44" s="74">
        <v>309.20999999999998</v>
      </c>
      <c r="F44" s="111">
        <v>55.36</v>
      </c>
      <c r="H44" s="88">
        <v>2000</v>
      </c>
      <c r="I44" s="74">
        <v>51.14</v>
      </c>
      <c r="J44" s="77">
        <v>72.8</v>
      </c>
      <c r="K44" s="74">
        <v>264.67</v>
      </c>
      <c r="L44" s="79">
        <v>42</v>
      </c>
      <c r="N44" s="88">
        <v>2000</v>
      </c>
      <c r="O44" s="74">
        <v>37.79</v>
      </c>
      <c r="P44" s="74">
        <v>59.17</v>
      </c>
      <c r="Q44" s="74">
        <v>268.64</v>
      </c>
      <c r="R44" s="111">
        <v>28.75</v>
      </c>
      <c r="T44" s="88">
        <v>2000</v>
      </c>
      <c r="U44" s="74">
        <v>35.99</v>
      </c>
      <c r="V44" s="74">
        <v>56.13</v>
      </c>
      <c r="W44" s="74">
        <v>251.97</v>
      </c>
      <c r="X44" s="111">
        <v>26.93</v>
      </c>
    </row>
    <row r="45" spans="2:24" x14ac:dyDescent="0.25">
      <c r="B45" s="88">
        <v>2050</v>
      </c>
      <c r="C45" s="74">
        <v>60.58</v>
      </c>
      <c r="D45" s="74">
        <v>94.44</v>
      </c>
      <c r="E45" s="77">
        <v>310.7</v>
      </c>
      <c r="F45" s="111">
        <v>54.92</v>
      </c>
      <c r="H45" s="88">
        <v>2050</v>
      </c>
      <c r="I45" s="74">
        <v>51.47</v>
      </c>
      <c r="J45" s="74">
        <v>75.37</v>
      </c>
      <c r="K45" s="74">
        <v>265.94</v>
      </c>
      <c r="L45" s="111">
        <v>41.75</v>
      </c>
      <c r="N45" s="88">
        <v>2050</v>
      </c>
      <c r="O45" s="77">
        <v>37.9</v>
      </c>
      <c r="P45" s="74">
        <v>61.06</v>
      </c>
      <c r="Q45" s="74">
        <v>269.58</v>
      </c>
      <c r="R45" s="111">
        <v>28.84</v>
      </c>
      <c r="T45" s="88">
        <v>2050</v>
      </c>
      <c r="U45" s="74">
        <v>36.07</v>
      </c>
      <c r="V45" s="74">
        <v>57.93</v>
      </c>
      <c r="W45" s="74">
        <v>252.86</v>
      </c>
      <c r="X45" s="111">
        <v>27.01</v>
      </c>
    </row>
    <row r="46" spans="2:24" x14ac:dyDescent="0.25">
      <c r="B46" s="88">
        <v>2100</v>
      </c>
      <c r="C46" s="74">
        <v>60.71</v>
      </c>
      <c r="D46" s="74">
        <v>97.47</v>
      </c>
      <c r="E46" s="74">
        <v>312.16000000000003</v>
      </c>
      <c r="F46" s="112">
        <v>54.5</v>
      </c>
      <c r="H46" s="88">
        <v>2100</v>
      </c>
      <c r="I46" s="74">
        <v>51.78</v>
      </c>
      <c r="J46" s="74">
        <v>77.95</v>
      </c>
      <c r="K46" s="74">
        <v>267.19</v>
      </c>
      <c r="L46" s="111">
        <v>41.52</v>
      </c>
      <c r="N46" s="88">
        <v>2100</v>
      </c>
      <c r="O46" s="74">
        <v>38.020000000000003</v>
      </c>
      <c r="P46" s="74">
        <v>62.96</v>
      </c>
      <c r="Q46" s="74">
        <v>270.49</v>
      </c>
      <c r="R46" s="111">
        <v>28.93</v>
      </c>
      <c r="T46" s="88">
        <v>2100</v>
      </c>
      <c r="U46" s="74">
        <v>36.15</v>
      </c>
      <c r="V46" s="74">
        <v>59.73</v>
      </c>
      <c r="W46" s="74">
        <v>253.73</v>
      </c>
      <c r="X46" s="112">
        <v>27.1</v>
      </c>
    </row>
    <row r="47" spans="2:24" x14ac:dyDescent="0.25">
      <c r="B47" s="88">
        <v>2150</v>
      </c>
      <c r="C47" s="74">
        <v>60.84</v>
      </c>
      <c r="D47" s="74">
        <v>100.51</v>
      </c>
      <c r="E47" s="74">
        <v>313.58999999999997</v>
      </c>
      <c r="F47" s="111">
        <v>54.11</v>
      </c>
      <c r="H47" s="88">
        <v>2150</v>
      </c>
      <c r="I47" s="74">
        <v>52.08</v>
      </c>
      <c r="J47" s="74">
        <v>80.540000000000006</v>
      </c>
      <c r="K47" s="74">
        <v>268.41000000000003</v>
      </c>
      <c r="L47" s="111">
        <v>41.31</v>
      </c>
      <c r="N47" s="88">
        <v>2150</v>
      </c>
      <c r="O47" s="74">
        <v>38.14</v>
      </c>
      <c r="P47" s="74">
        <v>64.86</v>
      </c>
      <c r="Q47" s="74">
        <v>271.39</v>
      </c>
      <c r="R47" s="111">
        <v>29.01</v>
      </c>
      <c r="T47" s="88">
        <v>2150</v>
      </c>
      <c r="U47" s="74">
        <v>36.229999999999997</v>
      </c>
      <c r="V47" s="74">
        <v>61.54</v>
      </c>
      <c r="W47" s="74">
        <v>254.58</v>
      </c>
      <c r="X47" s="111">
        <v>27.18</v>
      </c>
    </row>
    <row r="48" spans="2:24" x14ac:dyDescent="0.25">
      <c r="B48" s="88">
        <v>2200</v>
      </c>
      <c r="C48" s="74">
        <v>60.96</v>
      </c>
      <c r="D48" s="74">
        <v>103.56</v>
      </c>
      <c r="E48" s="74">
        <v>314.99</v>
      </c>
      <c r="F48" s="111">
        <v>53.74</v>
      </c>
      <c r="H48" s="88">
        <v>2200</v>
      </c>
      <c r="I48" s="74">
        <v>52.38</v>
      </c>
      <c r="J48" s="74">
        <v>83.16</v>
      </c>
      <c r="K48" s="74">
        <v>269.61</v>
      </c>
      <c r="L48" s="112">
        <v>41.1</v>
      </c>
      <c r="N48" s="88">
        <v>2200</v>
      </c>
      <c r="O48" s="74">
        <v>38.25</v>
      </c>
      <c r="P48" s="74">
        <v>66.77</v>
      </c>
      <c r="Q48" s="74">
        <v>272.27</v>
      </c>
      <c r="R48" s="112">
        <v>29.1</v>
      </c>
      <c r="T48" s="88">
        <v>2200</v>
      </c>
      <c r="U48" s="77">
        <v>36.299999999999997</v>
      </c>
      <c r="V48" s="74">
        <v>63.36</v>
      </c>
      <c r="W48" s="74">
        <v>255.42</v>
      </c>
      <c r="X48" s="111">
        <v>27.26</v>
      </c>
    </row>
    <row r="49" spans="2:24" x14ac:dyDescent="0.25">
      <c r="B49" s="88">
        <v>2250</v>
      </c>
      <c r="C49" s="74">
        <v>61.08</v>
      </c>
      <c r="D49" s="74">
        <v>106.61</v>
      </c>
      <c r="E49" s="74">
        <v>316.37</v>
      </c>
      <c r="F49" s="111">
        <v>53.39</v>
      </c>
      <c r="H49" s="88">
        <v>2250</v>
      </c>
      <c r="I49" s="74">
        <v>52.66</v>
      </c>
      <c r="J49" s="74">
        <v>85.78</v>
      </c>
      <c r="K49" s="74">
        <v>270.79000000000002</v>
      </c>
      <c r="L49" s="111">
        <v>40.909999999999997</v>
      </c>
      <c r="N49" s="88">
        <v>2250</v>
      </c>
      <c r="O49" s="74">
        <v>38.36</v>
      </c>
      <c r="P49" s="74">
        <v>68.69</v>
      </c>
      <c r="Q49" s="74">
        <v>273.13</v>
      </c>
      <c r="R49" s="111">
        <v>29.18</v>
      </c>
      <c r="T49" s="88">
        <v>2250</v>
      </c>
      <c r="U49" s="74">
        <v>36.36</v>
      </c>
      <c r="V49" s="74">
        <v>65.17</v>
      </c>
      <c r="W49" s="74">
        <v>256.23</v>
      </c>
      <c r="X49" s="111">
        <v>27.34</v>
      </c>
    </row>
    <row r="50" spans="2:24" x14ac:dyDescent="0.25">
      <c r="B50" s="88">
        <v>2300</v>
      </c>
      <c r="C50" s="74">
        <v>61.18</v>
      </c>
      <c r="D50" s="74">
        <v>109.66</v>
      </c>
      <c r="E50" s="74">
        <v>317.70999999999998</v>
      </c>
      <c r="F50" s="111">
        <v>53.06</v>
      </c>
      <c r="H50" s="88">
        <v>2300</v>
      </c>
      <c r="I50" s="74">
        <v>52.92</v>
      </c>
      <c r="J50" s="74">
        <v>88.42</v>
      </c>
      <c r="K50" s="74">
        <v>271.95</v>
      </c>
      <c r="L50" s="111">
        <v>40.729999999999997</v>
      </c>
      <c r="N50" s="88">
        <v>2300</v>
      </c>
      <c r="O50" s="74">
        <v>38.47</v>
      </c>
      <c r="P50" s="74">
        <v>70.61</v>
      </c>
      <c r="Q50" s="74">
        <v>273.97000000000003</v>
      </c>
      <c r="R50" s="111">
        <v>29.26</v>
      </c>
      <c r="T50" s="88">
        <v>2300</v>
      </c>
      <c r="U50" s="74">
        <v>36.43</v>
      </c>
      <c r="V50" s="74">
        <v>66.989999999999995</v>
      </c>
      <c r="W50" s="74">
        <v>257.02999999999997</v>
      </c>
      <c r="X50" s="111">
        <v>27.41</v>
      </c>
    </row>
    <row r="51" spans="2:24" x14ac:dyDescent="0.25">
      <c r="B51" s="88">
        <v>2350</v>
      </c>
      <c r="C51" s="74">
        <v>61.28</v>
      </c>
      <c r="D51" s="74">
        <v>112.73</v>
      </c>
      <c r="E51" s="74">
        <v>319.02999999999997</v>
      </c>
      <c r="F51" s="111">
        <v>52.74</v>
      </c>
      <c r="H51" s="88">
        <v>2350</v>
      </c>
      <c r="I51" s="74">
        <v>53.18</v>
      </c>
      <c r="J51" s="74">
        <v>91.07</v>
      </c>
      <c r="K51" s="74">
        <v>273.08999999999997</v>
      </c>
      <c r="L51" s="111">
        <v>40.56</v>
      </c>
      <c r="N51" s="88">
        <v>2350</v>
      </c>
      <c r="O51" s="74">
        <v>38.58</v>
      </c>
      <c r="P51" s="74">
        <v>72.53</v>
      </c>
      <c r="Q51" s="77">
        <v>274.8</v>
      </c>
      <c r="R51" s="111">
        <v>29.34</v>
      </c>
      <c r="T51" s="88">
        <v>2350</v>
      </c>
      <c r="U51" s="74">
        <v>36.49</v>
      </c>
      <c r="V51" s="74">
        <v>68.819999999999993</v>
      </c>
      <c r="W51" s="74">
        <v>257.82</v>
      </c>
      <c r="X51" s="111">
        <v>27.49</v>
      </c>
    </row>
    <row r="52" spans="2:24" x14ac:dyDescent="0.25">
      <c r="B52" s="88">
        <v>2400</v>
      </c>
      <c r="C52" s="74">
        <v>61.37</v>
      </c>
      <c r="D52" s="74">
        <v>115.79</v>
      </c>
      <c r="E52" s="74">
        <v>320.32</v>
      </c>
      <c r="F52" s="111">
        <v>52.45</v>
      </c>
      <c r="H52" s="88">
        <v>2400</v>
      </c>
      <c r="I52" s="74">
        <v>53.43</v>
      </c>
      <c r="J52" s="74">
        <v>93.74</v>
      </c>
      <c r="K52" s="74">
        <v>274.20999999999998</v>
      </c>
      <c r="L52" s="112">
        <v>40.4</v>
      </c>
      <c r="N52" s="88">
        <v>2400</v>
      </c>
      <c r="O52" s="74">
        <v>38.68</v>
      </c>
      <c r="P52" s="74">
        <v>74.459999999999994</v>
      </c>
      <c r="Q52" s="74">
        <v>275.61</v>
      </c>
      <c r="R52" s="111">
        <v>29.42</v>
      </c>
      <c r="T52" s="88">
        <v>2400</v>
      </c>
      <c r="U52" s="74">
        <v>36.54</v>
      </c>
      <c r="V52" s="74">
        <v>70.64</v>
      </c>
      <c r="W52" s="74">
        <v>258.58999999999997</v>
      </c>
      <c r="X52" s="111">
        <v>27.56</v>
      </c>
    </row>
    <row r="53" spans="2:24" x14ac:dyDescent="0.25">
      <c r="B53" s="88">
        <v>2450</v>
      </c>
      <c r="C53" s="74">
        <v>61.46</v>
      </c>
      <c r="D53" s="74">
        <v>118.86</v>
      </c>
      <c r="E53" s="74">
        <v>321.58</v>
      </c>
      <c r="F53" s="111">
        <v>52.16</v>
      </c>
      <c r="H53" s="88">
        <v>2450</v>
      </c>
      <c r="I53" s="74">
        <v>53.67</v>
      </c>
      <c r="J53" s="74">
        <v>96.42</v>
      </c>
      <c r="K53" s="74">
        <v>275.32</v>
      </c>
      <c r="L53" s="111">
        <v>40.25</v>
      </c>
      <c r="N53" s="88">
        <v>2450</v>
      </c>
      <c r="O53" s="74">
        <v>38.79</v>
      </c>
      <c r="P53" s="77">
        <v>76.400000000000006</v>
      </c>
      <c r="Q53" s="74">
        <v>276.41000000000003</v>
      </c>
      <c r="R53" s="112">
        <v>29.5</v>
      </c>
      <c r="T53" s="88">
        <v>2450</v>
      </c>
      <c r="U53" s="74">
        <v>36.590000000000003</v>
      </c>
      <c r="V53" s="74">
        <v>72.47</v>
      </c>
      <c r="W53" s="74">
        <v>259.33999999999997</v>
      </c>
      <c r="X53" s="111">
        <v>27.64</v>
      </c>
    </row>
    <row r="54" spans="2:24" x14ac:dyDescent="0.25">
      <c r="B54" s="88">
        <v>2500</v>
      </c>
      <c r="C54" s="74">
        <v>61.55</v>
      </c>
      <c r="D54" s="74">
        <v>121.94</v>
      </c>
      <c r="E54" s="74">
        <v>322.83</v>
      </c>
      <c r="F54" s="112">
        <v>51.9</v>
      </c>
      <c r="H54" s="88">
        <v>2500</v>
      </c>
      <c r="I54" s="77">
        <v>53.9</v>
      </c>
      <c r="J54" s="74">
        <v>99.11</v>
      </c>
      <c r="K54" s="77">
        <v>276.39999999999998</v>
      </c>
      <c r="L54" s="111">
        <v>40.11</v>
      </c>
      <c r="N54" s="88">
        <v>2500</v>
      </c>
      <c r="O54" s="74">
        <v>38.89</v>
      </c>
      <c r="P54" s="74">
        <v>78.34</v>
      </c>
      <c r="Q54" s="77">
        <v>277.2</v>
      </c>
      <c r="R54" s="111">
        <v>29.57</v>
      </c>
      <c r="T54" s="88">
        <v>2500</v>
      </c>
      <c r="U54" s="74">
        <v>36.64</v>
      </c>
      <c r="V54" s="77">
        <v>74.3</v>
      </c>
      <c r="W54" s="74">
        <v>260.08</v>
      </c>
      <c r="X54" s="111">
        <v>27.71</v>
      </c>
    </row>
    <row r="55" spans="2:24" x14ac:dyDescent="0.25">
      <c r="B55" s="88">
        <v>2550</v>
      </c>
      <c r="C55" s="74">
        <v>61.62</v>
      </c>
      <c r="D55" s="74">
        <v>125.02</v>
      </c>
      <c r="E55" s="74">
        <v>324.05</v>
      </c>
      <c r="F55" s="111">
        <v>51.64</v>
      </c>
      <c r="H55" s="88">
        <v>2550</v>
      </c>
      <c r="I55" s="74">
        <v>54.12</v>
      </c>
      <c r="J55" s="74">
        <v>101.81</v>
      </c>
      <c r="K55" s="74">
        <v>277.47000000000003</v>
      </c>
      <c r="L55" s="111">
        <v>39.979999999999997</v>
      </c>
      <c r="N55" s="88">
        <v>2550</v>
      </c>
      <c r="O55" s="74">
        <v>38.99</v>
      </c>
      <c r="P55" s="74">
        <v>80.290000000000006</v>
      </c>
      <c r="Q55" s="74">
        <v>277.97000000000003</v>
      </c>
      <c r="R55" s="111">
        <v>29.65</v>
      </c>
      <c r="T55" s="88">
        <v>2550</v>
      </c>
      <c r="U55" s="74">
        <v>36.69</v>
      </c>
      <c r="V55" s="74">
        <v>76.13</v>
      </c>
      <c r="W55" s="74">
        <v>260.81</v>
      </c>
      <c r="X55" s="111">
        <v>27.78</v>
      </c>
    </row>
    <row r="56" spans="2:24" x14ac:dyDescent="0.25">
      <c r="B56" s="88">
        <v>2600</v>
      </c>
      <c r="C56" s="77">
        <v>61.7</v>
      </c>
      <c r="D56" s="77">
        <v>128.1</v>
      </c>
      <c r="E56" s="74">
        <v>325.24</v>
      </c>
      <c r="F56" s="112">
        <v>51.4</v>
      </c>
      <c r="H56" s="88">
        <v>2600</v>
      </c>
      <c r="I56" s="74">
        <v>54.34</v>
      </c>
      <c r="J56" s="74">
        <v>104.52</v>
      </c>
      <c r="K56" s="74">
        <v>278.52999999999997</v>
      </c>
      <c r="L56" s="111">
        <v>39.85</v>
      </c>
      <c r="N56" s="88">
        <v>2600</v>
      </c>
      <c r="O56" s="74">
        <v>39.090000000000003</v>
      </c>
      <c r="P56" s="74">
        <v>82.24</v>
      </c>
      <c r="Q56" s="74">
        <v>278.73</v>
      </c>
      <c r="R56" s="111">
        <v>29.72</v>
      </c>
      <c r="T56" s="88">
        <v>2600</v>
      </c>
      <c r="U56" s="74">
        <v>36.74</v>
      </c>
      <c r="V56" s="74">
        <v>77.97</v>
      </c>
      <c r="W56" s="74">
        <v>261.52</v>
      </c>
      <c r="X56" s="111">
        <v>27.85</v>
      </c>
    </row>
    <row r="57" spans="2:24" x14ac:dyDescent="0.25">
      <c r="B57" s="88">
        <v>2650</v>
      </c>
      <c r="C57" s="74">
        <v>61.77</v>
      </c>
      <c r="D57" s="74">
        <v>131.19</v>
      </c>
      <c r="E57" s="74">
        <v>326.42</v>
      </c>
      <c r="F57" s="111">
        <v>51.17</v>
      </c>
      <c r="H57" s="88">
        <v>2650</v>
      </c>
      <c r="I57" s="74">
        <v>54.54</v>
      </c>
      <c r="J57" s="74">
        <v>107.24</v>
      </c>
      <c r="K57" s="74">
        <v>279.56</v>
      </c>
      <c r="L57" s="111">
        <v>39.729999999999997</v>
      </c>
      <c r="N57" s="88">
        <v>2650</v>
      </c>
      <c r="O57" s="74">
        <v>39.19</v>
      </c>
      <c r="P57" s="77">
        <v>84.2</v>
      </c>
      <c r="Q57" s="74">
        <v>279.47000000000003</v>
      </c>
      <c r="R57" s="111">
        <v>29.79</v>
      </c>
      <c r="T57" s="88">
        <v>2650</v>
      </c>
      <c r="U57" s="74">
        <v>36.78</v>
      </c>
      <c r="V57" s="74">
        <v>79.81</v>
      </c>
      <c r="W57" s="74">
        <v>262.22000000000003</v>
      </c>
      <c r="X57" s="111">
        <v>27.92</v>
      </c>
    </row>
    <row r="58" spans="2:24" x14ac:dyDescent="0.25">
      <c r="B58" s="88">
        <v>2700</v>
      </c>
      <c r="C58" s="74">
        <v>61.84</v>
      </c>
      <c r="D58" s="74">
        <v>134.28</v>
      </c>
      <c r="E58" s="74">
        <v>327.57</v>
      </c>
      <c r="F58" s="111">
        <v>50.95</v>
      </c>
      <c r="H58" s="88">
        <v>2700</v>
      </c>
      <c r="I58" s="74">
        <v>54.74</v>
      </c>
      <c r="J58" s="74">
        <v>109.97</v>
      </c>
      <c r="K58" s="74">
        <v>280.58</v>
      </c>
      <c r="L58" s="111">
        <v>39.619999999999997</v>
      </c>
      <c r="N58" s="88">
        <v>2700</v>
      </c>
      <c r="O58" s="74">
        <v>39.29</v>
      </c>
      <c r="P58" s="74">
        <v>86.16</v>
      </c>
      <c r="Q58" s="77">
        <v>280.2</v>
      </c>
      <c r="R58" s="111">
        <v>29.86</v>
      </c>
      <c r="T58" s="88">
        <v>2700</v>
      </c>
      <c r="U58" s="74">
        <v>36.82</v>
      </c>
      <c r="V58" s="74">
        <v>81.650000000000006</v>
      </c>
      <c r="W58" s="74">
        <v>262.91000000000003</v>
      </c>
      <c r="X58" s="111">
        <v>27.98</v>
      </c>
    </row>
    <row r="59" spans="2:24" x14ac:dyDescent="0.25">
      <c r="B59" s="88">
        <v>2750</v>
      </c>
      <c r="C59" s="77">
        <v>61.9</v>
      </c>
      <c r="D59" s="74">
        <v>137.37</v>
      </c>
      <c r="E59" s="74">
        <v>328.71</v>
      </c>
      <c r="F59" s="111">
        <v>50.74</v>
      </c>
      <c r="H59" s="88">
        <v>2750</v>
      </c>
      <c r="I59" s="74">
        <v>54.93</v>
      </c>
      <c r="J59" s="74">
        <v>112.72</v>
      </c>
      <c r="K59" s="74">
        <v>281.58999999999997</v>
      </c>
      <c r="L59" s="111">
        <v>39.520000000000003</v>
      </c>
      <c r="N59" s="88">
        <v>2750</v>
      </c>
      <c r="O59" s="74">
        <v>39.380000000000003</v>
      </c>
      <c r="P59" s="74">
        <v>88.13</v>
      </c>
      <c r="Q59" s="74">
        <v>280.93</v>
      </c>
      <c r="R59" s="111">
        <v>29.94</v>
      </c>
      <c r="T59" s="88">
        <v>2750</v>
      </c>
      <c r="U59" s="74">
        <v>36.86</v>
      </c>
      <c r="V59" s="74">
        <v>83.49</v>
      </c>
      <c r="W59" s="74">
        <v>263.58</v>
      </c>
      <c r="X59" s="111">
        <v>28.05</v>
      </c>
    </row>
    <row r="60" spans="2:24" x14ac:dyDescent="0.25">
      <c r="B60" s="88">
        <v>2800</v>
      </c>
      <c r="C60" s="74">
        <v>61.96</v>
      </c>
      <c r="D60" s="74">
        <v>140.47</v>
      </c>
      <c r="E60" s="74">
        <v>329.83</v>
      </c>
      <c r="F60" s="111">
        <v>50.54</v>
      </c>
      <c r="H60" s="88">
        <v>2800</v>
      </c>
      <c r="I60" s="74">
        <v>55.11</v>
      </c>
      <c r="J60" s="74">
        <v>115.47</v>
      </c>
      <c r="K60" s="74">
        <v>282.58</v>
      </c>
      <c r="L60" s="111">
        <v>39.42</v>
      </c>
      <c r="N60" s="88">
        <v>2800</v>
      </c>
      <c r="O60" s="74">
        <v>39.479999999999997</v>
      </c>
      <c r="P60" s="77">
        <v>90.1</v>
      </c>
      <c r="Q60" s="74">
        <v>281.64</v>
      </c>
      <c r="R60" s="79">
        <v>30</v>
      </c>
      <c r="T60" s="88">
        <v>2800</v>
      </c>
      <c r="U60" s="74">
        <v>36.89</v>
      </c>
      <c r="V60" s="74">
        <v>85.33</v>
      </c>
      <c r="W60" s="74">
        <v>264.25</v>
      </c>
      <c r="X60" s="111">
        <v>28.12</v>
      </c>
    </row>
    <row r="61" spans="2:24" x14ac:dyDescent="0.25">
      <c r="B61" s="88">
        <v>2850</v>
      </c>
      <c r="C61" s="74">
        <v>62.02</v>
      </c>
      <c r="D61" s="74">
        <v>143.57</v>
      </c>
      <c r="E61" s="74">
        <v>330.92</v>
      </c>
      <c r="F61" s="111">
        <v>50.35</v>
      </c>
      <c r="H61" s="88">
        <v>2850</v>
      </c>
      <c r="I61" s="74">
        <v>55.29</v>
      </c>
      <c r="J61" s="74">
        <v>118.23</v>
      </c>
      <c r="K61" s="74">
        <v>283.56</v>
      </c>
      <c r="L61" s="111">
        <v>39.32</v>
      </c>
      <c r="N61" s="88">
        <v>2850</v>
      </c>
      <c r="O61" s="74">
        <v>39.57</v>
      </c>
      <c r="P61" s="74">
        <v>92.07</v>
      </c>
      <c r="Q61" s="74">
        <v>282.33999999999997</v>
      </c>
      <c r="R61" s="111">
        <v>30.07</v>
      </c>
      <c r="T61" s="88">
        <v>2850</v>
      </c>
      <c r="U61" s="74">
        <v>36.93</v>
      </c>
      <c r="V61" s="74">
        <v>87.18</v>
      </c>
      <c r="W61" s="77">
        <v>264.89999999999998</v>
      </c>
      <c r="X61" s="111">
        <v>28.18</v>
      </c>
    </row>
    <row r="62" spans="2:24" x14ac:dyDescent="0.25">
      <c r="B62" s="88">
        <v>2900</v>
      </c>
      <c r="C62" s="74">
        <v>62.08</v>
      </c>
      <c r="D62" s="74">
        <v>146.66999999999999</v>
      </c>
      <c r="E62" s="75">
        <v>332</v>
      </c>
      <c r="F62" s="111">
        <v>50.17</v>
      </c>
      <c r="H62" s="88">
        <v>2900</v>
      </c>
      <c r="I62" s="74">
        <v>55.46</v>
      </c>
      <c r="J62" s="74">
        <v>120.99</v>
      </c>
      <c r="K62" s="74">
        <v>284.52</v>
      </c>
      <c r="L62" s="111">
        <v>39.229999999999997</v>
      </c>
      <c r="N62" s="88">
        <v>2900</v>
      </c>
      <c r="O62" s="74">
        <v>39.659999999999997</v>
      </c>
      <c r="P62" s="74">
        <v>94.06</v>
      </c>
      <c r="Q62" s="74">
        <v>283.02999999999997</v>
      </c>
      <c r="R62" s="111">
        <v>30.14</v>
      </c>
      <c r="T62" s="88">
        <v>2900</v>
      </c>
      <c r="U62" s="74">
        <v>36.96</v>
      </c>
      <c r="V62" s="74">
        <v>89.03</v>
      </c>
      <c r="W62" s="74">
        <v>265.54000000000002</v>
      </c>
      <c r="X62" s="111">
        <v>28.25</v>
      </c>
    </row>
    <row r="63" spans="2:24" x14ac:dyDescent="0.25">
      <c r="B63" s="88">
        <v>2950</v>
      </c>
      <c r="C63" s="74">
        <v>62.14</v>
      </c>
      <c r="D63" s="74">
        <v>149.78</v>
      </c>
      <c r="E63" s="74">
        <v>333.06</v>
      </c>
      <c r="F63" s="79">
        <v>50</v>
      </c>
      <c r="H63" s="88">
        <v>2950</v>
      </c>
      <c r="I63" s="74">
        <v>55.62</v>
      </c>
      <c r="J63" s="74">
        <v>123.77</v>
      </c>
      <c r="K63" s="74">
        <v>285.47000000000003</v>
      </c>
      <c r="L63" s="111">
        <v>39.15</v>
      </c>
      <c r="N63" s="88">
        <v>2950</v>
      </c>
      <c r="O63" s="74">
        <v>39.75</v>
      </c>
      <c r="P63" s="74">
        <v>96.04</v>
      </c>
      <c r="Q63" s="77">
        <v>283.7</v>
      </c>
      <c r="R63" s="111">
        <v>30.21</v>
      </c>
      <c r="T63" s="88">
        <v>2950</v>
      </c>
      <c r="U63" s="74">
        <v>36.99</v>
      </c>
      <c r="V63" s="74">
        <v>90.88</v>
      </c>
      <c r="W63" s="74">
        <v>266.17</v>
      </c>
      <c r="X63" s="111">
        <v>28.31</v>
      </c>
    </row>
    <row r="64" spans="2:24" x14ac:dyDescent="0.25">
      <c r="B64" s="88">
        <v>3000</v>
      </c>
      <c r="C64" s="74">
        <v>62.19</v>
      </c>
      <c r="D64" s="74">
        <v>152.88</v>
      </c>
      <c r="E64" s="74">
        <v>334.11</v>
      </c>
      <c r="F64" s="111">
        <v>49.83</v>
      </c>
      <c r="H64" s="88">
        <v>3000</v>
      </c>
      <c r="I64" s="74">
        <v>55.78</v>
      </c>
      <c r="J64" s="74">
        <v>126.56</v>
      </c>
      <c r="K64" s="74">
        <v>286.41000000000003</v>
      </c>
      <c r="L64" s="111">
        <v>39.07</v>
      </c>
      <c r="N64" s="88">
        <v>3000</v>
      </c>
      <c r="O64" s="74">
        <v>39.840000000000003</v>
      </c>
      <c r="P64" s="74">
        <v>98.03</v>
      </c>
      <c r="Q64" s="74">
        <v>284.37</v>
      </c>
      <c r="R64" s="111">
        <v>30.27</v>
      </c>
      <c r="T64" s="88">
        <v>3000</v>
      </c>
      <c r="U64" s="74">
        <v>37.03</v>
      </c>
      <c r="V64" s="74">
        <v>92.73</v>
      </c>
      <c r="W64" s="77">
        <v>266.8</v>
      </c>
      <c r="X64" s="111">
        <v>28.37</v>
      </c>
    </row>
    <row r="65" spans="2:24" x14ac:dyDescent="0.25">
      <c r="B65" s="88">
        <v>3050</v>
      </c>
      <c r="C65" s="74">
        <v>62.25</v>
      </c>
      <c r="D65" s="74">
        <v>155.99</v>
      </c>
      <c r="E65" s="74">
        <v>335.14</v>
      </c>
      <c r="F65" s="111">
        <v>49.68</v>
      </c>
      <c r="H65" s="88">
        <v>3050</v>
      </c>
      <c r="I65" s="74">
        <v>55.93</v>
      </c>
      <c r="J65" s="74">
        <v>129.35</v>
      </c>
      <c r="K65" s="74">
        <v>287.33</v>
      </c>
      <c r="L65" s="79">
        <v>39</v>
      </c>
      <c r="N65" s="88">
        <v>3050</v>
      </c>
      <c r="O65" s="74">
        <v>39.93</v>
      </c>
      <c r="P65" s="74">
        <v>100.03</v>
      </c>
      <c r="Q65" s="74">
        <v>285.02999999999997</v>
      </c>
      <c r="R65" s="111">
        <v>30.34</v>
      </c>
      <c r="T65" s="88">
        <v>3050</v>
      </c>
      <c r="U65" s="74">
        <v>37.06</v>
      </c>
      <c r="V65" s="74">
        <v>94.58</v>
      </c>
      <c r="W65" s="74">
        <v>267.41000000000003</v>
      </c>
      <c r="X65" s="111">
        <v>28.43</v>
      </c>
    </row>
    <row r="66" spans="2:24" x14ac:dyDescent="0.25">
      <c r="B66" s="88">
        <v>3100</v>
      </c>
      <c r="C66" s="77">
        <v>62.3</v>
      </c>
      <c r="D66" s="74">
        <v>159.11000000000001</v>
      </c>
      <c r="E66" s="74">
        <v>336.15</v>
      </c>
      <c r="F66" s="111">
        <v>49.53</v>
      </c>
      <c r="H66" s="88">
        <v>3100</v>
      </c>
      <c r="I66" s="74">
        <v>56.07</v>
      </c>
      <c r="J66" s="74">
        <v>132.15</v>
      </c>
      <c r="K66" s="74">
        <v>288.24</v>
      </c>
      <c r="L66" s="111">
        <v>38.92</v>
      </c>
      <c r="N66" s="88">
        <v>3100</v>
      </c>
      <c r="O66" s="74">
        <v>40.020000000000003</v>
      </c>
      <c r="P66" s="74">
        <v>102.02</v>
      </c>
      <c r="Q66" s="74">
        <v>285.68</v>
      </c>
      <c r="R66" s="112">
        <v>30.4</v>
      </c>
      <c r="T66" s="88">
        <v>3100</v>
      </c>
      <c r="U66" s="74">
        <v>37.090000000000003</v>
      </c>
      <c r="V66" s="74">
        <v>96.43</v>
      </c>
      <c r="W66" s="74">
        <v>268.01</v>
      </c>
      <c r="X66" s="111">
        <v>28.49</v>
      </c>
    </row>
    <row r="67" spans="2:24" x14ac:dyDescent="0.25">
      <c r="B67" s="88">
        <v>3150</v>
      </c>
      <c r="C67" s="74">
        <v>62.35</v>
      </c>
      <c r="D67" s="74">
        <v>162.22</v>
      </c>
      <c r="E67" s="74">
        <v>337.15</v>
      </c>
      <c r="F67" s="111">
        <v>49.38</v>
      </c>
      <c r="H67" s="88">
        <v>3150</v>
      </c>
      <c r="I67" s="74">
        <v>56.21</v>
      </c>
      <c r="J67" s="74">
        <v>134.96</v>
      </c>
      <c r="K67" s="74">
        <v>289.14</v>
      </c>
      <c r="L67" s="111">
        <v>38.86</v>
      </c>
      <c r="N67" s="88">
        <v>3150</v>
      </c>
      <c r="O67" s="74">
        <v>40.11</v>
      </c>
      <c r="P67" s="74">
        <v>104.03</v>
      </c>
      <c r="Q67" s="74">
        <v>286.32</v>
      </c>
      <c r="R67" s="111">
        <v>30.47</v>
      </c>
      <c r="T67" s="88">
        <v>3150</v>
      </c>
      <c r="U67" s="74">
        <v>37.11</v>
      </c>
      <c r="V67" s="74">
        <v>98.29</v>
      </c>
      <c r="W67" s="74">
        <v>268.61</v>
      </c>
      <c r="X67" s="111">
        <v>28.55</v>
      </c>
    </row>
    <row r="68" spans="2:24" x14ac:dyDescent="0.25">
      <c r="B68" s="88">
        <v>3200</v>
      </c>
      <c r="C68" s="77">
        <v>62.4</v>
      </c>
      <c r="D68" s="74">
        <v>165.34</v>
      </c>
      <c r="E68" s="74">
        <v>338.13</v>
      </c>
      <c r="F68" s="111">
        <v>49.25</v>
      </c>
      <c r="H68" s="88">
        <v>3200</v>
      </c>
      <c r="I68" s="74">
        <v>56.35</v>
      </c>
      <c r="J68" s="74">
        <v>137.77000000000001</v>
      </c>
      <c r="K68" s="74">
        <v>290.02999999999997</v>
      </c>
      <c r="L68" s="112">
        <v>38.799999999999997</v>
      </c>
      <c r="N68" s="88">
        <v>3200</v>
      </c>
      <c r="O68" s="74">
        <v>40.19</v>
      </c>
      <c r="P68" s="74">
        <v>106.03</v>
      </c>
      <c r="Q68" s="74">
        <v>286.95999999999998</v>
      </c>
      <c r="R68" s="111">
        <v>30.53</v>
      </c>
      <c r="T68" s="88">
        <v>3200</v>
      </c>
      <c r="U68" s="74">
        <v>37.14</v>
      </c>
      <c r="V68" s="74">
        <v>100.14</v>
      </c>
      <c r="W68" s="74">
        <v>269.19</v>
      </c>
      <c r="X68" s="111">
        <v>28.61</v>
      </c>
    </row>
    <row r="69" spans="2:24" x14ac:dyDescent="0.25">
      <c r="B69" s="88">
        <v>3250</v>
      </c>
      <c r="C69" s="74">
        <v>62.45</v>
      </c>
      <c r="D69" s="74">
        <v>168.46</v>
      </c>
      <c r="E69" s="77">
        <v>339.1</v>
      </c>
      <c r="F69" s="111">
        <v>49.12</v>
      </c>
      <c r="H69" s="88">
        <v>3250</v>
      </c>
      <c r="I69" s="74">
        <v>56.48</v>
      </c>
      <c r="J69" s="74">
        <v>140.59</v>
      </c>
      <c r="K69" s="77">
        <v>290.89999999999998</v>
      </c>
      <c r="L69" s="111">
        <v>38.74</v>
      </c>
      <c r="N69" s="88">
        <v>3250</v>
      </c>
      <c r="O69" s="74">
        <v>40.28</v>
      </c>
      <c r="P69" s="74">
        <v>108.05</v>
      </c>
      <c r="Q69" s="74">
        <v>287.58</v>
      </c>
      <c r="R69" s="111">
        <v>30.59</v>
      </c>
      <c r="T69" s="88">
        <v>3250</v>
      </c>
      <c r="U69" s="74">
        <v>37.17</v>
      </c>
      <c r="V69" s="75">
        <v>102</v>
      </c>
      <c r="W69" s="74">
        <v>269.77</v>
      </c>
      <c r="X69" s="111">
        <v>28.67</v>
      </c>
    </row>
    <row r="70" spans="2:24" x14ac:dyDescent="0.25">
      <c r="B70" s="88">
        <v>3300</v>
      </c>
      <c r="C70" s="74">
        <v>62.51</v>
      </c>
      <c r="D70" s="74">
        <v>171.59</v>
      </c>
      <c r="E70" s="74">
        <v>340.05</v>
      </c>
      <c r="F70" s="111">
        <v>48.99</v>
      </c>
      <c r="H70" s="88">
        <v>3300</v>
      </c>
      <c r="I70" s="74">
        <v>56.61</v>
      </c>
      <c r="J70" s="74">
        <v>143.41999999999999</v>
      </c>
      <c r="K70" s="74">
        <v>291.76</v>
      </c>
      <c r="L70" s="111">
        <v>38.68</v>
      </c>
      <c r="N70" s="88">
        <v>3300</v>
      </c>
      <c r="O70" s="74">
        <v>40.36</v>
      </c>
      <c r="P70" s="74">
        <v>110.06</v>
      </c>
      <c r="Q70" s="74">
        <v>298.56822324628803</v>
      </c>
      <c r="R70" s="112">
        <v>288.2</v>
      </c>
      <c r="T70" s="88">
        <v>3300</v>
      </c>
      <c r="U70" s="77">
        <v>37.200000000000003</v>
      </c>
      <c r="V70" s="74">
        <v>103.86</v>
      </c>
      <c r="W70" s="74">
        <v>270.33</v>
      </c>
      <c r="X70" s="111">
        <v>28.73</v>
      </c>
    </row>
    <row r="71" spans="2:24" x14ac:dyDescent="0.25">
      <c r="B71" s="88">
        <v>3350</v>
      </c>
      <c r="C71" s="74">
        <v>62.56</v>
      </c>
      <c r="D71" s="74">
        <v>174.72</v>
      </c>
      <c r="E71" s="74">
        <v>340.99</v>
      </c>
      <c r="F71" s="111">
        <v>48.87</v>
      </c>
      <c r="H71" s="88">
        <v>3350</v>
      </c>
      <c r="I71" s="74">
        <v>56.73</v>
      </c>
      <c r="J71" s="74">
        <v>146.25</v>
      </c>
      <c r="K71" s="74">
        <v>292.62</v>
      </c>
      <c r="L71" s="111">
        <v>38.630000000000003</v>
      </c>
      <c r="N71" s="88">
        <v>3350</v>
      </c>
      <c r="O71" s="74">
        <v>40.44</v>
      </c>
      <c r="P71" s="74">
        <v>112.08</v>
      </c>
      <c r="Q71" s="74">
        <v>299.88953181003598</v>
      </c>
      <c r="R71" s="112">
        <v>288.8</v>
      </c>
      <c r="T71" s="88">
        <v>3350</v>
      </c>
      <c r="U71" s="74">
        <v>37.22</v>
      </c>
      <c r="V71" s="74">
        <v>105.72</v>
      </c>
      <c r="W71" s="74">
        <v>270.89</v>
      </c>
      <c r="X71" s="111">
        <v>28.79</v>
      </c>
    </row>
    <row r="72" spans="2:24" x14ac:dyDescent="0.25">
      <c r="B72" s="88">
        <v>3400</v>
      </c>
      <c r="C72" s="74">
        <v>62.61</v>
      </c>
      <c r="D72" s="74">
        <v>177.84</v>
      </c>
      <c r="E72" s="74">
        <v>341.92</v>
      </c>
      <c r="F72" s="111">
        <v>48.76</v>
      </c>
      <c r="H72" s="88">
        <v>3400</v>
      </c>
      <c r="I72" s="74">
        <v>56.85</v>
      </c>
      <c r="J72" s="74">
        <v>149.09</v>
      </c>
      <c r="K72" s="74">
        <v>293.45999999999998</v>
      </c>
      <c r="L72" s="111">
        <v>38.58</v>
      </c>
      <c r="N72" s="88">
        <v>3400</v>
      </c>
      <c r="O72" s="74">
        <v>40.520000000000003</v>
      </c>
      <c r="P72" s="74">
        <v>114.11</v>
      </c>
      <c r="Q72" s="74">
        <v>301.21084037378398</v>
      </c>
      <c r="R72" s="112">
        <v>289.39999999999998</v>
      </c>
      <c r="T72" s="88">
        <v>3400</v>
      </c>
      <c r="U72" s="74">
        <v>37.25</v>
      </c>
      <c r="V72" s="74">
        <v>107.58</v>
      </c>
      <c r="W72" s="74">
        <v>271.45</v>
      </c>
      <c r="X72" s="111">
        <v>28.84</v>
      </c>
    </row>
    <row r="73" spans="2:24" x14ac:dyDescent="0.25">
      <c r="B73" s="88">
        <v>3450</v>
      </c>
      <c r="C73" s="74">
        <v>62.66</v>
      </c>
      <c r="D73" s="74">
        <v>180.98</v>
      </c>
      <c r="E73" s="74">
        <v>342.83</v>
      </c>
      <c r="F73" s="111">
        <v>48.65</v>
      </c>
      <c r="H73" s="88">
        <v>3450</v>
      </c>
      <c r="I73" s="74">
        <v>56.96</v>
      </c>
      <c r="J73" s="74">
        <v>151.94</v>
      </c>
      <c r="K73" s="74">
        <v>294.29000000000002</v>
      </c>
      <c r="L73" s="111">
        <v>38.53</v>
      </c>
      <c r="N73" s="88">
        <v>3450</v>
      </c>
      <c r="O73" s="77">
        <v>40.6</v>
      </c>
      <c r="P73" s="74">
        <v>116.13</v>
      </c>
      <c r="Q73" s="74">
        <v>302.53214893753199</v>
      </c>
      <c r="R73" s="79">
        <v>290</v>
      </c>
      <c r="T73" s="88">
        <v>3450</v>
      </c>
      <c r="U73" s="74">
        <v>37.270000000000003</v>
      </c>
      <c r="V73" s="74">
        <v>109.45</v>
      </c>
      <c r="W73" s="74">
        <v>271.99</v>
      </c>
      <c r="X73" s="112">
        <v>28.9</v>
      </c>
    </row>
    <row r="74" spans="2:24" ht="15.75" thickBot="1" x14ac:dyDescent="0.3">
      <c r="B74" s="89">
        <v>3500</v>
      </c>
      <c r="C74" s="83">
        <v>62.72</v>
      </c>
      <c r="D74" s="83">
        <v>184.11</v>
      </c>
      <c r="E74" s="83">
        <v>343.73</v>
      </c>
      <c r="F74" s="113">
        <v>48.54</v>
      </c>
      <c r="H74" s="89">
        <v>3500</v>
      </c>
      <c r="I74" s="83">
        <v>57.07</v>
      </c>
      <c r="J74" s="83">
        <v>154.79</v>
      </c>
      <c r="K74" s="83">
        <v>295.11</v>
      </c>
      <c r="L74" s="113">
        <v>38.49</v>
      </c>
      <c r="N74" s="89">
        <v>3500</v>
      </c>
      <c r="O74" s="83">
        <v>40.68</v>
      </c>
      <c r="P74" s="83">
        <v>118.17</v>
      </c>
      <c r="Q74" s="83">
        <v>303.85345750127999</v>
      </c>
      <c r="R74" s="113">
        <v>290.58</v>
      </c>
      <c r="T74" s="89">
        <v>3500</v>
      </c>
      <c r="U74" s="84">
        <v>37.299999999999997</v>
      </c>
      <c r="V74" s="83">
        <v>111.31</v>
      </c>
      <c r="W74" s="83">
        <v>272.52999999999997</v>
      </c>
      <c r="X74" s="113">
        <v>28.95</v>
      </c>
    </row>
  </sheetData>
  <mergeCells count="5">
    <mergeCell ref="B5:F5"/>
    <mergeCell ref="H5:L5"/>
    <mergeCell ref="N5:R5"/>
    <mergeCell ref="T5:X5"/>
    <mergeCell ref="B4:X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Home Page</vt:lpstr>
      <vt:lpstr>Fuel Blend Calc</vt:lpstr>
      <vt:lpstr>NOx Model (1)</vt:lpstr>
      <vt:lpstr>NOx Model (2)</vt:lpstr>
      <vt:lpstr>NOx PPM</vt:lpstr>
      <vt:lpstr>NOx PPM Iso-Octane Graph</vt:lpstr>
      <vt:lpstr>NOx Alternative Fuels Graph</vt:lpstr>
      <vt:lpstr>EGR</vt:lpstr>
      <vt:lpstr>EGR NOx PPM</vt:lpstr>
      <vt:lpstr>EGR NOx Iso-Octane Graphs</vt:lpstr>
      <vt:lpstr>EGR NOx Alternative Fuel Graphs</vt:lpstr>
      <vt:lpstr>Poly Graphs</vt:lpstr>
      <vt:lpstr>Air &amp; Fuel Properties</vt:lpstr>
      <vt:lpstr>Properties</vt:lpstr>
      <vt:lpstr>Iso_Octane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Callum-James Hill (P148699)</dc:creator>
  <cp:lastModifiedBy>User</cp:lastModifiedBy>
  <cp:lastPrinted>2019-12-19T15:23:30Z</cp:lastPrinted>
  <dcterms:created xsi:type="dcterms:W3CDTF">2019-11-13T16:18:11Z</dcterms:created>
  <dcterms:modified xsi:type="dcterms:W3CDTF">2020-01-05T16:49:37Z</dcterms:modified>
</cp:coreProperties>
</file>