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26401_student_uwtsd_ac_uk/Documents/Motorcycle technology/"/>
    </mc:Choice>
  </mc:AlternateContent>
  <xr:revisionPtr revIDLastSave="1336" documentId="10_ncr:40000_{BF1670B4-17B9-4AAA-A78C-0E3E392955C3}" xr6:coauthVersionLast="47" xr6:coauthVersionMax="47" xr10:uidLastSave="{3B307C72-B60C-42A9-BBA5-D198DA2CC5B6}"/>
  <bookViews>
    <workbookView xWindow="230" yWindow="1330" windowWidth="19200" windowHeight="9970" activeTab="3" xr2:uid="{00000000-000D-0000-FFFF-FFFF00000000}"/>
  </bookViews>
  <sheets>
    <sheet name="BMW s1000rr" sheetId="1" r:id="rId1"/>
    <sheet name="KTM EXC_F 350" sheetId="2" r:id="rId2"/>
    <sheet name="Power-Torque-speed-Force" sheetId="3" r:id="rId3"/>
    <sheet name="Resistance to motion" sheetId="5" r:id="rId4"/>
    <sheet name="Inertia" sheetId="4" r:id="rId5"/>
  </sheets>
  <definedNames>
    <definedName name="_Hlk122105933" localSheetId="3">'Resistance to motion'!$J$8</definedName>
    <definedName name="_Hlk122186604" localSheetId="3">'Resistance to motion'!$J$9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3" l="1"/>
  <c r="C7" i="5"/>
  <c r="Q32" i="2"/>
  <c r="Q25" i="1"/>
  <c r="Q32" i="1"/>
  <c r="G5" i="5"/>
  <c r="G3" i="5"/>
  <c r="C12" i="5"/>
  <c r="G7" i="5" s="1"/>
  <c r="G10" i="5" l="1"/>
  <c r="G12" i="5" l="1"/>
  <c r="G13" i="5" s="1"/>
  <c r="L10" i="2"/>
  <c r="Q14" i="2"/>
  <c r="Q9" i="2"/>
  <c r="E31" i="2"/>
  <c r="C22" i="3"/>
  <c r="C20" i="3"/>
  <c r="D22" i="3"/>
  <c r="D21" i="3"/>
  <c r="C21" i="3"/>
  <c r="D20" i="3"/>
  <c r="D19" i="3"/>
  <c r="C19" i="3" s="1"/>
  <c r="D18" i="3"/>
  <c r="C18" i="3"/>
  <c r="D17" i="3"/>
  <c r="C17" i="3" s="1"/>
  <c r="D16" i="3"/>
  <c r="C16" i="3"/>
  <c r="D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2" i="3"/>
  <c r="D3" i="3"/>
  <c r="L14" i="1"/>
  <c r="L10" i="1"/>
  <c r="M10" i="1" s="1"/>
  <c r="K25" i="1"/>
  <c r="K26" i="1" s="1"/>
  <c r="M9" i="1"/>
  <c r="L14" i="2"/>
  <c r="M14" i="2"/>
  <c r="M10" i="2"/>
  <c r="M14" i="1"/>
  <c r="K34" i="2"/>
  <c r="M32" i="2"/>
  <c r="M32" i="1"/>
  <c r="M13" i="1"/>
  <c r="Q10" i="1" s="1"/>
  <c r="Q20" i="1" l="1"/>
  <c r="P20" i="1"/>
  <c r="F31" i="2" l="1"/>
  <c r="K33" i="2"/>
  <c r="Q9" i="1" l="1"/>
  <c r="P19" i="1" l="1"/>
  <c r="Q19" i="1"/>
  <c r="E32" i="2"/>
  <c r="F32" i="2" s="1"/>
  <c r="E30" i="1"/>
  <c r="E29" i="1"/>
  <c r="K25" i="2"/>
  <c r="K26" i="2" s="1"/>
  <c r="M17" i="3" l="1"/>
  <c r="T17" i="3" s="1"/>
  <c r="L13" i="3"/>
  <c r="S13" i="3" s="1"/>
  <c r="K9" i="3"/>
  <c r="R9" i="3" s="1"/>
  <c r="J5" i="3"/>
  <c r="Q5" i="3" s="1"/>
  <c r="J21" i="3"/>
  <c r="Q21" i="3" s="1"/>
  <c r="I17" i="3"/>
  <c r="P17" i="3" s="1"/>
  <c r="H13" i="3"/>
  <c r="O13" i="3" s="1"/>
  <c r="M18" i="3"/>
  <c r="T18" i="3" s="1"/>
  <c r="L14" i="3"/>
  <c r="S14" i="3" s="1"/>
  <c r="K10" i="3"/>
  <c r="R10" i="3" s="1"/>
  <c r="J6" i="3"/>
  <c r="Q6" i="3" s="1"/>
  <c r="J22" i="3"/>
  <c r="Q22" i="3" s="1"/>
  <c r="I18" i="3"/>
  <c r="P18" i="3" s="1"/>
  <c r="H14" i="3"/>
  <c r="O14" i="3" s="1"/>
  <c r="M20" i="3"/>
  <c r="T20" i="3" s="1"/>
  <c r="L16" i="3"/>
  <c r="S16" i="3" s="1"/>
  <c r="J8" i="3"/>
  <c r="Q8" i="3" s="1"/>
  <c r="I20" i="3"/>
  <c r="P20" i="3" s="1"/>
  <c r="H16" i="3"/>
  <c r="O16" i="3" s="1"/>
  <c r="M5" i="3"/>
  <c r="T5" i="3" s="1"/>
  <c r="L17" i="3"/>
  <c r="S17" i="3" s="1"/>
  <c r="K13" i="3"/>
  <c r="R13" i="3" s="1"/>
  <c r="J9" i="3"/>
  <c r="Q9" i="3" s="1"/>
  <c r="I21" i="3"/>
  <c r="P21" i="3" s="1"/>
  <c r="H17" i="3"/>
  <c r="O17" i="3" s="1"/>
  <c r="M6" i="3"/>
  <c r="T6" i="3" s="1"/>
  <c r="M22" i="3"/>
  <c r="T22" i="3" s="1"/>
  <c r="L18" i="3"/>
  <c r="S18" i="3" s="1"/>
  <c r="K14" i="3"/>
  <c r="R14" i="3" s="1"/>
  <c r="I6" i="3"/>
  <c r="P6" i="3" s="1"/>
  <c r="I22" i="3"/>
  <c r="P22" i="3" s="1"/>
  <c r="L3" i="3"/>
  <c r="S3" i="3" s="1"/>
  <c r="L19" i="3"/>
  <c r="S19" i="3" s="1"/>
  <c r="J11" i="3"/>
  <c r="Q11" i="3" s="1"/>
  <c r="I7" i="3"/>
  <c r="P7" i="3" s="1"/>
  <c r="H2" i="3"/>
  <c r="O2" i="3" s="1"/>
  <c r="K20" i="3"/>
  <c r="R20" i="3" s="1"/>
  <c r="I12" i="3"/>
  <c r="P12" i="3" s="1"/>
  <c r="M13" i="3"/>
  <c r="T13" i="3" s="1"/>
  <c r="J17" i="3"/>
  <c r="Q17" i="3" s="1"/>
  <c r="K6" i="3"/>
  <c r="R6" i="3" s="1"/>
  <c r="L11" i="3"/>
  <c r="S11" i="3" s="1"/>
  <c r="I15" i="3"/>
  <c r="P15" i="3" s="1"/>
  <c r="L12" i="3"/>
  <c r="S12" i="3" s="1"/>
  <c r="I16" i="3"/>
  <c r="P16" i="3" s="1"/>
  <c r="M3" i="3"/>
  <c r="T3" i="3" s="1"/>
  <c r="M19" i="3"/>
  <c r="T19" i="3" s="1"/>
  <c r="L15" i="3"/>
  <c r="S15" i="3" s="1"/>
  <c r="K11" i="3"/>
  <c r="R11" i="3" s="1"/>
  <c r="J7" i="3"/>
  <c r="Q7" i="3" s="1"/>
  <c r="I3" i="3"/>
  <c r="P3" i="3" s="1"/>
  <c r="I19" i="3"/>
  <c r="P19" i="3" s="1"/>
  <c r="H15" i="3"/>
  <c r="O15" i="3" s="1"/>
  <c r="M4" i="3"/>
  <c r="T4" i="3" s="1"/>
  <c r="K12" i="3"/>
  <c r="R12" i="3" s="1"/>
  <c r="I4" i="3"/>
  <c r="P4" i="3" s="1"/>
  <c r="M21" i="3"/>
  <c r="T21" i="3" s="1"/>
  <c r="I5" i="3"/>
  <c r="P5" i="3" s="1"/>
  <c r="H18" i="3"/>
  <c r="O18" i="3" s="1"/>
  <c r="M7" i="3"/>
  <c r="T7" i="3" s="1"/>
  <c r="H3" i="3"/>
  <c r="O3" i="3" s="1"/>
  <c r="L8" i="3"/>
  <c r="S8" i="3" s="1"/>
  <c r="I14" i="3"/>
  <c r="P14" i="3" s="1"/>
  <c r="J10" i="3"/>
  <c r="Q10" i="3" s="1"/>
  <c r="K15" i="3"/>
  <c r="R15" i="3" s="1"/>
  <c r="H19" i="3"/>
  <c r="O19" i="3" s="1"/>
  <c r="J16" i="3"/>
  <c r="Q16" i="3" s="1"/>
  <c r="K2" i="3"/>
  <c r="R2" i="3" s="1"/>
  <c r="K5" i="3"/>
  <c r="R5" i="3" s="1"/>
  <c r="H9" i="3"/>
  <c r="O9" i="3" s="1"/>
  <c r="K22" i="3"/>
  <c r="R22" i="3" s="1"/>
  <c r="J3" i="3"/>
  <c r="Q3" i="3" s="1"/>
  <c r="H11" i="3"/>
  <c r="O11" i="3" s="1"/>
  <c r="K8" i="3"/>
  <c r="R8" i="3" s="1"/>
  <c r="M15" i="3"/>
  <c r="T15" i="3" s="1"/>
  <c r="M8" i="3"/>
  <c r="T8" i="3" s="1"/>
  <c r="L4" i="3"/>
  <c r="S4" i="3" s="1"/>
  <c r="L20" i="3"/>
  <c r="S20" i="3" s="1"/>
  <c r="K16" i="3"/>
  <c r="R16" i="3" s="1"/>
  <c r="J12" i="3"/>
  <c r="Q12" i="3" s="1"/>
  <c r="I8" i="3"/>
  <c r="P8" i="3" s="1"/>
  <c r="H4" i="3"/>
  <c r="O4" i="3" s="1"/>
  <c r="H20" i="3"/>
  <c r="O20" i="3" s="1"/>
  <c r="M12" i="3"/>
  <c r="T12" i="3" s="1"/>
  <c r="H8" i="3"/>
  <c r="O8" i="3" s="1"/>
  <c r="K21" i="3"/>
  <c r="R21" i="3" s="1"/>
  <c r="J2" i="3"/>
  <c r="Q2" i="3" s="1"/>
  <c r="L10" i="3"/>
  <c r="S10" i="3" s="1"/>
  <c r="J18" i="3"/>
  <c r="Q18" i="3" s="1"/>
  <c r="K7" i="3"/>
  <c r="R7" i="3" s="1"/>
  <c r="M9" i="3"/>
  <c r="T9" i="3" s="1"/>
  <c r="L5" i="3"/>
  <c r="S5" i="3" s="1"/>
  <c r="L21" i="3"/>
  <c r="S21" i="3" s="1"/>
  <c r="K17" i="3"/>
  <c r="R17" i="3" s="1"/>
  <c r="J13" i="3"/>
  <c r="Q13" i="3" s="1"/>
  <c r="I9" i="3"/>
  <c r="P9" i="3" s="1"/>
  <c r="H5" i="3"/>
  <c r="O5" i="3" s="1"/>
  <c r="H21" i="3"/>
  <c r="O21" i="3" s="1"/>
  <c r="K4" i="3"/>
  <c r="R4" i="3" s="1"/>
  <c r="L9" i="3"/>
  <c r="S9" i="3" s="1"/>
  <c r="I13" i="3"/>
  <c r="P13" i="3" s="1"/>
  <c r="M14" i="3"/>
  <c r="T14" i="3" s="1"/>
  <c r="H10" i="3"/>
  <c r="O10" i="3" s="1"/>
  <c r="J19" i="3"/>
  <c r="Q19" i="3" s="1"/>
  <c r="M16" i="3"/>
  <c r="T16" i="3" s="1"/>
  <c r="J20" i="3"/>
  <c r="Q20" i="3" s="1"/>
  <c r="M10" i="3"/>
  <c r="T10" i="3" s="1"/>
  <c r="L6" i="3"/>
  <c r="S6" i="3" s="1"/>
  <c r="L22" i="3"/>
  <c r="S22" i="3" s="1"/>
  <c r="K18" i="3"/>
  <c r="R18" i="3" s="1"/>
  <c r="J14" i="3"/>
  <c r="Q14" i="3" s="1"/>
  <c r="I10" i="3"/>
  <c r="P10" i="3" s="1"/>
  <c r="H6" i="3"/>
  <c r="O6" i="3" s="1"/>
  <c r="H22" i="3"/>
  <c r="O22" i="3" s="1"/>
  <c r="M2" i="3"/>
  <c r="T2" i="3" s="1"/>
  <c r="M11" i="3"/>
  <c r="T11" i="3" s="1"/>
  <c r="L7" i="3"/>
  <c r="S7" i="3" s="1"/>
  <c r="K3" i="3"/>
  <c r="R3" i="3" s="1"/>
  <c r="K19" i="3"/>
  <c r="R19" i="3" s="1"/>
  <c r="J15" i="3"/>
  <c r="Q15" i="3" s="1"/>
  <c r="I11" i="3"/>
  <c r="P11" i="3" s="1"/>
  <c r="H7" i="3"/>
  <c r="L2" i="3"/>
  <c r="S2" i="3" s="1"/>
  <c r="I2" i="3"/>
  <c r="P2" i="3" s="1"/>
  <c r="H12" i="3"/>
  <c r="O12" i="3" s="1"/>
  <c r="J4" i="3"/>
  <c r="Q4" i="3" s="1"/>
  <c r="F29" i="1"/>
  <c r="K23" i="1"/>
  <c r="K33" i="1"/>
  <c r="K34" i="1" s="1"/>
  <c r="K22" i="1"/>
  <c r="F30" i="1"/>
  <c r="D4" i="3"/>
  <c r="D5" i="3"/>
  <c r="D6" i="3"/>
  <c r="D7" i="3"/>
  <c r="D8" i="3"/>
  <c r="D9" i="3"/>
  <c r="D10" i="3"/>
  <c r="D11" i="3"/>
  <c r="D12" i="3"/>
  <c r="D13" i="3"/>
  <c r="D14" i="3"/>
  <c r="D15" i="3"/>
  <c r="K24" i="1" l="1"/>
  <c r="E15" i="1"/>
  <c r="Q14" i="1" l="1"/>
  <c r="Q15" i="1"/>
  <c r="G26" i="2"/>
  <c r="G24" i="2"/>
  <c r="F17" i="2"/>
  <c r="G18" i="2" s="1"/>
  <c r="F27" i="2"/>
  <c r="F25" i="2"/>
  <c r="F23" i="2"/>
  <c r="F21" i="2"/>
  <c r="G22" i="2" s="1"/>
  <c r="F19" i="2"/>
  <c r="G20" i="2" s="1"/>
  <c r="A34" i="2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M9" i="2"/>
  <c r="M13" i="2"/>
  <c r="K24" i="2"/>
  <c r="F19" i="1"/>
  <c r="F21" i="1"/>
  <c r="F23" i="1"/>
  <c r="F25" i="1"/>
  <c r="F17" i="1"/>
  <c r="G18" i="1" s="1"/>
  <c r="H18" i="1" s="1"/>
  <c r="F15" i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Q10" i="2" l="1"/>
  <c r="Q15" i="2"/>
  <c r="E17" i="2"/>
  <c r="E21" i="2"/>
  <c r="E23" i="2"/>
  <c r="E25" i="2"/>
  <c r="H22" i="2"/>
  <c r="H18" i="2"/>
  <c r="H26" i="2"/>
  <c r="E19" i="2"/>
  <c r="E27" i="2"/>
  <c r="H24" i="2"/>
  <c r="H20" i="2"/>
  <c r="E21" i="1"/>
  <c r="E17" i="1"/>
  <c r="E19" i="1"/>
  <c r="E23" i="1"/>
  <c r="E25" i="1"/>
  <c r="G16" i="1"/>
  <c r="H16" i="1" s="1"/>
  <c r="G24" i="1"/>
  <c r="H24" i="1" s="1"/>
  <c r="G22" i="1"/>
  <c r="H22" i="1" s="1"/>
  <c r="G20" i="1"/>
  <c r="H20" i="1" s="1"/>
  <c r="Q19" i="2" l="1"/>
  <c r="P19" i="2"/>
  <c r="P20" i="2"/>
  <c r="Q20" i="2"/>
</calcChain>
</file>

<file path=xl/sharedStrings.xml><?xml version="1.0" encoding="utf-8"?>
<sst xmlns="http://schemas.openxmlformats.org/spreadsheetml/2006/main" count="405" uniqueCount="156">
  <si>
    <t>BMW</t>
  </si>
  <si>
    <t>KTM</t>
  </si>
  <si>
    <t>Make :</t>
  </si>
  <si>
    <t>Model :</t>
  </si>
  <si>
    <t>Year :</t>
  </si>
  <si>
    <t>Capacity (cc) :</t>
  </si>
  <si>
    <t>EXC-F</t>
  </si>
  <si>
    <t>Gearing DATA</t>
  </si>
  <si>
    <t>Xcog</t>
  </si>
  <si>
    <t>Ycog</t>
  </si>
  <si>
    <t>Level</t>
  </si>
  <si>
    <t>CoG Calculations</t>
  </si>
  <si>
    <t>CoG Data</t>
  </si>
  <si>
    <t>Without rider</t>
  </si>
  <si>
    <t>Front wheel</t>
  </si>
  <si>
    <t>Rear wheel</t>
  </si>
  <si>
    <t>Raised</t>
  </si>
  <si>
    <t>With rider</t>
  </si>
  <si>
    <t>kg</t>
  </si>
  <si>
    <t>Total weight</t>
  </si>
  <si>
    <t>Wheelbase</t>
  </si>
  <si>
    <t>Average wheel Rad</t>
  </si>
  <si>
    <t>Rear wheel Rad</t>
  </si>
  <si>
    <t>Front wheel Rad</t>
  </si>
  <si>
    <t>m</t>
  </si>
  <si>
    <t>Level with Rider</t>
  </si>
  <si>
    <t>Level  without  rider</t>
  </si>
  <si>
    <t>Level without rider</t>
  </si>
  <si>
    <t>Stool height</t>
  </si>
  <si>
    <t>Stool Weight</t>
  </si>
  <si>
    <t>Rider weight</t>
  </si>
  <si>
    <t>% Front</t>
  </si>
  <si>
    <t>% Rear</t>
  </si>
  <si>
    <t>With Rider</t>
  </si>
  <si>
    <t>S 1000 rr</t>
  </si>
  <si>
    <t>rads</t>
  </si>
  <si>
    <t>deg</t>
  </si>
  <si>
    <t xml:space="preserve">Raised angle </t>
  </si>
  <si>
    <t>Primary</t>
  </si>
  <si>
    <t>Final</t>
  </si>
  <si>
    <t xml:space="preserve">Tyre </t>
  </si>
  <si>
    <t>Factory</t>
  </si>
  <si>
    <t>Diam</t>
  </si>
  <si>
    <t>RPM</t>
  </si>
  <si>
    <t>Output</t>
  </si>
  <si>
    <t>Input</t>
  </si>
  <si>
    <t>Speeds</t>
  </si>
  <si>
    <t>Revs</t>
  </si>
  <si>
    <t>Next gear rpm</t>
  </si>
  <si>
    <t>Falls</t>
  </si>
  <si>
    <t>1st</t>
  </si>
  <si>
    <t>2nd</t>
  </si>
  <si>
    <t>3rd</t>
  </si>
  <si>
    <t>4th</t>
  </si>
  <si>
    <t>5th</t>
  </si>
  <si>
    <t>6th</t>
  </si>
  <si>
    <t>Width</t>
  </si>
  <si>
    <t>Aspect Ratio</t>
  </si>
  <si>
    <t>Rim Size</t>
  </si>
  <si>
    <t>Diameter</t>
  </si>
  <si>
    <t>Circ</t>
  </si>
  <si>
    <t>Tyre Rear</t>
  </si>
  <si>
    <t>Maxxis Maxx enduro</t>
  </si>
  <si>
    <t>Rpm</t>
  </si>
  <si>
    <t>Power (hp)</t>
  </si>
  <si>
    <t xml:space="preserve">Torque (Nm) </t>
  </si>
  <si>
    <t>Power (Kw)</t>
  </si>
  <si>
    <t>Road speed 2nd</t>
  </si>
  <si>
    <t>Road speed 3rd</t>
  </si>
  <si>
    <t>Road speed 4th</t>
  </si>
  <si>
    <t>Road speed 5th</t>
  </si>
  <si>
    <t>Road speed 6th</t>
  </si>
  <si>
    <t>Driving force 6th</t>
  </si>
  <si>
    <t>Driving force 2nd</t>
  </si>
  <si>
    <t>Driving force 3rd</t>
  </si>
  <si>
    <t>Driving force 4th</t>
  </si>
  <si>
    <t>Driving force 5th</t>
  </si>
  <si>
    <t>Chain Length</t>
  </si>
  <si>
    <t xml:space="preserve">Chain size </t>
  </si>
  <si>
    <t>Front sprocket</t>
  </si>
  <si>
    <t>rear sprocket</t>
  </si>
  <si>
    <t>swing arm length</t>
  </si>
  <si>
    <t>Gearing data</t>
  </si>
  <si>
    <t>Tyre front</t>
  </si>
  <si>
    <t>Tyre Front</t>
  </si>
  <si>
    <t>Fork offest</t>
  </si>
  <si>
    <t>mm</t>
  </si>
  <si>
    <t>Rake and Trail</t>
  </si>
  <si>
    <t xml:space="preserve">Rake angle </t>
  </si>
  <si>
    <t>Wheel radius</t>
  </si>
  <si>
    <t>Trail</t>
  </si>
  <si>
    <t>Aprilia RS250</t>
  </si>
  <si>
    <t>Wheel Radius</t>
  </si>
  <si>
    <t>Run 1</t>
  </si>
  <si>
    <t>s</t>
  </si>
  <si>
    <t>RESULTS</t>
  </si>
  <si>
    <t>Wheel &amp; Spindle Mass</t>
  </si>
  <si>
    <t>Run 2</t>
  </si>
  <si>
    <t>Inertia</t>
  </si>
  <si>
    <t>kg.mm2</t>
  </si>
  <si>
    <t>Spindle Mass</t>
  </si>
  <si>
    <t>Run 3</t>
  </si>
  <si>
    <t>Equivalent Mass</t>
  </si>
  <si>
    <t>Wheel minus spindle mass</t>
  </si>
  <si>
    <t>Av run time</t>
  </si>
  <si>
    <t>Effective/ Reduced Mass</t>
  </si>
  <si>
    <t>m*</t>
  </si>
  <si>
    <t>Spindle Radius</t>
  </si>
  <si>
    <t>Start height</t>
  </si>
  <si>
    <t>End height</t>
  </si>
  <si>
    <t>Height of roll</t>
  </si>
  <si>
    <t>Roll distance</t>
  </si>
  <si>
    <t>Gold SV - Wet tyre</t>
  </si>
  <si>
    <t>Kg</t>
  </si>
  <si>
    <t>Black SV - Dry tyre</t>
  </si>
  <si>
    <t>Motorcross</t>
  </si>
  <si>
    <t>I</t>
  </si>
  <si>
    <t>dist front sprock and pivot</t>
  </si>
  <si>
    <t>rad</t>
  </si>
  <si>
    <t>Swing arm length</t>
  </si>
  <si>
    <t>Chain length</t>
  </si>
  <si>
    <t>Chain pitch</t>
  </si>
  <si>
    <t>Mass</t>
  </si>
  <si>
    <t>M</t>
  </si>
  <si>
    <t>Area</t>
  </si>
  <si>
    <t>A</t>
  </si>
  <si>
    <t>Nm</t>
  </si>
  <si>
    <t>Velocity</t>
  </si>
  <si>
    <t>v</t>
  </si>
  <si>
    <t>m/s</t>
  </si>
  <si>
    <t>Gravity</t>
  </si>
  <si>
    <t>g</t>
  </si>
  <si>
    <t>radians</t>
  </si>
  <si>
    <t>Resistance to motion</t>
  </si>
  <si>
    <t>Drag coefficient</t>
  </si>
  <si>
    <t>Air density</t>
  </si>
  <si>
    <t>Angle of raod plane</t>
  </si>
  <si>
    <t>ρ</t>
  </si>
  <si>
    <t>θ</t>
  </si>
  <si>
    <t>°</t>
  </si>
  <si>
    <t>kg/m^3</t>
  </si>
  <si>
    <t>m/s^2</t>
  </si>
  <si>
    <t>m^2</t>
  </si>
  <si>
    <t>Symbol</t>
  </si>
  <si>
    <t>Unit</t>
  </si>
  <si>
    <t>Aero drag force</t>
  </si>
  <si>
    <t>watts</t>
  </si>
  <si>
    <r>
      <t>Road plane (F</t>
    </r>
    <r>
      <rPr>
        <sz val="9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)</t>
    </r>
  </si>
  <si>
    <r>
      <t>Rolling resistance (F</t>
    </r>
    <r>
      <rPr>
        <sz val="8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)</t>
    </r>
  </si>
  <si>
    <t>Total force (F)</t>
  </si>
  <si>
    <t>Power (P)</t>
  </si>
  <si>
    <t>Km/h</t>
  </si>
  <si>
    <t>Road speed 1st (km/h)</t>
  </si>
  <si>
    <t>Driving force 1st (N)</t>
  </si>
  <si>
    <t>Kw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</si>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</sst>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1C1919"/>
      <name val="Calibri"/>
      <family val="2"/>
      <scheme val="minor"/>
    </font>
    <font>
      <sz val="14"/>
      <color rgb="FF1C1919"/>
      <name val="Calibri"/>
      <family val="2"/>
      <scheme val="minor"/>
    </font>
    <font>
      <sz val="11"/>
      <color rgb="FF1C1919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C1919"/>
      <name val="Calibri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1C1919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Symbol"/>
      <family val="1"/>
      <charset val="2"/>
    </font>
  </fonts>
  <fills count="18">
    <fill>
      <patternFill patternType="none"/>
    </fill>
    <fill>
      <patternFill patternType="gray125"/>
    </fill>
    <fill>
      <patternFill patternType="solid">
        <fgColor rgb="FFFBD2B3"/>
        <bgColor indexed="64"/>
      </patternFill>
    </fill>
    <fill>
      <patternFill patternType="solid">
        <fgColor rgb="FFF7AD7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AD3F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FF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9C9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2" xfId="0" applyFill="1" applyBorder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6" borderId="0" xfId="0" applyFont="1" applyFill="1"/>
    <xf numFmtId="0" fontId="1" fillId="7" borderId="0" xfId="0" applyFont="1" applyFill="1"/>
    <xf numFmtId="0" fontId="0" fillId="8" borderId="0" xfId="0" applyFill="1"/>
    <xf numFmtId="0" fontId="8" fillId="0" borderId="0" xfId="0" applyFont="1"/>
    <xf numFmtId="0" fontId="1" fillId="0" borderId="0" xfId="0" applyFont="1"/>
    <xf numFmtId="0" fontId="0" fillId="5" borderId="0" xfId="0" applyFill="1"/>
    <xf numFmtId="0" fontId="1" fillId="5" borderId="1" xfId="0" applyFont="1" applyFill="1" applyBorder="1"/>
    <xf numFmtId="0" fontId="0" fillId="5" borderId="1" xfId="0" applyFill="1" applyBorder="1"/>
    <xf numFmtId="0" fontId="5" fillId="5" borderId="0" xfId="0" applyFont="1" applyFill="1"/>
    <xf numFmtId="0" fontId="6" fillId="5" borderId="0" xfId="0" applyFont="1" applyFill="1" applyAlignment="1">
      <alignment horizontal="right"/>
    </xf>
    <xf numFmtId="0" fontId="1" fillId="4" borderId="0" xfId="0" applyFont="1" applyFill="1"/>
    <xf numFmtId="0" fontId="0" fillId="9" borderId="1" xfId="0" applyFill="1" applyBorder="1"/>
    <xf numFmtId="0" fontId="0" fillId="9" borderId="1" xfId="0" applyFill="1" applyBorder="1" applyAlignment="1">
      <alignment horizontal="right"/>
    </xf>
    <xf numFmtId="0" fontId="3" fillId="0" borderId="0" xfId="0" applyFont="1" applyAlignment="1">
      <alignment horizontal="center"/>
    </xf>
    <xf numFmtId="0" fontId="1" fillId="2" borderId="1" xfId="0" applyFont="1" applyFill="1" applyBorder="1"/>
    <xf numFmtId="0" fontId="1" fillId="6" borderId="1" xfId="0" applyFont="1" applyFill="1" applyBorder="1"/>
    <xf numFmtId="0" fontId="5" fillId="3" borderId="3" xfId="0" applyFont="1" applyFill="1" applyBorder="1"/>
    <xf numFmtId="0" fontId="5" fillId="3" borderId="5" xfId="0" applyFont="1" applyFill="1" applyBorder="1"/>
    <xf numFmtId="0" fontId="5" fillId="3" borderId="7" xfId="0" applyFont="1" applyFill="1" applyBorder="1"/>
    <xf numFmtId="0" fontId="6" fillId="3" borderId="9" xfId="0" applyFont="1" applyFill="1" applyBorder="1" applyAlignment="1">
      <alignment horizontal="right"/>
    </xf>
    <xf numFmtId="0" fontId="0" fillId="3" borderId="9" xfId="0" applyFill="1" applyBorder="1"/>
    <xf numFmtId="0" fontId="4" fillId="3" borderId="9" xfId="0" applyFont="1" applyFill="1" applyBorder="1"/>
    <xf numFmtId="0" fontId="2" fillId="3" borderId="9" xfId="0" applyFont="1" applyFill="1" applyBorder="1"/>
    <xf numFmtId="0" fontId="2" fillId="3" borderId="4" xfId="0" applyFont="1" applyFill="1" applyBorder="1"/>
    <xf numFmtId="0" fontId="0" fillId="3" borderId="6" xfId="0" applyFill="1" applyBorder="1"/>
    <xf numFmtId="0" fontId="6" fillId="3" borderId="10" xfId="0" applyFont="1" applyFill="1" applyBorder="1" applyAlignment="1">
      <alignment horizontal="right"/>
    </xf>
    <xf numFmtId="0" fontId="0" fillId="3" borderId="10" xfId="0" applyFill="1" applyBorder="1"/>
    <xf numFmtId="0" fontId="0" fillId="3" borderId="8" xfId="0" applyFill="1" applyBorder="1"/>
    <xf numFmtId="0" fontId="0" fillId="2" borderId="1" xfId="0" applyFill="1" applyBorder="1" applyAlignment="1">
      <alignment wrapText="1"/>
    </xf>
    <xf numFmtId="0" fontId="0" fillId="10" borderId="0" xfId="0" applyFill="1"/>
    <xf numFmtId="0" fontId="0" fillId="11" borderId="0" xfId="0" applyFill="1"/>
    <xf numFmtId="164" fontId="7" fillId="0" borderId="1" xfId="0" applyNumberFormat="1" applyFont="1" applyBorder="1"/>
    <xf numFmtId="165" fontId="7" fillId="0" borderId="1" xfId="0" applyNumberFormat="1" applyFont="1" applyBorder="1" applyAlignment="1">
      <alignment horizontal="right"/>
    </xf>
    <xf numFmtId="9" fontId="0" fillId="0" borderId="1" xfId="1" applyFont="1" applyBorder="1"/>
    <xf numFmtId="0" fontId="0" fillId="5" borderId="1" xfId="0" applyFill="1" applyBorder="1" applyAlignment="1">
      <alignment wrapText="1"/>
    </xf>
    <xf numFmtId="0" fontId="7" fillId="0" borderId="1" xfId="0" applyFont="1" applyBorder="1"/>
    <xf numFmtId="0" fontId="10" fillId="2" borderId="1" xfId="0" applyFont="1" applyFill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1" fillId="0" borderId="1" xfId="0" applyFont="1" applyBorder="1"/>
    <xf numFmtId="0" fontId="7" fillId="5" borderId="1" xfId="0" applyFont="1" applyFill="1" applyBorder="1"/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2" fillId="0" borderId="1" xfId="0" applyFont="1" applyBorder="1" applyAlignment="1">
      <alignment horizontal="right"/>
    </xf>
    <xf numFmtId="0" fontId="13" fillId="0" borderId="1" xfId="0" applyFont="1" applyBorder="1"/>
    <xf numFmtId="0" fontId="14" fillId="0" borderId="1" xfId="0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5" fillId="0" borderId="1" xfId="0" applyFont="1" applyBorder="1"/>
    <xf numFmtId="0" fontId="12" fillId="0" borderId="12" xfId="0" applyFont="1" applyBorder="1" applyAlignment="1">
      <alignment horizontal="right"/>
    </xf>
    <xf numFmtId="0" fontId="13" fillId="0" borderId="12" xfId="0" applyFont="1" applyBorder="1"/>
    <xf numFmtId="0" fontId="12" fillId="0" borderId="13" xfId="0" applyFont="1" applyBorder="1" applyAlignment="1">
      <alignment horizontal="right"/>
    </xf>
    <xf numFmtId="0" fontId="13" fillId="0" borderId="13" xfId="0" applyFont="1" applyBorder="1"/>
    <xf numFmtId="0" fontId="14" fillId="0" borderId="13" xfId="0" applyFont="1" applyBorder="1" applyAlignment="1">
      <alignment horizontal="right"/>
    </xf>
    <xf numFmtId="0" fontId="14" fillId="0" borderId="13" xfId="0" applyFont="1" applyBorder="1" applyAlignment="1">
      <alignment horizontal="center"/>
    </xf>
    <xf numFmtId="4" fontId="14" fillId="0" borderId="13" xfId="0" applyNumberFormat="1" applyFont="1" applyBorder="1"/>
    <xf numFmtId="0" fontId="14" fillId="0" borderId="13" xfId="0" applyFont="1" applyBorder="1"/>
    <xf numFmtId="0" fontId="2" fillId="14" borderId="1" xfId="0" applyFont="1" applyFill="1" applyBorder="1"/>
    <xf numFmtId="0" fontId="1" fillId="5" borderId="13" xfId="0" applyFont="1" applyFill="1" applyBorder="1"/>
    <xf numFmtId="0" fontId="0" fillId="9" borderId="13" xfId="0" applyFill="1" applyBorder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  <xf numFmtId="2" fontId="7" fillId="0" borderId="1" xfId="0" applyNumberFormat="1" applyFont="1" applyBorder="1"/>
    <xf numFmtId="0" fontId="3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3" fillId="0" borderId="0" xfId="0" applyFont="1"/>
    <xf numFmtId="0" fontId="16" fillId="12" borderId="14" xfId="0" applyFont="1" applyFill="1" applyBorder="1" applyAlignment="1">
      <alignment horizontal="center"/>
    </xf>
    <xf numFmtId="0" fontId="16" fillId="12" borderId="15" xfId="0" applyFont="1" applyFill="1" applyBorder="1" applyAlignment="1">
      <alignment horizontal="center"/>
    </xf>
    <xf numFmtId="0" fontId="16" fillId="12" borderId="16" xfId="0" applyFont="1" applyFill="1" applyBorder="1" applyAlignment="1">
      <alignment horizontal="center"/>
    </xf>
    <xf numFmtId="0" fontId="12" fillId="13" borderId="14" xfId="0" applyFont="1" applyFill="1" applyBorder="1" applyAlignment="1">
      <alignment horizontal="center"/>
    </xf>
    <xf numFmtId="0" fontId="12" fillId="13" borderId="15" xfId="0" applyFont="1" applyFill="1" applyBorder="1" applyAlignment="1">
      <alignment horizontal="center"/>
    </xf>
    <xf numFmtId="0" fontId="12" fillId="13" borderId="16" xfId="0" applyFont="1" applyFill="1" applyBorder="1" applyAlignment="1">
      <alignment horizontal="center"/>
    </xf>
    <xf numFmtId="0" fontId="15" fillId="0" borderId="0" xfId="0" applyFont="1"/>
    <xf numFmtId="0" fontId="17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8" fillId="0" borderId="0" xfId="0" applyFont="1" applyFill="1" applyBorder="1"/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1" xfId="0" applyFill="1" applyBorder="1"/>
    <xf numFmtId="0" fontId="0" fillId="15" borderId="1" xfId="0" applyFill="1" applyBorder="1"/>
    <xf numFmtId="0" fontId="0" fillId="16" borderId="1" xfId="0" applyFill="1" applyBorder="1" applyAlignment="1">
      <alignment horizontal="center"/>
    </xf>
    <xf numFmtId="0" fontId="18" fillId="16" borderId="1" xfId="0" applyFont="1" applyFill="1" applyBorder="1" applyAlignment="1">
      <alignment horizontal="center"/>
    </xf>
    <xf numFmtId="0" fontId="0" fillId="16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left"/>
    </xf>
    <xf numFmtId="0" fontId="1" fillId="17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/>
    <xf numFmtId="0" fontId="0" fillId="3" borderId="0" xfId="0" applyFill="1" applyBorder="1"/>
    <xf numFmtId="0" fontId="6" fillId="3" borderId="0" xfId="0" applyFont="1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/>
    <xf numFmtId="2" fontId="0" fillId="0" borderId="1" xfId="0" applyNumberFormat="1" applyFill="1" applyBorder="1"/>
    <xf numFmtId="2" fontId="0" fillId="0" borderId="0" xfId="0" applyNumberFormat="1" applyFill="1" applyBorder="1"/>
    <xf numFmtId="0" fontId="2" fillId="0" borderId="0" xfId="0" applyFont="1" applyAlignment="1">
      <alignment vertical="center"/>
    </xf>
    <xf numFmtId="0" fontId="21" fillId="0" borderId="0" xfId="0" applyFont="1" applyAlignment="1">
      <alignment horizontal="left" vertical="center" indent="4"/>
    </xf>
    <xf numFmtId="0" fontId="21" fillId="0" borderId="0" xfId="0" applyFont="1" applyAlignment="1">
      <alignment horizontal="left" vertical="center" wrapText="1" indent="4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7AD75"/>
      <color rgb="FFBAD3FC"/>
      <color rgb="FFFBD2B3"/>
      <color rgb="FFE6EFFE"/>
      <color rgb="FFFFC9C9"/>
      <color rgb="FFF2771A"/>
      <color rgb="FF031E49"/>
      <color rgb="FF1C19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Road</a:t>
            </a:r>
            <a:r>
              <a:rPr lang="en-GB" baseline="0"/>
              <a:t> speed vs Driving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'Power-Torque-speed-Force'!$H$2:$H$22</c:f>
              <c:numCache>
                <c:formatCode>0.00</c:formatCode>
                <c:ptCount val="21"/>
                <c:pt idx="0">
                  <c:v>41.735024433147757</c:v>
                </c:pt>
                <c:pt idx="1">
                  <c:v>46.951902487291221</c:v>
                </c:pt>
                <c:pt idx="2">
                  <c:v>52.168780541434685</c:v>
                </c:pt>
                <c:pt idx="3">
                  <c:v>57.38565859557815</c:v>
                </c:pt>
                <c:pt idx="4">
                  <c:v>62.602536649721621</c:v>
                </c:pt>
                <c:pt idx="5">
                  <c:v>67.819414703865093</c:v>
                </c:pt>
                <c:pt idx="6">
                  <c:v>73.036292758008571</c:v>
                </c:pt>
                <c:pt idx="7">
                  <c:v>78.253170812152021</c:v>
                </c:pt>
                <c:pt idx="8">
                  <c:v>83.470048866295514</c:v>
                </c:pt>
                <c:pt idx="9">
                  <c:v>88.686926920438964</c:v>
                </c:pt>
                <c:pt idx="10">
                  <c:v>93.903804974582442</c:v>
                </c:pt>
                <c:pt idx="11">
                  <c:v>99.120683028725907</c:v>
                </c:pt>
                <c:pt idx="12">
                  <c:v>104.33756108286937</c:v>
                </c:pt>
                <c:pt idx="13">
                  <c:v>109.55443913701282</c:v>
                </c:pt>
                <c:pt idx="14">
                  <c:v>114.7713171911563</c:v>
                </c:pt>
                <c:pt idx="15">
                  <c:v>119.98819524529979</c:v>
                </c:pt>
                <c:pt idx="16">
                  <c:v>125.20507329944324</c:v>
                </c:pt>
                <c:pt idx="17">
                  <c:v>130.42195135358671</c:v>
                </c:pt>
                <c:pt idx="18">
                  <c:v>135.63882940773019</c:v>
                </c:pt>
                <c:pt idx="19">
                  <c:v>140.85570746187366</c:v>
                </c:pt>
                <c:pt idx="20">
                  <c:v>146.07258551601714</c:v>
                </c:pt>
              </c:numCache>
            </c:numRef>
          </c:xVal>
          <c:yVal>
            <c:numRef>
              <c:f>'Power-Torque-speed-Force'!$O$2:$O$22</c:f>
              <c:numCache>
                <c:formatCode>0.00</c:formatCode>
                <c:ptCount val="21"/>
                <c:pt idx="0">
                  <c:v>1286.4590527795826</c:v>
                </c:pt>
                <c:pt idx="1">
                  <c:v>2687.2695600897514</c:v>
                </c:pt>
                <c:pt idx="2">
                  <c:v>3190.4179032554925</c:v>
                </c:pt>
                <c:pt idx="3">
                  <c:v>3414.9634448335919</c:v>
                </c:pt>
                <c:pt idx="4">
                  <c:v>3516.3208073514838</c:v>
                </c:pt>
                <c:pt idx="5">
                  <c:v>3602.0847294820073</c:v>
                </c:pt>
                <c:pt idx="6">
                  <c:v>3675.596662736742</c:v>
                </c:pt>
                <c:pt idx="7">
                  <c:v>3773.6125737430561</c:v>
                </c:pt>
                <c:pt idx="8">
                  <c:v>3891.5379666725253</c:v>
                </c:pt>
                <c:pt idx="9">
                  <c:v>4056.1290231141938</c:v>
                </c:pt>
                <c:pt idx="10">
                  <c:v>4145.256236308659</c:v>
                </c:pt>
                <c:pt idx="11">
                  <c:v>4279.1683252493021</c:v>
                </c:pt>
                <c:pt idx="12">
                  <c:v>4296.7724987392521</c:v>
                </c:pt>
                <c:pt idx="13">
                  <c:v>4288.1961065262003</c:v>
                </c:pt>
                <c:pt idx="14">
                  <c:v>4257.0092257514643</c:v>
                </c:pt>
                <c:pt idx="15">
                  <c:v>4027.1754739550388</c:v>
                </c:pt>
                <c:pt idx="16">
                  <c:v>4073.7863011998902</c:v>
                </c:pt>
                <c:pt idx="17">
                  <c:v>3952.001531774546</c:v>
                </c:pt>
                <c:pt idx="18">
                  <c:v>3839.5848215357669</c:v>
                </c:pt>
                <c:pt idx="19">
                  <c:v>3735.4952750183779</c:v>
                </c:pt>
                <c:pt idx="20">
                  <c:v>3528.5727962272722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0D3-4A65-A30B-9D9E100A33A7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'Power-Torque-speed-Force'!$I$2:$I$22</c:f>
              <c:numCache>
                <c:formatCode>0.00</c:formatCode>
                <c:ptCount val="21"/>
                <c:pt idx="0">
                  <c:v>52.835900497207511</c:v>
                </c:pt>
                <c:pt idx="1">
                  <c:v>59.440388059358462</c:v>
                </c:pt>
                <c:pt idx="2">
                  <c:v>66.044875621509391</c:v>
                </c:pt>
                <c:pt idx="3">
                  <c:v>72.649363183660327</c:v>
                </c:pt>
                <c:pt idx="4">
                  <c:v>79.253850745811278</c:v>
                </c:pt>
                <c:pt idx="5">
                  <c:v>85.8583383079622</c:v>
                </c:pt>
                <c:pt idx="6">
                  <c:v>92.462825870113136</c:v>
                </c:pt>
                <c:pt idx="7">
                  <c:v>99.0673134322641</c:v>
                </c:pt>
                <c:pt idx="8">
                  <c:v>105.67180099441502</c:v>
                </c:pt>
                <c:pt idx="9">
                  <c:v>112.27628855656597</c:v>
                </c:pt>
                <c:pt idx="10">
                  <c:v>118.88077611871692</c:v>
                </c:pt>
                <c:pt idx="11">
                  <c:v>125.48526368086786</c:v>
                </c:pt>
                <c:pt idx="12">
                  <c:v>132.08975124301878</c:v>
                </c:pt>
                <c:pt idx="13">
                  <c:v>138.69423880516973</c:v>
                </c:pt>
                <c:pt idx="14">
                  <c:v>145.29872636732065</c:v>
                </c:pt>
                <c:pt idx="15">
                  <c:v>151.9032139294716</c:v>
                </c:pt>
                <c:pt idx="16">
                  <c:v>158.50770149162256</c:v>
                </c:pt>
                <c:pt idx="17">
                  <c:v>165.11218905377348</c:v>
                </c:pt>
                <c:pt idx="18">
                  <c:v>171.7166766159244</c:v>
                </c:pt>
                <c:pt idx="19">
                  <c:v>178.32116417807535</c:v>
                </c:pt>
                <c:pt idx="20">
                  <c:v>184.92565174022627</c:v>
                </c:pt>
              </c:numCache>
            </c:numRef>
          </c:xVal>
          <c:yVal>
            <c:numRef>
              <c:f>'Power-Torque-speed-Force'!$P$2:$P$22</c:f>
              <c:numCache>
                <c:formatCode>0.00</c:formatCode>
                <c:ptCount val="21"/>
                <c:pt idx="0">
                  <c:v>1016.1727063370038</c:v>
                </c:pt>
                <c:pt idx="1">
                  <c:v>2122.6715111011972</c:v>
                </c:pt>
                <c:pt idx="2">
                  <c:v>2520.1078791371665</c:v>
                </c:pt>
                <c:pt idx="3">
                  <c:v>2697.4761756160292</c:v>
                </c:pt>
                <c:pt idx="4">
                  <c:v>2777.538253887737</c:v>
                </c:pt>
                <c:pt idx="5">
                  <c:v>2845.2830893484143</c:v>
                </c:pt>
                <c:pt idx="6">
                  <c:v>2903.3500911718515</c:v>
                </c:pt>
                <c:pt idx="7">
                  <c:v>2980.7727602697669</c:v>
                </c:pt>
                <c:pt idx="8">
                  <c:v>3073.9219090281972</c:v>
                </c:pt>
                <c:pt idx="9">
                  <c:v>3203.932218257878</c:v>
                </c:pt>
                <c:pt idx="10">
                  <c:v>3274.3337139326977</c:v>
                </c:pt>
                <c:pt idx="11">
                  <c:v>3380.1107377221756</c:v>
                </c:pt>
                <c:pt idx="12">
                  <c:v>3394.0162565798937</c:v>
                </c:pt>
                <c:pt idx="13">
                  <c:v>3387.2417730338257</c:v>
                </c:pt>
                <c:pt idx="14">
                  <c:v>3362.6072874117622</c:v>
                </c:pt>
                <c:pt idx="15">
                  <c:v>3181.0618390230716</c:v>
                </c:pt>
                <c:pt idx="16">
                  <c:v>3217.8796843821347</c:v>
                </c:pt>
                <c:pt idx="17">
                  <c:v>3121.6820180279738</c:v>
                </c:pt>
                <c:pt idx="18">
                  <c:v>3032.8841721625959</c:v>
                </c:pt>
                <c:pt idx="19">
                  <c:v>2950.6639445094661</c:v>
                </c:pt>
                <c:pt idx="20">
                  <c:v>2787.216087524977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0D3-4A65-A30B-9D9E100A33A7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'Power-Torque-speed-Force'!$J$2:$J$22</c:f>
              <c:numCache>
                <c:formatCode>0.00</c:formatCode>
                <c:ptCount val="21"/>
                <c:pt idx="0">
                  <c:v>63.959247970303828</c:v>
                </c:pt>
                <c:pt idx="1">
                  <c:v>71.954153966591818</c:v>
                </c:pt>
                <c:pt idx="2">
                  <c:v>79.949059962879787</c:v>
                </c:pt>
                <c:pt idx="3">
                  <c:v>87.94396595916777</c:v>
                </c:pt>
                <c:pt idx="4">
                  <c:v>95.938871955455738</c:v>
                </c:pt>
                <c:pt idx="5">
                  <c:v>103.93377795174374</c:v>
                </c:pt>
                <c:pt idx="6">
                  <c:v>111.9286839480317</c:v>
                </c:pt>
                <c:pt idx="7">
                  <c:v>119.92358994431969</c:v>
                </c:pt>
                <c:pt idx="8">
                  <c:v>127.91849594060766</c:v>
                </c:pt>
                <c:pt idx="9">
                  <c:v>135.91340193689564</c:v>
                </c:pt>
                <c:pt idx="10">
                  <c:v>143.90830793318364</c:v>
                </c:pt>
                <c:pt idx="11">
                  <c:v>151.9032139294716</c:v>
                </c:pt>
                <c:pt idx="12">
                  <c:v>159.89811992575957</c:v>
                </c:pt>
                <c:pt idx="13">
                  <c:v>167.89302592204754</c:v>
                </c:pt>
                <c:pt idx="14">
                  <c:v>175.88793191833554</c:v>
                </c:pt>
                <c:pt idx="15">
                  <c:v>183.88283791462354</c:v>
                </c:pt>
                <c:pt idx="16">
                  <c:v>191.87774391091148</c:v>
                </c:pt>
                <c:pt idx="17">
                  <c:v>199.87264990719947</c:v>
                </c:pt>
                <c:pt idx="18">
                  <c:v>207.86755590348747</c:v>
                </c:pt>
                <c:pt idx="19">
                  <c:v>215.86246189977544</c:v>
                </c:pt>
                <c:pt idx="20">
                  <c:v>223.85736789606341</c:v>
                </c:pt>
              </c:numCache>
            </c:numRef>
          </c:xVal>
          <c:yVal>
            <c:numRef>
              <c:f>'Power-Torque-speed-Force'!$Q$2:$Q$22</c:f>
              <c:numCache>
                <c:formatCode>0.00</c:formatCode>
                <c:ptCount val="21"/>
                <c:pt idx="0">
                  <c:v>839.44701827839458</c:v>
                </c:pt>
                <c:pt idx="1">
                  <c:v>1753.5112483009889</c:v>
                </c:pt>
                <c:pt idx="2">
                  <c:v>2081.8282479828767</c:v>
                </c:pt>
                <c:pt idx="3">
                  <c:v>2228.3498842045456</c:v>
                </c:pt>
                <c:pt idx="4">
                  <c:v>2294.4881227768269</c:v>
                </c:pt>
                <c:pt idx="5">
                  <c:v>2350.4512477226026</c:v>
                </c:pt>
                <c:pt idx="6">
                  <c:v>2398.4196405332682</c:v>
                </c:pt>
                <c:pt idx="7">
                  <c:v>2462.3774976141553</c:v>
                </c:pt>
                <c:pt idx="8">
                  <c:v>2539.3267944145978</c:v>
                </c:pt>
                <c:pt idx="9">
                  <c:v>2646.7266150825949</c:v>
                </c:pt>
                <c:pt idx="10">
                  <c:v>2704.8843723791852</c:v>
                </c:pt>
                <c:pt idx="11">
                  <c:v>2792.2653920313628</c:v>
                </c:pt>
                <c:pt idx="12">
                  <c:v>2803.752559783391</c:v>
                </c:pt>
                <c:pt idx="13">
                  <c:v>2798.1562472888131</c:v>
                </c:pt>
                <c:pt idx="14">
                  <c:v>2777.8060200358032</c:v>
                </c:pt>
                <c:pt idx="15">
                  <c:v>2627.8336931060153</c:v>
                </c:pt>
                <c:pt idx="16">
                  <c:v>2658.2484349243723</c:v>
                </c:pt>
                <c:pt idx="17">
                  <c:v>2578.7807975013698</c:v>
                </c:pt>
                <c:pt idx="18">
                  <c:v>2505.4260552647529</c:v>
                </c:pt>
                <c:pt idx="19">
                  <c:v>2437.5049976382547</c:v>
                </c:pt>
                <c:pt idx="20">
                  <c:v>2302.4828549119375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0D3-4A65-A30B-9D9E100A33A7}"/>
            </c:ext>
          </c:extLst>
        </c:ser>
        <c:ser>
          <c:idx val="3"/>
          <c:order val="3"/>
          <c:tx>
            <c:v>4th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'Power-Torque-speed-Force'!$K$2:$K$22</c:f>
              <c:numCache>
                <c:formatCode>0.00</c:formatCode>
                <c:ptCount val="21"/>
                <c:pt idx="0">
                  <c:v>73.650043117319555</c:v>
                </c:pt>
                <c:pt idx="1">
                  <c:v>82.856298506984501</c:v>
                </c:pt>
                <c:pt idx="2">
                  <c:v>92.062553896649462</c:v>
                </c:pt>
                <c:pt idx="3">
                  <c:v>101.26880928631439</c:v>
                </c:pt>
                <c:pt idx="4">
                  <c:v>110.47506467597933</c:v>
                </c:pt>
                <c:pt idx="5">
                  <c:v>119.68132006564427</c:v>
                </c:pt>
                <c:pt idx="6">
                  <c:v>128.88757545530922</c:v>
                </c:pt>
                <c:pt idx="7">
                  <c:v>138.09383084497418</c:v>
                </c:pt>
                <c:pt idx="8">
                  <c:v>147.30008623463911</c:v>
                </c:pt>
                <c:pt idx="9">
                  <c:v>156.50634162430404</c:v>
                </c:pt>
                <c:pt idx="10">
                  <c:v>165.712597013969</c:v>
                </c:pt>
                <c:pt idx="11">
                  <c:v>174.91885240363393</c:v>
                </c:pt>
                <c:pt idx="12">
                  <c:v>184.12510779329892</c:v>
                </c:pt>
                <c:pt idx="13">
                  <c:v>193.33136318296383</c:v>
                </c:pt>
                <c:pt idx="14">
                  <c:v>202.53761857262879</c:v>
                </c:pt>
                <c:pt idx="15">
                  <c:v>211.74387396229375</c:v>
                </c:pt>
                <c:pt idx="16">
                  <c:v>220.95012935195865</c:v>
                </c:pt>
                <c:pt idx="17">
                  <c:v>230.15638474162361</c:v>
                </c:pt>
                <c:pt idx="18">
                  <c:v>239.36264013128854</c:v>
                </c:pt>
                <c:pt idx="19">
                  <c:v>248.56889552095348</c:v>
                </c:pt>
                <c:pt idx="20">
                  <c:v>257.77515091061844</c:v>
                </c:pt>
              </c:numCache>
            </c:numRef>
          </c:xVal>
          <c:yVal>
            <c:numRef>
              <c:f>'Power-Torque-speed-Force'!$R$2:$R$22</c:f>
              <c:numCache>
                <c:formatCode>0.00</c:formatCode>
                <c:ptCount val="21"/>
                <c:pt idx="0">
                  <c:v>728.99346324176372</c:v>
                </c:pt>
                <c:pt idx="1">
                  <c:v>1522.7860840508592</c:v>
                </c:pt>
                <c:pt idx="2">
                  <c:v>1807.9034785114454</c:v>
                </c:pt>
                <c:pt idx="3">
                  <c:v>1935.1459520723686</c:v>
                </c:pt>
                <c:pt idx="4">
                  <c:v>1992.5817908325077</c:v>
                </c:pt>
                <c:pt idx="5">
                  <c:v>2041.181346706471</c:v>
                </c:pt>
                <c:pt idx="6">
                  <c:v>2082.8381088841543</c:v>
                </c:pt>
                <c:pt idx="7">
                  <c:v>2138.3804584543982</c:v>
                </c:pt>
                <c:pt idx="8">
                  <c:v>2205.2048477810981</c:v>
                </c:pt>
                <c:pt idx="9">
                  <c:v>2298.4731130980431</c:v>
                </c:pt>
                <c:pt idx="10">
                  <c:v>2348.9785339082405</c:v>
                </c:pt>
                <c:pt idx="11">
                  <c:v>2424.8620509746047</c:v>
                </c:pt>
                <c:pt idx="12">
                  <c:v>2434.8377492855757</c:v>
                </c:pt>
                <c:pt idx="13">
                  <c:v>2429.97779369818</c:v>
                </c:pt>
                <c:pt idx="14">
                  <c:v>2412.3052279258291</c:v>
                </c:pt>
                <c:pt idx="15">
                  <c:v>2282.0661019078557</c:v>
                </c:pt>
                <c:pt idx="16">
                  <c:v>2308.4789040132714</c:v>
                </c:pt>
                <c:pt idx="17">
                  <c:v>2239.4675346722424</c:v>
                </c:pt>
                <c:pt idx="18">
                  <c:v>2175.7647322036014</c:v>
                </c:pt>
                <c:pt idx="19">
                  <c:v>2116.7806558437478</c:v>
                </c:pt>
                <c:pt idx="20">
                  <c:v>1999.524584528788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0D3-4A65-A30B-9D9E100A33A7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'Power-Torque-speed-Force'!$L$2:$L$22</c:f>
              <c:numCache>
                <c:formatCode>0.00</c:formatCode>
                <c:ptCount val="21"/>
                <c:pt idx="0">
                  <c:v>81.231665202925981</c:v>
                </c:pt>
                <c:pt idx="1">
                  <c:v>91.385623353291749</c:v>
                </c:pt>
                <c:pt idx="2">
                  <c:v>101.53958150365749</c:v>
                </c:pt>
                <c:pt idx="3">
                  <c:v>111.69353965402325</c:v>
                </c:pt>
                <c:pt idx="4">
                  <c:v>121.84749780438898</c:v>
                </c:pt>
                <c:pt idx="5">
                  <c:v>132.00145595475473</c:v>
                </c:pt>
                <c:pt idx="6">
                  <c:v>142.15541410512049</c:v>
                </c:pt>
                <c:pt idx="7">
                  <c:v>152.30937225548624</c:v>
                </c:pt>
                <c:pt idx="8">
                  <c:v>162.46333040585196</c:v>
                </c:pt>
                <c:pt idx="9">
                  <c:v>172.61728855621772</c:v>
                </c:pt>
                <c:pt idx="10">
                  <c:v>182.7712467065835</c:v>
                </c:pt>
                <c:pt idx="11">
                  <c:v>192.92520485694922</c:v>
                </c:pt>
                <c:pt idx="12">
                  <c:v>203.07916300731497</c:v>
                </c:pt>
                <c:pt idx="13">
                  <c:v>213.23312115768073</c:v>
                </c:pt>
                <c:pt idx="14">
                  <c:v>223.38707930804651</c:v>
                </c:pt>
                <c:pt idx="15">
                  <c:v>233.54103745841223</c:v>
                </c:pt>
                <c:pt idx="16">
                  <c:v>243.69499560877796</c:v>
                </c:pt>
                <c:pt idx="17">
                  <c:v>253.84895375914377</c:v>
                </c:pt>
                <c:pt idx="18">
                  <c:v>264.00291190950946</c:v>
                </c:pt>
                <c:pt idx="19">
                  <c:v>274.1568700598753</c:v>
                </c:pt>
                <c:pt idx="20">
                  <c:v>284.31082821024097</c:v>
                </c:pt>
              </c:numCache>
            </c:numRef>
          </c:xVal>
          <c:yVal>
            <c:numRef>
              <c:f>'Power-Torque-speed-Force'!$S$2:$S$22</c:f>
              <c:numCache>
                <c:formatCode>0.00</c:formatCode>
                <c:ptCount val="21"/>
                <c:pt idx="0">
                  <c:v>660.954073339199</c:v>
                </c:pt>
                <c:pt idx="1">
                  <c:v>1380.6593828727787</c:v>
                </c:pt>
                <c:pt idx="2">
                  <c:v>1639.165820517044</c:v>
                </c:pt>
                <c:pt idx="3">
                  <c:v>1754.5323298789472</c:v>
                </c:pt>
                <c:pt idx="4">
                  <c:v>1806.6074903548065</c:v>
                </c:pt>
                <c:pt idx="5">
                  <c:v>1850.6710876805334</c:v>
                </c:pt>
                <c:pt idx="6">
                  <c:v>1888.4398853882997</c:v>
                </c:pt>
                <c:pt idx="7">
                  <c:v>1938.7982823319878</c:v>
                </c:pt>
                <c:pt idx="8">
                  <c:v>1999.3857286548621</c:v>
                </c:pt>
                <c:pt idx="9">
                  <c:v>2083.948955875559</c:v>
                </c:pt>
                <c:pt idx="10">
                  <c:v>2129.7405374101372</c:v>
                </c:pt>
                <c:pt idx="11">
                  <c:v>2198.5415928836414</c:v>
                </c:pt>
                <c:pt idx="12">
                  <c:v>2207.5862260189224</c:v>
                </c:pt>
                <c:pt idx="13">
                  <c:v>2203.1798662863494</c:v>
                </c:pt>
                <c:pt idx="14">
                  <c:v>2187.1567399860846</c:v>
                </c:pt>
                <c:pt idx="15">
                  <c:v>2069.073265729789</c:v>
                </c:pt>
                <c:pt idx="16">
                  <c:v>2093.0208729720321</c:v>
                </c:pt>
                <c:pt idx="17">
                  <c:v>2030.4505647694991</c:v>
                </c:pt>
                <c:pt idx="18">
                  <c:v>1972.6933571979316</c:v>
                </c:pt>
                <c:pt idx="19">
                  <c:v>1919.2144612983302</c:v>
                </c:pt>
                <c:pt idx="20">
                  <c:v>1812.9022899727677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0D3-4A65-A30B-9D9E100A33A7}"/>
            </c:ext>
          </c:extLst>
        </c:ser>
        <c:ser>
          <c:idx val="5"/>
          <c:order val="5"/>
          <c:tx>
            <c:v>6th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'Power-Torque-speed-Force'!$M$2:$M$22</c:f>
              <c:numCache>
                <c:formatCode>0.00</c:formatCode>
                <c:ptCount val="21"/>
                <c:pt idx="0">
                  <c:v>87.618154743018096</c:v>
                </c:pt>
                <c:pt idx="1">
                  <c:v>98.570424085895354</c:v>
                </c:pt>
                <c:pt idx="2">
                  <c:v>109.52269342877261</c:v>
                </c:pt>
                <c:pt idx="3">
                  <c:v>120.47496277164986</c:v>
                </c:pt>
                <c:pt idx="4">
                  <c:v>131.42723211452713</c:v>
                </c:pt>
                <c:pt idx="5">
                  <c:v>142.37950145740439</c:v>
                </c:pt>
                <c:pt idx="6">
                  <c:v>153.33177080028167</c:v>
                </c:pt>
                <c:pt idx="7">
                  <c:v>164.28404014315896</c:v>
                </c:pt>
                <c:pt idx="8">
                  <c:v>175.23630948603619</c:v>
                </c:pt>
                <c:pt idx="9">
                  <c:v>186.18857882891348</c:v>
                </c:pt>
                <c:pt idx="10">
                  <c:v>197.14084817179071</c:v>
                </c:pt>
                <c:pt idx="11">
                  <c:v>208.09311751466797</c:v>
                </c:pt>
                <c:pt idx="12">
                  <c:v>219.04538685754522</c:v>
                </c:pt>
                <c:pt idx="13">
                  <c:v>229.99765620042248</c:v>
                </c:pt>
                <c:pt idx="14">
                  <c:v>240.94992554329971</c:v>
                </c:pt>
                <c:pt idx="15">
                  <c:v>251.90219488617703</c:v>
                </c:pt>
                <c:pt idx="16">
                  <c:v>262.85446422905426</c:v>
                </c:pt>
                <c:pt idx="17">
                  <c:v>273.8067335719316</c:v>
                </c:pt>
                <c:pt idx="18">
                  <c:v>284.75900291480878</c:v>
                </c:pt>
                <c:pt idx="19">
                  <c:v>295.71127225768612</c:v>
                </c:pt>
                <c:pt idx="20">
                  <c:v>306.66354160056335</c:v>
                </c:pt>
              </c:numCache>
            </c:numRef>
          </c:xVal>
          <c:yVal>
            <c:numRef>
              <c:f>'Power-Torque-speed-Force'!$T$2:$T$22</c:f>
              <c:numCache>
                <c:formatCode>0.00</c:formatCode>
                <c:ptCount val="21"/>
                <c:pt idx="0">
                  <c:v>612.77711402930856</c:v>
                </c:pt>
                <c:pt idx="1">
                  <c:v>1280.0230851442004</c:v>
                </c:pt>
                <c:pt idx="2">
                  <c:v>1519.6869819371573</c:v>
                </c:pt>
                <c:pt idx="3">
                  <c:v>1626.6444234811217</c:v>
                </c:pt>
                <c:pt idx="4">
                  <c:v>1674.9238241780499</c:v>
                </c:pt>
                <c:pt idx="5">
                  <c:v>1715.7756247677585</c:v>
                </c:pt>
                <c:pt idx="6">
                  <c:v>1750.7914538446512</c:v>
                </c:pt>
                <c:pt idx="7">
                  <c:v>1797.4792259471749</c:v>
                </c:pt>
                <c:pt idx="8">
                  <c:v>1853.6504517580245</c:v>
                </c:pt>
                <c:pt idx="9">
                  <c:v>1932.049863183862</c:v>
                </c:pt>
                <c:pt idx="10">
                  <c:v>1974.5036951692452</c:v>
                </c:pt>
                <c:pt idx="11">
                  <c:v>2038.2898399496678</c:v>
                </c:pt>
                <c:pt idx="12">
                  <c:v>2046.6752095443976</c:v>
                </c:pt>
                <c:pt idx="13">
                  <c:v>2042.5900294854266</c:v>
                </c:pt>
                <c:pt idx="14">
                  <c:v>2027.7348292709873</c:v>
                </c:pt>
                <c:pt idx="15">
                  <c:v>1918.2584624732699</c:v>
                </c:pt>
                <c:pt idx="16">
                  <c:v>1940.4605280111555</c:v>
                </c:pt>
                <c:pt idx="17">
                  <c:v>1882.4509711737687</c:v>
                </c:pt>
                <c:pt idx="18">
                  <c:v>1828.9036879392593</c:v>
                </c:pt>
                <c:pt idx="19">
                  <c:v>1779.3228701295266</c:v>
                </c:pt>
                <c:pt idx="20">
                  <c:v>1680.7597956908651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0D3-4A65-A30B-9D9E100A3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5883103"/>
        <c:axId val="1392807711"/>
      </c:scatterChart>
      <c:valAx>
        <c:axId val="835883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1913779527559053"/>
              <c:y val="0.772777048702245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807711"/>
        <c:crosses val="autoZero"/>
        <c:crossBetween val="midCat"/>
      </c:valAx>
      <c:valAx>
        <c:axId val="1392807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5883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075972170883814"/>
          <c:y val="9.351728283834583E-2"/>
          <c:w val="0.85980183501965657"/>
          <c:h val="0.70431244071327126"/>
        </c:manualLayout>
      </c:layout>
      <c:lineChart>
        <c:grouping val="standard"/>
        <c:varyColors val="0"/>
        <c:ser>
          <c:idx val="0"/>
          <c:order val="0"/>
          <c:tx>
            <c:v>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'Power-Torque-speed-Force'!$A$2:$A$22</c:f>
              <c:numCache>
                <c:formatCode>General</c:formatCode>
                <c:ptCount val="21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  <c:pt idx="20">
                  <c:v>14000</c:v>
                </c:pt>
              </c:numCache>
            </c:numRef>
          </c:cat>
          <c:val>
            <c:numRef>
              <c:f>'Power-Torque-speed-Force'!$C$2:$C$22</c:f>
              <c:numCache>
                <c:formatCode>0.00</c:formatCode>
                <c:ptCount val="21"/>
                <c:pt idx="0">
                  <c:v>35.602700800000008</c:v>
                </c:pt>
                <c:pt idx="1">
                  <c:v>74.370073349870921</c:v>
                </c:pt>
                <c:pt idx="2">
                  <c:v>88.29468282814463</c:v>
                </c:pt>
                <c:pt idx="3">
                  <c:v>94.508971355638693</c:v>
                </c:pt>
                <c:pt idx="4">
                  <c:v>97.314032149299209</c:v>
                </c:pt>
                <c:pt idx="5">
                  <c:v>99.687545128550397</c:v>
                </c:pt>
                <c:pt idx="6">
                  <c:v>101.72198482505144</c:v>
                </c:pt>
                <c:pt idx="7">
                  <c:v>104.43457108705282</c:v>
                </c:pt>
                <c:pt idx="8">
                  <c:v>107.69815143352319</c:v>
                </c:pt>
                <c:pt idx="9">
                  <c:v>112.25320207752733</c:v>
                </c:pt>
                <c:pt idx="10">
                  <c:v>114.71979399714132</c:v>
                </c:pt>
                <c:pt idx="11">
                  <c:v>118.42580549105988</c:v>
                </c:pt>
                <c:pt idx="12">
                  <c:v>118.91300026048512</c:v>
                </c:pt>
                <c:pt idx="13">
                  <c:v>118.67564896256</c:v>
                </c:pt>
                <c:pt idx="14">
                  <c:v>117.81255333374138</c:v>
                </c:pt>
                <c:pt idx="15">
                  <c:v>111.4519138083172</c:v>
                </c:pt>
                <c:pt idx="16">
                  <c:v>112.741866514432</c:v>
                </c:pt>
                <c:pt idx="17">
                  <c:v>109.3714780838953</c:v>
                </c:pt>
                <c:pt idx="18">
                  <c:v>106.26035030186142</c:v>
                </c:pt>
                <c:pt idx="19">
                  <c:v>103.37967642960781</c:v>
                </c:pt>
                <c:pt idx="20">
                  <c:v>97.653105432049372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FA-4846-B760-7B000579FC7B}"/>
            </c:ext>
          </c:extLst>
        </c:ser>
        <c:ser>
          <c:idx val="1"/>
          <c:order val="1"/>
          <c:tx>
            <c:v>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'Power-Torque-speed-Force'!$A$2:$A$22</c:f>
              <c:numCache>
                <c:formatCode>General</c:formatCode>
                <c:ptCount val="21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  <c:pt idx="20">
                  <c:v>14000</c:v>
                </c:pt>
              </c:numCache>
            </c:numRef>
          </c:cat>
          <c:val>
            <c:numRef>
              <c:f>'Power-Torque-speed-Force'!$D$2:$D$22</c:f>
              <c:numCache>
                <c:formatCode>0.00</c:formatCode>
                <c:ptCount val="21"/>
                <c:pt idx="0">
                  <c:v>14.914000000000001</c:v>
                </c:pt>
                <c:pt idx="1">
                  <c:v>35.047893983999998</c:v>
                </c:pt>
                <c:pt idx="2">
                  <c:v>46.233392064</c:v>
                </c:pt>
                <c:pt idx="3">
                  <c:v>54.436090655999998</c:v>
                </c:pt>
                <c:pt idx="4">
                  <c:v>61.147389503999996</c:v>
                </c:pt>
                <c:pt idx="5">
                  <c:v>67.858688352000001</c:v>
                </c:pt>
                <c:pt idx="6">
                  <c:v>74.5699872</c:v>
                </c:pt>
                <c:pt idx="7">
                  <c:v>82.026985920000001</c:v>
                </c:pt>
                <c:pt idx="8">
                  <c:v>90.229684511999992</c:v>
                </c:pt>
                <c:pt idx="9">
                  <c:v>99.923782848000002</c:v>
                </c:pt>
                <c:pt idx="10">
                  <c:v>108.12648143999999</c:v>
                </c:pt>
                <c:pt idx="11">
                  <c:v>117.820579776</c:v>
                </c:pt>
                <c:pt idx="12">
                  <c:v>124.531878624</c:v>
                </c:pt>
                <c:pt idx="13">
                  <c:v>130.4974776</c:v>
                </c:pt>
                <c:pt idx="14">
                  <c:v>135.717376704</c:v>
                </c:pt>
                <c:pt idx="15">
                  <c:v>134.22597696</c:v>
                </c:pt>
                <c:pt idx="16">
                  <c:v>141.68297568</c:v>
                </c:pt>
                <c:pt idx="17">
                  <c:v>143.174375424</c:v>
                </c:pt>
                <c:pt idx="18">
                  <c:v>144.66577516800001</c:v>
                </c:pt>
                <c:pt idx="19">
                  <c:v>146.15717491199999</c:v>
                </c:pt>
                <c:pt idx="20">
                  <c:v>143.174375424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FA-4846-B760-7B000579FC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2641295"/>
        <c:axId val="1392641711"/>
      </c:lineChart>
      <c:catAx>
        <c:axId val="13926412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641711"/>
        <c:crosses val="autoZero"/>
        <c:auto val="1"/>
        <c:lblAlgn val="ctr"/>
        <c:lblOffset val="100"/>
        <c:noMultiLvlLbl val="0"/>
      </c:catAx>
      <c:valAx>
        <c:axId val="139264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 / Torque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6412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493104</xdr:colOff>
      <xdr:row>0</xdr:row>
      <xdr:rowOff>0</xdr:rowOff>
    </xdr:from>
    <xdr:to>
      <xdr:col>17</xdr:col>
      <xdr:colOff>295567</xdr:colOff>
      <xdr:row>4</xdr:row>
      <xdr:rowOff>43152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B5135B65-9ECF-10ED-25AB-9F19E0A52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213" b="89855" l="9916" r="89873">
                      <a14:foregroundMark x1="21097" y1="89372" x2="31224" y2="88406"/>
                      <a14:foregroundMark x1="69831" y1="87440" x2="79747" y2="87923"/>
                      <a14:foregroundMark x1="67300" y1="10628" x2="69620" y2="16908"/>
                      <a14:foregroundMark x1="72996" y1="9662" x2="72996" y2="9662"/>
                      <a14:foregroundMark x1="67722" y1="8213" x2="67722" y2="8213"/>
                      <a14:foregroundMark x1="48101" y1="19807" x2="48101" y2="19807"/>
                      <a14:foregroundMark x1="48734" y1="18357" x2="48734" y2="18357"/>
                      <a14:foregroundMark x1="50211" y1="16425" x2="50211" y2="16425"/>
                      <a14:foregroundMark x1="57173" y1="19807" x2="57173" y2="19807"/>
                      <a14:foregroundMark x1="55485" y1="17874" x2="59072" y2="21256"/>
                      <a14:foregroundMark x1="76371" y1="23671" x2="78692" y2="35266"/>
                      <a14:backgroundMark x1="79958" y1="61836" x2="79958" y2="61836"/>
                      <a14:backgroundMark x1="81646" y1="67633" x2="81646" y2="67633"/>
                      <a14:backgroundMark x1="81857" y1="74396" x2="81857" y2="74396"/>
                      <a14:backgroundMark x1="81224" y1="77778" x2="81224" y2="77778"/>
                      <a14:backgroundMark x1="79325" y1="84058" x2="79325" y2="84058"/>
                      <a14:backgroundMark x1="80169" y1="81643" x2="80169" y2="81643"/>
                      <a14:backgroundMark x1="75105" y1="86957" x2="75105" y2="86957"/>
                      <a14:backgroundMark x1="74051" y1="86957" x2="74051" y2="86957"/>
                      <a14:backgroundMark x1="72574" y1="85024" x2="72574" y2="85024"/>
                      <a14:backgroundMark x1="23629" y1="56522" x2="23629" y2="5652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4092" y="0"/>
          <a:ext cx="2248389" cy="9838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699384</xdr:colOff>
      <xdr:row>0</xdr:row>
      <xdr:rowOff>15875</xdr:rowOff>
    </xdr:from>
    <xdr:to>
      <xdr:col>16</xdr:col>
      <xdr:colOff>691444</xdr:colOff>
      <xdr:row>4</xdr:row>
      <xdr:rowOff>142050</xdr:rowOff>
    </xdr:to>
    <xdr:pic>
      <xdr:nvPicPr>
        <xdr:cNvPr id="6" name="Picture 5" descr="See the source image">
          <a:extLst>
            <a:ext uri="{FF2B5EF4-FFF2-40B4-BE49-F238E27FC236}">
              <a16:creationId xmlns:a16="http://schemas.microsoft.com/office/drawing/2014/main" id="{3295E2B4-3E53-40D8-28D4-9BD91E461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5380" b="89557" l="3797" r="94304">
                      <a14:foregroundMark x1="14557" y1="47785" x2="6329" y2="60127"/>
                      <a14:foregroundMark x1="6329" y1="60127" x2="8861" y2="77215"/>
                      <a14:foregroundMark x1="8861" y1="77215" x2="21519" y2="83544"/>
                      <a14:foregroundMark x1="21519" y1="83544" x2="23840" y2="81962"/>
                      <a14:foregroundMark x1="6329" y1="55696" x2="4852" y2="67722"/>
                      <a14:foregroundMark x1="14346" y1="51899" x2="24262" y2="66139"/>
                      <a14:foregroundMark x1="24262" y1="66139" x2="12025" y2="67089"/>
                      <a14:foregroundMark x1="25105" y1="55696" x2="21519" y2="74367"/>
                      <a14:foregroundMark x1="21519" y1="74367" x2="13924" y2="75000"/>
                      <a14:foregroundMark x1="11181" y1="33228" x2="13713" y2="31013"/>
                      <a14:foregroundMark x1="35443" y1="8228" x2="42405" y2="9177"/>
                      <a14:foregroundMark x1="40084" y1="6646" x2="35654" y2="5696"/>
                      <a14:foregroundMark x1="86498" y1="28165" x2="91772" y2="26266"/>
                      <a14:foregroundMark x1="90928" y1="29430" x2="93038" y2="31962"/>
                      <a14:foregroundMark x1="90084" y1="53797" x2="94304" y2="71519"/>
                      <a14:foregroundMark x1="94304" y1="71519" x2="90717" y2="75316"/>
                      <a14:backgroundMark x1="71097" y1="84810" x2="77426" y2="89241"/>
                      <a14:backgroundMark x1="75527" y1="87975" x2="87342" y2="87342"/>
                      <a14:backgroundMark x1="87342" y1="87342" x2="89451" y2="86076"/>
                      <a14:backgroundMark x1="64346" y1="63924" x2="65612" y2="65506"/>
                      <a14:backgroundMark x1="68354" y1="53797" x2="68354" y2="53797"/>
                      <a14:backgroundMark x1="67511" y1="49684" x2="67511" y2="49684"/>
                      <a14:backgroundMark x1="69831" y1="46519" x2="69831" y2="46519"/>
                      <a14:backgroundMark x1="71308" y1="47468" x2="71308" y2="47468"/>
                      <a14:backgroundMark x1="70464" y1="46203" x2="70464" y2="4620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2009" y="15875"/>
          <a:ext cx="1603373" cy="107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1665110</xdr:colOff>
      <xdr:row>22</xdr:row>
      <xdr:rowOff>99483</xdr:rowOff>
    </xdr:from>
    <xdr:to>
      <xdr:col>16</xdr:col>
      <xdr:colOff>1248833</xdr:colOff>
      <xdr:row>50</xdr:row>
      <xdr:rowOff>14111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D70A443-6BAF-8D1D-0504-7CC4BAD52C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56443</xdr:colOff>
      <xdr:row>22</xdr:row>
      <xdr:rowOff>92427</xdr:rowOff>
    </xdr:from>
    <xdr:to>
      <xdr:col>7</xdr:col>
      <xdr:colOff>1566332</xdr:colOff>
      <xdr:row>49</xdr:row>
      <xdr:rowOff>176389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224795-0671-73C9-5144-BD88D32A01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212725</xdr:colOff>
      <xdr:row>5</xdr:row>
      <xdr:rowOff>6350</xdr:rowOff>
    </xdr:from>
    <xdr:ext cx="269875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7B4CE74-B63F-0E80-4207-61D77A3FC3BE}"/>
                </a:ext>
              </a:extLst>
            </xdr:cNvPr>
            <xdr:cNvSpPr txBox="1"/>
          </xdr:nvSpPr>
          <xdr:spPr>
            <a:xfrm>
              <a:off x="1495425" y="742950"/>
              <a:ext cx="26987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7B4CE74-B63F-0E80-4207-61D77A3FC3BE}"/>
                </a:ext>
              </a:extLst>
            </xdr:cNvPr>
            <xdr:cNvSpPr txBox="1"/>
          </xdr:nvSpPr>
          <xdr:spPr>
            <a:xfrm>
              <a:off x="1495425" y="742950"/>
              <a:ext cx="26987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𝐶_𝑑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1"/>
  <sheetViews>
    <sheetView zoomScale="81" zoomScaleNormal="81" workbookViewId="0">
      <selection activeCell="B11" sqref="B11"/>
    </sheetView>
  </sheetViews>
  <sheetFormatPr defaultRowHeight="14.5" x14ac:dyDescent="0.35"/>
  <cols>
    <col min="1" max="1" width="15.81640625" bestFit="1" customWidth="1"/>
    <col min="2" max="2" width="11.54296875" customWidth="1"/>
    <col min="3" max="3" width="11.26953125" bestFit="1" customWidth="1"/>
    <col min="4" max="4" width="7.6328125" bestFit="1" customWidth="1"/>
    <col min="5" max="6" width="11.81640625" bestFit="1" customWidth="1"/>
    <col min="7" max="7" width="12.7265625" bestFit="1" customWidth="1"/>
    <col min="8" max="8" width="11.81640625" bestFit="1" customWidth="1"/>
    <col min="10" max="10" width="16.90625" bestFit="1" customWidth="1"/>
    <col min="11" max="11" width="12.90625" bestFit="1" customWidth="1"/>
    <col min="12" max="12" width="10.36328125" bestFit="1" customWidth="1"/>
    <col min="13" max="13" width="11.36328125" bestFit="1" customWidth="1"/>
    <col min="14" max="14" width="3.7265625" bestFit="1" customWidth="1"/>
    <col min="15" max="15" width="12.1796875" bestFit="1" customWidth="1"/>
    <col min="16" max="16" width="22.7265625" customWidth="1"/>
    <col min="17" max="17" width="12.26953125" bestFit="1" customWidth="1"/>
  </cols>
  <sheetData>
    <row r="1" spans="1:18" ht="18.5" x14ac:dyDescent="0.45">
      <c r="A1" s="24" t="s">
        <v>2</v>
      </c>
      <c r="B1" s="25" t="s">
        <v>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18.5" x14ac:dyDescent="0.45">
      <c r="A2" s="24" t="s">
        <v>3</v>
      </c>
      <c r="B2" s="25" t="s">
        <v>34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ht="18.5" x14ac:dyDescent="0.45">
      <c r="A3" s="24" t="s">
        <v>4</v>
      </c>
      <c r="B3" s="25">
        <v>2018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ht="18.5" x14ac:dyDescent="0.45">
      <c r="A4" s="24" t="s">
        <v>5</v>
      </c>
      <c r="B4" s="25">
        <v>999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6" spans="1:18" ht="21" x14ac:dyDescent="0.5">
      <c r="A6" s="87" t="s">
        <v>82</v>
      </c>
      <c r="B6" s="88"/>
      <c r="C6" s="88"/>
      <c r="D6" s="88"/>
      <c r="E6" s="88"/>
      <c r="F6" s="88"/>
      <c r="G6" s="88"/>
      <c r="H6" s="88"/>
      <c r="J6" s="101" t="s">
        <v>12</v>
      </c>
      <c r="K6" s="101"/>
      <c r="L6" s="101"/>
      <c r="M6" s="101"/>
      <c r="N6" s="101"/>
      <c r="O6" s="11"/>
      <c r="P6" s="102" t="s">
        <v>11</v>
      </c>
      <c r="Q6" s="103"/>
      <c r="R6" s="104"/>
    </row>
    <row r="7" spans="1:18" x14ac:dyDescent="0.35">
      <c r="A7" s="81" t="s">
        <v>38</v>
      </c>
      <c r="B7" s="82">
        <v>76</v>
      </c>
      <c r="C7" s="82">
        <v>46</v>
      </c>
    </row>
    <row r="8" spans="1:18" x14ac:dyDescent="0.35">
      <c r="A8" s="22" t="s">
        <v>39</v>
      </c>
      <c r="B8" s="27">
        <v>17</v>
      </c>
      <c r="C8" s="27">
        <v>45</v>
      </c>
      <c r="J8" s="23" t="s">
        <v>13</v>
      </c>
      <c r="K8" s="23" t="s">
        <v>14</v>
      </c>
      <c r="L8" s="23" t="s">
        <v>15</v>
      </c>
      <c r="M8" s="23" t="s">
        <v>19</v>
      </c>
      <c r="N8" s="23"/>
      <c r="P8" s="23" t="s">
        <v>8</v>
      </c>
    </row>
    <row r="9" spans="1:18" x14ac:dyDescent="0.35">
      <c r="A9" s="22" t="s">
        <v>40</v>
      </c>
      <c r="B9" s="28" t="s">
        <v>41</v>
      </c>
      <c r="J9" s="23" t="s">
        <v>10</v>
      </c>
      <c r="K9" s="8">
        <v>106</v>
      </c>
      <c r="L9" s="8">
        <v>99.6</v>
      </c>
      <c r="M9" s="8">
        <f>L9+K9</f>
        <v>205.6</v>
      </c>
      <c r="N9" s="14" t="s">
        <v>18</v>
      </c>
      <c r="P9" s="23" t="s">
        <v>26</v>
      </c>
      <c r="Q9" s="83">
        <f>SUM(L9*K21)/M9</f>
        <v>0.69661867704280156</v>
      </c>
      <c r="R9" s="8" t="s">
        <v>24</v>
      </c>
    </row>
    <row r="10" spans="1:18" x14ac:dyDescent="0.35">
      <c r="A10" s="22" t="s">
        <v>42</v>
      </c>
      <c r="B10" s="27">
        <v>0.64080000000000004</v>
      </c>
      <c r="J10" s="23" t="s">
        <v>16</v>
      </c>
      <c r="K10" s="8">
        <v>113.8</v>
      </c>
      <c r="L10" s="8">
        <f>117.1-K18</f>
        <v>91.199999999999989</v>
      </c>
      <c r="M10" s="8">
        <f>K10+L10</f>
        <v>205</v>
      </c>
      <c r="N10" s="14" t="s">
        <v>18</v>
      </c>
      <c r="P10" s="23" t="s">
        <v>25</v>
      </c>
      <c r="Q10" s="83">
        <f>SUM(L13*K21)/M13</f>
        <v>0.73203920131892286</v>
      </c>
      <c r="R10" s="8" t="s">
        <v>24</v>
      </c>
    </row>
    <row r="11" spans="1:18" x14ac:dyDescent="0.35">
      <c r="A11" s="22" t="s">
        <v>43</v>
      </c>
      <c r="B11" s="27">
        <v>13500</v>
      </c>
      <c r="N11" s="3"/>
      <c r="Q11" s="84"/>
    </row>
    <row r="12" spans="1:18" x14ac:dyDescent="0.35">
      <c r="A12" s="124"/>
      <c r="B12" s="107"/>
      <c r="C12" s="107"/>
      <c r="J12" s="23" t="s">
        <v>17</v>
      </c>
      <c r="K12" s="23" t="s">
        <v>14</v>
      </c>
      <c r="L12" s="23" t="s">
        <v>15</v>
      </c>
      <c r="M12" s="23" t="s">
        <v>19</v>
      </c>
      <c r="N12" s="60"/>
      <c r="Q12" s="84"/>
    </row>
    <row r="13" spans="1:18" x14ac:dyDescent="0.35">
      <c r="A13" s="16"/>
      <c r="B13" s="16" t="s">
        <v>44</v>
      </c>
      <c r="C13" s="16" t="s">
        <v>45</v>
      </c>
      <c r="D13" s="16"/>
      <c r="E13" s="16" t="s">
        <v>46</v>
      </c>
      <c r="F13" s="16" t="s">
        <v>47</v>
      </c>
      <c r="G13" s="16" t="s">
        <v>48</v>
      </c>
      <c r="H13" s="16" t="s">
        <v>49</v>
      </c>
      <c r="J13" s="23" t="s">
        <v>10</v>
      </c>
      <c r="K13" s="8">
        <v>134</v>
      </c>
      <c r="L13" s="8">
        <v>138.94999999999999</v>
      </c>
      <c r="M13" s="8">
        <f>L13+K13</f>
        <v>272.95</v>
      </c>
      <c r="N13" s="14" t="s">
        <v>18</v>
      </c>
      <c r="P13" s="23" t="s">
        <v>9</v>
      </c>
      <c r="Q13" s="84"/>
    </row>
    <row r="14" spans="1:18" x14ac:dyDescent="0.35">
      <c r="J14" s="23" t="s">
        <v>16</v>
      </c>
      <c r="K14" s="8">
        <v>149.69999999999999</v>
      </c>
      <c r="L14" s="8">
        <f>151-K18</f>
        <v>125.1</v>
      </c>
      <c r="M14" s="8">
        <f>K14+L14</f>
        <v>274.79999999999995</v>
      </c>
      <c r="N14" s="14" t="s">
        <v>18</v>
      </c>
      <c r="P14" s="23" t="s">
        <v>27</v>
      </c>
      <c r="Q14" s="83">
        <f>($K$21*($L$9-$L$10))/($M$9*(TAN($K$26)))+($K$24)</f>
        <v>0.54356453019647777</v>
      </c>
      <c r="R14" s="8" t="s">
        <v>24</v>
      </c>
    </row>
    <row r="15" spans="1:18" x14ac:dyDescent="0.35">
      <c r="A15" s="17" t="s">
        <v>50</v>
      </c>
      <c r="B15" s="18">
        <v>45</v>
      </c>
      <c r="C15" s="18">
        <v>17</v>
      </c>
      <c r="D15" s="18"/>
      <c r="E15" s="18">
        <f>(B11*60*(C15/B15)*E29*PI()*(C7/B7)/1000)*(B8/C8)</f>
        <v>140.85570746187366</v>
      </c>
      <c r="F15" s="18">
        <f>B$11</f>
        <v>13500</v>
      </c>
      <c r="P15" s="23" t="s">
        <v>25</v>
      </c>
      <c r="Q15" s="83">
        <f>($K$21*($L$13-$L$14))/($M$13*(TAN($K$26)))+($K$24)</f>
        <v>0.60004343923371695</v>
      </c>
      <c r="R15" s="8" t="s">
        <v>24</v>
      </c>
    </row>
    <row r="16" spans="1:18" x14ac:dyDescent="0.35">
      <c r="A16" s="20"/>
      <c r="G16" s="45">
        <f>F15*(C15/B15)*(B17/C17)</f>
        <v>10663.636363636364</v>
      </c>
      <c r="H16" s="46">
        <f>F15-G16</f>
        <v>2836.363636363636</v>
      </c>
    </row>
    <row r="17" spans="1:18" x14ac:dyDescent="0.35">
      <c r="A17" s="17" t="s">
        <v>51</v>
      </c>
      <c r="B17" s="18">
        <v>46</v>
      </c>
      <c r="C17" s="18">
        <v>22</v>
      </c>
      <c r="D17" s="18"/>
      <c r="E17" s="18">
        <f>(B11*60*(C17/B17)*E29*PI()*(C7/B7)/1000)*(B8/C8)</f>
        <v>178.32116417807532</v>
      </c>
      <c r="F17" s="18">
        <f>B$11</f>
        <v>13500</v>
      </c>
    </row>
    <row r="18" spans="1:18" x14ac:dyDescent="0.35">
      <c r="A18" s="20"/>
      <c r="G18" s="45">
        <f>F17*(C17/B17)*(B19/C19)</f>
        <v>11152.173913043478</v>
      </c>
      <c r="H18" s="46">
        <f>F17-G18</f>
        <v>2347.826086956522</v>
      </c>
      <c r="J18" s="23" t="s">
        <v>29</v>
      </c>
      <c r="K18" s="8">
        <v>25.9</v>
      </c>
      <c r="L18" s="14" t="s">
        <v>18</v>
      </c>
      <c r="P18" s="23" t="s">
        <v>31</v>
      </c>
      <c r="Q18" s="23" t="s">
        <v>32</v>
      </c>
    </row>
    <row r="19" spans="1:18" x14ac:dyDescent="0.35">
      <c r="A19" s="17" t="s">
        <v>52</v>
      </c>
      <c r="B19" s="18">
        <v>38</v>
      </c>
      <c r="C19" s="18">
        <v>22</v>
      </c>
      <c r="D19" s="18"/>
      <c r="E19" s="18">
        <f>(B11*60*(C19/B19)*E29*PI()*(C7/B7)/1000)*(B8/C8)</f>
        <v>215.86246189977544</v>
      </c>
      <c r="F19" s="18">
        <f>B$11</f>
        <v>13500</v>
      </c>
      <c r="J19" s="23" t="s">
        <v>30</v>
      </c>
      <c r="K19" s="8">
        <v>67.599999999999994</v>
      </c>
      <c r="L19" s="14" t="s">
        <v>18</v>
      </c>
      <c r="O19" s="61" t="s">
        <v>13</v>
      </c>
      <c r="P19" s="49">
        <f>SUM(($K$21-Q9)/$K$21)</f>
        <v>0.51556420233463029</v>
      </c>
      <c r="Q19" s="49">
        <f>SUM(Q9/$K$21)</f>
        <v>0.48443579766536965</v>
      </c>
    </row>
    <row r="20" spans="1:18" x14ac:dyDescent="0.35">
      <c r="A20" s="20"/>
      <c r="G20" s="45">
        <f>F19*(C19/B19)*(B21/C21)</f>
        <v>11723.684210526317</v>
      </c>
      <c r="H20" s="46">
        <f>F19-G20</f>
        <v>1776.3157894736833</v>
      </c>
      <c r="J20" s="23" t="s">
        <v>28</v>
      </c>
      <c r="K20" s="8">
        <v>0.35099999999999998</v>
      </c>
      <c r="L20" s="14" t="s">
        <v>24</v>
      </c>
      <c r="O20" s="23" t="s">
        <v>33</v>
      </c>
      <c r="P20" s="49">
        <f>SUM($K$21-Q10)/$K$21</f>
        <v>0.49093240520241804</v>
      </c>
      <c r="Q20" s="49">
        <f>SUM(Q10/$K$21)</f>
        <v>0.50906759479758201</v>
      </c>
    </row>
    <row r="21" spans="1:18" x14ac:dyDescent="0.35">
      <c r="A21" s="17" t="s">
        <v>53</v>
      </c>
      <c r="B21" s="18">
        <v>33</v>
      </c>
      <c r="C21" s="18">
        <v>22</v>
      </c>
      <c r="D21" s="18"/>
      <c r="E21" s="18">
        <f>(B11*60*(C21/B21)*E29*PI()*(C7/B7)/1000)*(B8/C8)</f>
        <v>248.56889552095348</v>
      </c>
      <c r="F21" s="18">
        <f>B$11</f>
        <v>13500</v>
      </c>
      <c r="J21" s="23" t="s">
        <v>20</v>
      </c>
      <c r="K21" s="8">
        <v>1.4379999999999999</v>
      </c>
      <c r="L21" s="14" t="s">
        <v>24</v>
      </c>
    </row>
    <row r="22" spans="1:18" x14ac:dyDescent="0.35">
      <c r="A22" s="20"/>
      <c r="G22" s="45">
        <f>F21*(C21/B21)*(B23/C23)</f>
        <v>12240</v>
      </c>
      <c r="H22" s="46">
        <f>F21-G22</f>
        <v>1260</v>
      </c>
      <c r="J22" s="23" t="s">
        <v>23</v>
      </c>
      <c r="K22" s="8">
        <f>SUM(E30)/2</f>
        <v>0.29990000000000006</v>
      </c>
      <c r="L22" s="14" t="s">
        <v>24</v>
      </c>
    </row>
    <row r="23" spans="1:18" x14ac:dyDescent="0.35">
      <c r="A23" s="17" t="s">
        <v>54</v>
      </c>
      <c r="B23" s="18">
        <v>34</v>
      </c>
      <c r="C23" s="18">
        <v>25</v>
      </c>
      <c r="D23" s="18"/>
      <c r="E23" s="18">
        <f>(B11*60*(C23/B23)*E29*PI()*(C7/B7)/1000)*(B8/C8)</f>
        <v>274.15687005987525</v>
      </c>
      <c r="F23" s="18">
        <f>B$11</f>
        <v>13500</v>
      </c>
      <c r="J23" s="23" t="s">
        <v>22</v>
      </c>
      <c r="K23" s="8">
        <f>SUM(E29)/2</f>
        <v>0.32040000000000002</v>
      </c>
      <c r="L23" s="14" t="s">
        <v>24</v>
      </c>
      <c r="P23" s="105" t="s">
        <v>77</v>
      </c>
      <c r="Q23" s="105"/>
      <c r="R23" s="105"/>
    </row>
    <row r="24" spans="1:18" x14ac:dyDescent="0.35">
      <c r="A24" s="20"/>
      <c r="G24" s="45">
        <f>F23*(C23/B23)*(B25/C25)</f>
        <v>12515.984654731459</v>
      </c>
      <c r="H24" s="46">
        <f>F23-G24</f>
        <v>984.01534526854084</v>
      </c>
      <c r="J24" s="23" t="s">
        <v>21</v>
      </c>
      <c r="K24" s="9">
        <f>AVERAGE(K22:K23)</f>
        <v>0.31015000000000004</v>
      </c>
      <c r="L24" s="14" t="s">
        <v>24</v>
      </c>
      <c r="P24" s="106"/>
      <c r="Q24" s="106"/>
      <c r="R24" s="106"/>
    </row>
    <row r="25" spans="1:18" x14ac:dyDescent="0.35">
      <c r="A25" s="17" t="s">
        <v>55</v>
      </c>
      <c r="B25" s="18">
        <v>29</v>
      </c>
      <c r="C25" s="18">
        <v>23</v>
      </c>
      <c r="D25" s="18"/>
      <c r="E25" s="18">
        <f>(B11*60*(C25/B25)*E29*PI()*(C7/B7)/1000)*(B8/C8)</f>
        <v>295.71127225768612</v>
      </c>
      <c r="F25" s="18">
        <f>B$11</f>
        <v>13500</v>
      </c>
      <c r="J25" s="56" t="s">
        <v>37</v>
      </c>
      <c r="K25" s="48">
        <f>DEGREES(ASIN(K20/K21))</f>
        <v>14.128003601726668</v>
      </c>
      <c r="L25" s="12" t="s">
        <v>36</v>
      </c>
      <c r="P25" s="23" t="s">
        <v>121</v>
      </c>
      <c r="Q25" s="8">
        <f>5/8</f>
        <v>0.625</v>
      </c>
      <c r="R25" s="8"/>
    </row>
    <row r="26" spans="1:18" x14ac:dyDescent="0.35">
      <c r="J26" s="23" t="s">
        <v>37</v>
      </c>
      <c r="K26" s="47">
        <f>RADIANS(K25)</f>
        <v>0.246580179583748</v>
      </c>
      <c r="L26" s="12" t="s">
        <v>35</v>
      </c>
      <c r="P26" s="23" t="s">
        <v>79</v>
      </c>
      <c r="Q26" s="8">
        <v>17</v>
      </c>
      <c r="R26" s="8"/>
    </row>
    <row r="27" spans="1:18" x14ac:dyDescent="0.35">
      <c r="J27" s="57"/>
      <c r="K27" s="58"/>
      <c r="L27" s="59"/>
      <c r="P27" s="23" t="s">
        <v>80</v>
      </c>
      <c r="Q27" s="8">
        <v>45</v>
      </c>
      <c r="R27" s="8"/>
    </row>
    <row r="28" spans="1:18" x14ac:dyDescent="0.35">
      <c r="A28" s="26"/>
      <c r="B28" s="22" t="s">
        <v>56</v>
      </c>
      <c r="C28" s="22" t="s">
        <v>57</v>
      </c>
      <c r="D28" s="22" t="s">
        <v>58</v>
      </c>
      <c r="E28" s="22" t="s">
        <v>59</v>
      </c>
      <c r="F28" s="22" t="s">
        <v>60</v>
      </c>
      <c r="P28" s="23" t="s">
        <v>120</v>
      </c>
      <c r="Q28" s="8">
        <v>120</v>
      </c>
      <c r="R28" s="8"/>
    </row>
    <row r="29" spans="1:18" ht="15" customHeight="1" x14ac:dyDescent="0.35">
      <c r="A29" s="22" t="s">
        <v>61</v>
      </c>
      <c r="B29" s="8">
        <v>190</v>
      </c>
      <c r="C29" s="8">
        <v>55</v>
      </c>
      <c r="D29" s="8">
        <v>17</v>
      </c>
      <c r="E29" s="8">
        <f>((((((B29/25.4)*(C29/100)+(D29/2))*2)*PI())*25.4)/PI())/1000</f>
        <v>0.64080000000000004</v>
      </c>
      <c r="F29" s="8">
        <f>2*PI()*E29/2</f>
        <v>2.0131325724203397</v>
      </c>
      <c r="P29" s="50" t="s">
        <v>117</v>
      </c>
      <c r="Q29" s="9">
        <v>99</v>
      </c>
      <c r="R29" s="8" t="s">
        <v>86</v>
      </c>
    </row>
    <row r="30" spans="1:18" x14ac:dyDescent="0.35">
      <c r="A30" s="22" t="s">
        <v>83</v>
      </c>
      <c r="B30" s="8">
        <v>120</v>
      </c>
      <c r="C30" s="8">
        <v>70</v>
      </c>
      <c r="D30" s="8">
        <v>17</v>
      </c>
      <c r="E30" s="8">
        <f>((((((B30/25.4)*(C30/100)+(D30/2))*2)*PI())*25.4)/PI())/1000</f>
        <v>0.59980000000000011</v>
      </c>
      <c r="F30" s="8">
        <f>2*PI()*E30/2</f>
        <v>1.8843272736231582</v>
      </c>
      <c r="J30" s="100" t="s">
        <v>87</v>
      </c>
      <c r="K30" s="100"/>
      <c r="L30" s="100"/>
      <c r="P30" s="23" t="s">
        <v>81</v>
      </c>
      <c r="Q30" s="9">
        <v>605</v>
      </c>
      <c r="R30" s="8" t="s">
        <v>86</v>
      </c>
    </row>
    <row r="31" spans="1:18" x14ac:dyDescent="0.35">
      <c r="A31" s="19">
        <v>0</v>
      </c>
      <c r="J31" s="56" t="s">
        <v>85</v>
      </c>
      <c r="K31" s="51">
        <v>32</v>
      </c>
      <c r="L31" s="51" t="s">
        <v>86</v>
      </c>
      <c r="P31" s="8"/>
      <c r="Q31" s="8"/>
      <c r="R31" s="8"/>
    </row>
    <row r="32" spans="1:18" x14ac:dyDescent="0.35">
      <c r="A32" s="19">
        <f t="shared" ref="A32:A63" si="0">A31+100</f>
        <v>100</v>
      </c>
      <c r="J32" s="56" t="s">
        <v>88</v>
      </c>
      <c r="K32" s="51">
        <v>23.6</v>
      </c>
      <c r="L32" s="55" t="s">
        <v>36</v>
      </c>
      <c r="M32" s="8">
        <f>RADIANS(K32)</f>
        <v>0.41189770347066179</v>
      </c>
      <c r="N32" s="8" t="s">
        <v>118</v>
      </c>
      <c r="P32" s="23" t="s">
        <v>119</v>
      </c>
      <c r="Q32" s="83">
        <f>(0.5*(Q28-0.5*(Q26+Q27))*25.4*Q25-Q29)</f>
        <v>607.4375</v>
      </c>
      <c r="R32" s="8" t="s">
        <v>86</v>
      </c>
    </row>
    <row r="33" spans="1:12" x14ac:dyDescent="0.35">
      <c r="A33" s="19">
        <f t="shared" si="0"/>
        <v>200</v>
      </c>
      <c r="J33" s="56" t="s">
        <v>89</v>
      </c>
      <c r="K33" s="51">
        <f>SUM(E30/2)*1000</f>
        <v>299.90000000000003</v>
      </c>
      <c r="L33" s="51" t="s">
        <v>86</v>
      </c>
    </row>
    <row r="34" spans="1:12" x14ac:dyDescent="0.35">
      <c r="A34" s="19">
        <f t="shared" si="0"/>
        <v>300</v>
      </c>
      <c r="J34" s="56" t="s">
        <v>90</v>
      </c>
      <c r="K34" s="86">
        <f>(K33*SIN(M32)-K31)/COS(M32)</f>
        <v>96.102418859704869</v>
      </c>
      <c r="L34" s="51" t="s">
        <v>86</v>
      </c>
    </row>
    <row r="35" spans="1:12" x14ac:dyDescent="0.35">
      <c r="A35" s="19">
        <f t="shared" si="0"/>
        <v>400</v>
      </c>
    </row>
    <row r="36" spans="1:12" x14ac:dyDescent="0.35">
      <c r="A36" s="19">
        <f t="shared" si="0"/>
        <v>500</v>
      </c>
    </row>
    <row r="37" spans="1:12" x14ac:dyDescent="0.35">
      <c r="A37" s="19">
        <f t="shared" si="0"/>
        <v>600</v>
      </c>
    </row>
    <row r="38" spans="1:12" x14ac:dyDescent="0.35">
      <c r="A38" s="19">
        <f t="shared" si="0"/>
        <v>700</v>
      </c>
    </row>
    <row r="39" spans="1:12" x14ac:dyDescent="0.35">
      <c r="A39" s="19">
        <f t="shared" si="0"/>
        <v>800</v>
      </c>
    </row>
    <row r="40" spans="1:12" x14ac:dyDescent="0.35">
      <c r="A40" s="19">
        <f t="shared" si="0"/>
        <v>900</v>
      </c>
    </row>
    <row r="41" spans="1:12" x14ac:dyDescent="0.35">
      <c r="A41" s="19">
        <f t="shared" si="0"/>
        <v>1000</v>
      </c>
    </row>
    <row r="42" spans="1:12" x14ac:dyDescent="0.35">
      <c r="A42" s="19">
        <f t="shared" si="0"/>
        <v>1100</v>
      </c>
    </row>
    <row r="43" spans="1:12" x14ac:dyDescent="0.35">
      <c r="A43" s="19">
        <f t="shared" si="0"/>
        <v>1200</v>
      </c>
    </row>
    <row r="44" spans="1:12" x14ac:dyDescent="0.35">
      <c r="A44" s="19">
        <f t="shared" si="0"/>
        <v>1300</v>
      </c>
    </row>
    <row r="45" spans="1:12" x14ac:dyDescent="0.35">
      <c r="A45" s="19">
        <f t="shared" si="0"/>
        <v>1400</v>
      </c>
    </row>
    <row r="46" spans="1:12" x14ac:dyDescent="0.35">
      <c r="A46" s="19">
        <f t="shared" si="0"/>
        <v>1500</v>
      </c>
    </row>
    <row r="47" spans="1:12" x14ac:dyDescent="0.35">
      <c r="A47" s="19">
        <f t="shared" si="0"/>
        <v>1600</v>
      </c>
    </row>
    <row r="48" spans="1:12" x14ac:dyDescent="0.35">
      <c r="A48" s="19">
        <f t="shared" si="0"/>
        <v>1700</v>
      </c>
    </row>
    <row r="49" spans="1:1" x14ac:dyDescent="0.35">
      <c r="A49" s="19">
        <f t="shared" si="0"/>
        <v>1800</v>
      </c>
    </row>
    <row r="50" spans="1:1" x14ac:dyDescent="0.35">
      <c r="A50" s="19">
        <f t="shared" si="0"/>
        <v>1900</v>
      </c>
    </row>
    <row r="51" spans="1:1" x14ac:dyDescent="0.35">
      <c r="A51" s="19">
        <f t="shared" si="0"/>
        <v>2000</v>
      </c>
    </row>
    <row r="52" spans="1:1" x14ac:dyDescent="0.35">
      <c r="A52" s="19">
        <f t="shared" si="0"/>
        <v>2100</v>
      </c>
    </row>
    <row r="53" spans="1:1" x14ac:dyDescent="0.35">
      <c r="A53" s="19">
        <f t="shared" si="0"/>
        <v>2200</v>
      </c>
    </row>
    <row r="54" spans="1:1" x14ac:dyDescent="0.35">
      <c r="A54" s="19">
        <f t="shared" si="0"/>
        <v>2300</v>
      </c>
    </row>
    <row r="55" spans="1:1" x14ac:dyDescent="0.35">
      <c r="A55" s="19">
        <f t="shared" si="0"/>
        <v>2400</v>
      </c>
    </row>
    <row r="56" spans="1:1" x14ac:dyDescent="0.35">
      <c r="A56" s="19">
        <f t="shared" si="0"/>
        <v>2500</v>
      </c>
    </row>
    <row r="57" spans="1:1" x14ac:dyDescent="0.35">
      <c r="A57" s="19">
        <f t="shared" si="0"/>
        <v>2600</v>
      </c>
    </row>
    <row r="58" spans="1:1" x14ac:dyDescent="0.35">
      <c r="A58" s="19">
        <f t="shared" si="0"/>
        <v>2700</v>
      </c>
    </row>
    <row r="59" spans="1:1" x14ac:dyDescent="0.35">
      <c r="A59" s="19">
        <f t="shared" si="0"/>
        <v>2800</v>
      </c>
    </row>
    <row r="60" spans="1:1" x14ac:dyDescent="0.35">
      <c r="A60" s="19">
        <f t="shared" si="0"/>
        <v>2900</v>
      </c>
    </row>
    <row r="61" spans="1:1" x14ac:dyDescent="0.35">
      <c r="A61" s="19">
        <f t="shared" si="0"/>
        <v>3000</v>
      </c>
    </row>
    <row r="62" spans="1:1" x14ac:dyDescent="0.35">
      <c r="A62" s="19">
        <f t="shared" si="0"/>
        <v>3100</v>
      </c>
    </row>
    <row r="63" spans="1:1" x14ac:dyDescent="0.35">
      <c r="A63" s="19">
        <f t="shared" si="0"/>
        <v>3200</v>
      </c>
    </row>
    <row r="64" spans="1:1" x14ac:dyDescent="0.35">
      <c r="A64" s="19">
        <f t="shared" ref="A64:A96" si="1">A63+100</f>
        <v>3300</v>
      </c>
    </row>
    <row r="65" spans="1:1" x14ac:dyDescent="0.35">
      <c r="A65" s="19">
        <f t="shared" si="1"/>
        <v>3400</v>
      </c>
    </row>
    <row r="66" spans="1:1" x14ac:dyDescent="0.35">
      <c r="A66" s="19">
        <f t="shared" si="1"/>
        <v>3500</v>
      </c>
    </row>
    <row r="67" spans="1:1" x14ac:dyDescent="0.35">
      <c r="A67" s="19">
        <f t="shared" si="1"/>
        <v>3600</v>
      </c>
    </row>
    <row r="68" spans="1:1" x14ac:dyDescent="0.35">
      <c r="A68" s="19">
        <f t="shared" si="1"/>
        <v>3700</v>
      </c>
    </row>
    <row r="69" spans="1:1" x14ac:dyDescent="0.35">
      <c r="A69" s="19">
        <f t="shared" si="1"/>
        <v>3800</v>
      </c>
    </row>
    <row r="70" spans="1:1" x14ac:dyDescent="0.35">
      <c r="A70" s="19">
        <f t="shared" si="1"/>
        <v>3900</v>
      </c>
    </row>
    <row r="71" spans="1:1" x14ac:dyDescent="0.35">
      <c r="A71" s="19">
        <f t="shared" si="1"/>
        <v>4000</v>
      </c>
    </row>
    <row r="72" spans="1:1" x14ac:dyDescent="0.35">
      <c r="A72" s="19">
        <f t="shared" si="1"/>
        <v>4100</v>
      </c>
    </row>
    <row r="73" spans="1:1" x14ac:dyDescent="0.35">
      <c r="A73" s="19">
        <f t="shared" si="1"/>
        <v>4200</v>
      </c>
    </row>
    <row r="74" spans="1:1" x14ac:dyDescent="0.35">
      <c r="A74" s="19">
        <f t="shared" si="1"/>
        <v>4300</v>
      </c>
    </row>
    <row r="75" spans="1:1" x14ac:dyDescent="0.35">
      <c r="A75" s="19">
        <f t="shared" si="1"/>
        <v>4400</v>
      </c>
    </row>
    <row r="76" spans="1:1" x14ac:dyDescent="0.35">
      <c r="A76" s="19">
        <f t="shared" si="1"/>
        <v>4500</v>
      </c>
    </row>
    <row r="77" spans="1:1" x14ac:dyDescent="0.35">
      <c r="A77" s="19">
        <f t="shared" si="1"/>
        <v>4600</v>
      </c>
    </row>
    <row r="78" spans="1:1" x14ac:dyDescent="0.35">
      <c r="A78" s="19">
        <f t="shared" si="1"/>
        <v>4700</v>
      </c>
    </row>
    <row r="79" spans="1:1" x14ac:dyDescent="0.35">
      <c r="A79" s="19">
        <f t="shared" si="1"/>
        <v>4800</v>
      </c>
    </row>
    <row r="80" spans="1:1" x14ac:dyDescent="0.35">
      <c r="A80" s="19">
        <f t="shared" si="1"/>
        <v>4900</v>
      </c>
    </row>
    <row r="81" spans="1:1" x14ac:dyDescent="0.35">
      <c r="A81" s="19">
        <f t="shared" si="1"/>
        <v>5000</v>
      </c>
    </row>
    <row r="82" spans="1:1" x14ac:dyDescent="0.35">
      <c r="A82" s="19">
        <f t="shared" si="1"/>
        <v>5100</v>
      </c>
    </row>
    <row r="83" spans="1:1" x14ac:dyDescent="0.35">
      <c r="A83" s="19">
        <f t="shared" si="1"/>
        <v>5200</v>
      </c>
    </row>
    <row r="84" spans="1:1" x14ac:dyDescent="0.35">
      <c r="A84" s="19">
        <f t="shared" si="1"/>
        <v>5300</v>
      </c>
    </row>
    <row r="85" spans="1:1" x14ac:dyDescent="0.35">
      <c r="A85" s="19">
        <f t="shared" si="1"/>
        <v>5400</v>
      </c>
    </row>
    <row r="86" spans="1:1" x14ac:dyDescent="0.35">
      <c r="A86" s="19">
        <f t="shared" si="1"/>
        <v>5500</v>
      </c>
    </row>
    <row r="87" spans="1:1" x14ac:dyDescent="0.35">
      <c r="A87" s="19">
        <f t="shared" si="1"/>
        <v>5600</v>
      </c>
    </row>
    <row r="88" spans="1:1" x14ac:dyDescent="0.35">
      <c r="A88" s="19">
        <f t="shared" si="1"/>
        <v>5700</v>
      </c>
    </row>
    <row r="89" spans="1:1" x14ac:dyDescent="0.35">
      <c r="A89" s="19">
        <f t="shared" si="1"/>
        <v>5800</v>
      </c>
    </row>
    <row r="90" spans="1:1" x14ac:dyDescent="0.35">
      <c r="A90" s="19">
        <f t="shared" si="1"/>
        <v>5900</v>
      </c>
    </row>
    <row r="91" spans="1:1" x14ac:dyDescent="0.35">
      <c r="A91" s="19">
        <f t="shared" si="1"/>
        <v>6000</v>
      </c>
    </row>
    <row r="92" spans="1:1" x14ac:dyDescent="0.35">
      <c r="A92" s="19">
        <f t="shared" si="1"/>
        <v>6100</v>
      </c>
    </row>
    <row r="93" spans="1:1" x14ac:dyDescent="0.35">
      <c r="A93" s="19">
        <f t="shared" si="1"/>
        <v>6200</v>
      </c>
    </row>
    <row r="94" spans="1:1" x14ac:dyDescent="0.35">
      <c r="A94" s="19">
        <f t="shared" si="1"/>
        <v>6300</v>
      </c>
    </row>
    <row r="95" spans="1:1" x14ac:dyDescent="0.35">
      <c r="A95" s="19">
        <f t="shared" si="1"/>
        <v>6400</v>
      </c>
    </row>
    <row r="96" spans="1:1" x14ac:dyDescent="0.35">
      <c r="A96" s="19">
        <f t="shared" si="1"/>
        <v>6500</v>
      </c>
    </row>
    <row r="97" spans="1:1" x14ac:dyDescent="0.35">
      <c r="A97" s="19">
        <f t="shared" ref="A97:A160" si="2">A96+100</f>
        <v>6600</v>
      </c>
    </row>
    <row r="98" spans="1:1" x14ac:dyDescent="0.35">
      <c r="A98" s="19">
        <f t="shared" si="2"/>
        <v>6700</v>
      </c>
    </row>
    <row r="99" spans="1:1" x14ac:dyDescent="0.35">
      <c r="A99" s="19">
        <f t="shared" si="2"/>
        <v>6800</v>
      </c>
    </row>
    <row r="100" spans="1:1" x14ac:dyDescent="0.35">
      <c r="A100" s="19">
        <f t="shared" si="2"/>
        <v>6900</v>
      </c>
    </row>
    <row r="101" spans="1:1" x14ac:dyDescent="0.35">
      <c r="A101" s="19">
        <f t="shared" si="2"/>
        <v>7000</v>
      </c>
    </row>
    <row r="102" spans="1:1" x14ac:dyDescent="0.35">
      <c r="A102" s="19">
        <f t="shared" si="2"/>
        <v>7100</v>
      </c>
    </row>
    <row r="103" spans="1:1" x14ac:dyDescent="0.35">
      <c r="A103" s="19">
        <f t="shared" si="2"/>
        <v>7200</v>
      </c>
    </row>
    <row r="104" spans="1:1" x14ac:dyDescent="0.35">
      <c r="A104" s="19">
        <f t="shared" si="2"/>
        <v>7300</v>
      </c>
    </row>
    <row r="105" spans="1:1" x14ac:dyDescent="0.35">
      <c r="A105" s="19">
        <f t="shared" si="2"/>
        <v>7400</v>
      </c>
    </row>
    <row r="106" spans="1:1" x14ac:dyDescent="0.35">
      <c r="A106" s="19">
        <f t="shared" si="2"/>
        <v>7500</v>
      </c>
    </row>
    <row r="107" spans="1:1" x14ac:dyDescent="0.35">
      <c r="A107" s="19">
        <f t="shared" si="2"/>
        <v>7600</v>
      </c>
    </row>
    <row r="108" spans="1:1" x14ac:dyDescent="0.35">
      <c r="A108" s="19">
        <f t="shared" si="2"/>
        <v>7700</v>
      </c>
    </row>
    <row r="109" spans="1:1" x14ac:dyDescent="0.35">
      <c r="A109" s="19">
        <f t="shared" si="2"/>
        <v>7800</v>
      </c>
    </row>
    <row r="110" spans="1:1" x14ac:dyDescent="0.35">
      <c r="A110" s="19">
        <f t="shared" si="2"/>
        <v>7900</v>
      </c>
    </row>
    <row r="111" spans="1:1" x14ac:dyDescent="0.35">
      <c r="A111" s="19">
        <f t="shared" si="2"/>
        <v>8000</v>
      </c>
    </row>
    <row r="112" spans="1:1" x14ac:dyDescent="0.35">
      <c r="A112" s="19">
        <f t="shared" si="2"/>
        <v>8100</v>
      </c>
    </row>
    <row r="113" spans="1:1" x14ac:dyDescent="0.35">
      <c r="A113" s="19">
        <f t="shared" si="2"/>
        <v>8200</v>
      </c>
    </row>
    <row r="114" spans="1:1" x14ac:dyDescent="0.35">
      <c r="A114" s="19">
        <f t="shared" si="2"/>
        <v>8300</v>
      </c>
    </row>
    <row r="115" spans="1:1" x14ac:dyDescent="0.35">
      <c r="A115" s="19">
        <f t="shared" si="2"/>
        <v>8400</v>
      </c>
    </row>
    <row r="116" spans="1:1" x14ac:dyDescent="0.35">
      <c r="A116" s="19">
        <f t="shared" si="2"/>
        <v>8500</v>
      </c>
    </row>
    <row r="117" spans="1:1" x14ac:dyDescent="0.35">
      <c r="A117" s="19">
        <f t="shared" si="2"/>
        <v>8600</v>
      </c>
    </row>
    <row r="118" spans="1:1" x14ac:dyDescent="0.35">
      <c r="A118" s="19">
        <f t="shared" si="2"/>
        <v>8700</v>
      </c>
    </row>
    <row r="119" spans="1:1" x14ac:dyDescent="0.35">
      <c r="A119" s="19">
        <f t="shared" si="2"/>
        <v>8800</v>
      </c>
    </row>
    <row r="120" spans="1:1" x14ac:dyDescent="0.35">
      <c r="A120" s="19">
        <f t="shared" si="2"/>
        <v>8900</v>
      </c>
    </row>
    <row r="121" spans="1:1" x14ac:dyDescent="0.35">
      <c r="A121" s="19">
        <f t="shared" si="2"/>
        <v>9000</v>
      </c>
    </row>
    <row r="122" spans="1:1" x14ac:dyDescent="0.35">
      <c r="A122" s="19">
        <f t="shared" si="2"/>
        <v>9100</v>
      </c>
    </row>
    <row r="123" spans="1:1" x14ac:dyDescent="0.35">
      <c r="A123" s="19">
        <f t="shared" si="2"/>
        <v>9200</v>
      </c>
    </row>
    <row r="124" spans="1:1" x14ac:dyDescent="0.35">
      <c r="A124" s="19">
        <f t="shared" si="2"/>
        <v>9300</v>
      </c>
    </row>
    <row r="125" spans="1:1" x14ac:dyDescent="0.35">
      <c r="A125" s="19">
        <f t="shared" si="2"/>
        <v>9400</v>
      </c>
    </row>
    <row r="126" spans="1:1" x14ac:dyDescent="0.35">
      <c r="A126" s="19">
        <f t="shared" si="2"/>
        <v>9500</v>
      </c>
    </row>
    <row r="127" spans="1:1" x14ac:dyDescent="0.35">
      <c r="A127" s="19">
        <f t="shared" si="2"/>
        <v>9600</v>
      </c>
    </row>
    <row r="128" spans="1:1" x14ac:dyDescent="0.35">
      <c r="A128" s="19">
        <f t="shared" si="2"/>
        <v>9700</v>
      </c>
    </row>
    <row r="129" spans="1:1" x14ac:dyDescent="0.35">
      <c r="A129" s="19">
        <f t="shared" si="2"/>
        <v>9800</v>
      </c>
    </row>
    <row r="130" spans="1:1" x14ac:dyDescent="0.35">
      <c r="A130" s="19">
        <f t="shared" si="2"/>
        <v>9900</v>
      </c>
    </row>
    <row r="131" spans="1:1" x14ac:dyDescent="0.35">
      <c r="A131" s="19">
        <f t="shared" si="2"/>
        <v>10000</v>
      </c>
    </row>
    <row r="132" spans="1:1" x14ac:dyDescent="0.35">
      <c r="A132" s="19">
        <f t="shared" si="2"/>
        <v>10100</v>
      </c>
    </row>
    <row r="133" spans="1:1" x14ac:dyDescent="0.35">
      <c r="A133" s="19">
        <f t="shared" si="2"/>
        <v>10200</v>
      </c>
    </row>
    <row r="134" spans="1:1" x14ac:dyDescent="0.35">
      <c r="A134" s="19">
        <f t="shared" si="2"/>
        <v>10300</v>
      </c>
    </row>
    <row r="135" spans="1:1" x14ac:dyDescent="0.35">
      <c r="A135" s="19">
        <f t="shared" si="2"/>
        <v>10400</v>
      </c>
    </row>
    <row r="136" spans="1:1" x14ac:dyDescent="0.35">
      <c r="A136" s="19">
        <f t="shared" si="2"/>
        <v>10500</v>
      </c>
    </row>
    <row r="137" spans="1:1" x14ac:dyDescent="0.35">
      <c r="A137" s="19">
        <f t="shared" si="2"/>
        <v>10600</v>
      </c>
    </row>
    <row r="138" spans="1:1" x14ac:dyDescent="0.35">
      <c r="A138" s="19">
        <f t="shared" si="2"/>
        <v>10700</v>
      </c>
    </row>
    <row r="139" spans="1:1" x14ac:dyDescent="0.35">
      <c r="A139" s="19">
        <f t="shared" si="2"/>
        <v>10800</v>
      </c>
    </row>
    <row r="140" spans="1:1" x14ac:dyDescent="0.35">
      <c r="A140" s="19">
        <f t="shared" si="2"/>
        <v>10900</v>
      </c>
    </row>
    <row r="141" spans="1:1" x14ac:dyDescent="0.35">
      <c r="A141" s="19">
        <f t="shared" si="2"/>
        <v>11000</v>
      </c>
    </row>
    <row r="142" spans="1:1" x14ac:dyDescent="0.35">
      <c r="A142" s="19">
        <f t="shared" si="2"/>
        <v>11100</v>
      </c>
    </row>
    <row r="143" spans="1:1" x14ac:dyDescent="0.35">
      <c r="A143" s="19">
        <f t="shared" si="2"/>
        <v>11200</v>
      </c>
    </row>
    <row r="144" spans="1:1" x14ac:dyDescent="0.35">
      <c r="A144" s="19">
        <f t="shared" si="2"/>
        <v>11300</v>
      </c>
    </row>
    <row r="145" spans="1:1" x14ac:dyDescent="0.35">
      <c r="A145" s="19">
        <f t="shared" si="2"/>
        <v>11400</v>
      </c>
    </row>
    <row r="146" spans="1:1" x14ac:dyDescent="0.35">
      <c r="A146" s="19">
        <f t="shared" si="2"/>
        <v>11500</v>
      </c>
    </row>
    <row r="147" spans="1:1" x14ac:dyDescent="0.35">
      <c r="A147" s="19">
        <f t="shared" si="2"/>
        <v>11600</v>
      </c>
    </row>
    <row r="148" spans="1:1" x14ac:dyDescent="0.35">
      <c r="A148" s="19">
        <f t="shared" si="2"/>
        <v>11700</v>
      </c>
    </row>
    <row r="149" spans="1:1" x14ac:dyDescent="0.35">
      <c r="A149" s="19">
        <f t="shared" si="2"/>
        <v>11800</v>
      </c>
    </row>
    <row r="150" spans="1:1" x14ac:dyDescent="0.35">
      <c r="A150" s="19">
        <f t="shared" si="2"/>
        <v>11900</v>
      </c>
    </row>
    <row r="151" spans="1:1" x14ac:dyDescent="0.35">
      <c r="A151" s="19">
        <f t="shared" si="2"/>
        <v>12000</v>
      </c>
    </row>
    <row r="152" spans="1:1" x14ac:dyDescent="0.35">
      <c r="A152" s="19">
        <f t="shared" si="2"/>
        <v>12100</v>
      </c>
    </row>
    <row r="153" spans="1:1" x14ac:dyDescent="0.35">
      <c r="A153" s="19">
        <f t="shared" si="2"/>
        <v>12200</v>
      </c>
    </row>
    <row r="154" spans="1:1" x14ac:dyDescent="0.35">
      <c r="A154" s="19">
        <f t="shared" si="2"/>
        <v>12300</v>
      </c>
    </row>
    <row r="155" spans="1:1" x14ac:dyDescent="0.35">
      <c r="A155" s="19">
        <f t="shared" si="2"/>
        <v>12400</v>
      </c>
    </row>
    <row r="156" spans="1:1" x14ac:dyDescent="0.35">
      <c r="A156" s="19">
        <f t="shared" si="2"/>
        <v>12500</v>
      </c>
    </row>
    <row r="157" spans="1:1" x14ac:dyDescent="0.35">
      <c r="A157" s="19">
        <f t="shared" si="2"/>
        <v>12600</v>
      </c>
    </row>
    <row r="158" spans="1:1" x14ac:dyDescent="0.35">
      <c r="A158" s="19">
        <f t="shared" si="2"/>
        <v>12700</v>
      </c>
    </row>
    <row r="159" spans="1:1" x14ac:dyDescent="0.35">
      <c r="A159" s="19">
        <f t="shared" si="2"/>
        <v>12800</v>
      </c>
    </row>
    <row r="160" spans="1:1" x14ac:dyDescent="0.35">
      <c r="A160" s="19">
        <f t="shared" si="2"/>
        <v>12900</v>
      </c>
    </row>
    <row r="161" spans="1:1" x14ac:dyDescent="0.35">
      <c r="A161" s="19">
        <f t="shared" ref="A161:A191" si="3">A160+100</f>
        <v>13000</v>
      </c>
    </row>
    <row r="162" spans="1:1" x14ac:dyDescent="0.35">
      <c r="A162" s="19">
        <f t="shared" si="3"/>
        <v>13100</v>
      </c>
    </row>
    <row r="163" spans="1:1" x14ac:dyDescent="0.35">
      <c r="A163" s="19">
        <f t="shared" si="3"/>
        <v>13200</v>
      </c>
    </row>
    <row r="164" spans="1:1" x14ac:dyDescent="0.35">
      <c r="A164" s="19">
        <f t="shared" si="3"/>
        <v>13300</v>
      </c>
    </row>
    <row r="165" spans="1:1" x14ac:dyDescent="0.35">
      <c r="A165" s="19">
        <f t="shared" si="3"/>
        <v>13400</v>
      </c>
    </row>
    <row r="166" spans="1:1" x14ac:dyDescent="0.35">
      <c r="A166" s="19">
        <f t="shared" si="3"/>
        <v>13500</v>
      </c>
    </row>
    <row r="167" spans="1:1" x14ac:dyDescent="0.35">
      <c r="A167" s="19">
        <f t="shared" si="3"/>
        <v>13600</v>
      </c>
    </row>
    <row r="168" spans="1:1" x14ac:dyDescent="0.35">
      <c r="A168" s="19">
        <f t="shared" si="3"/>
        <v>13700</v>
      </c>
    </row>
    <row r="169" spans="1:1" x14ac:dyDescent="0.35">
      <c r="A169" s="19">
        <f t="shared" si="3"/>
        <v>13800</v>
      </c>
    </row>
    <row r="170" spans="1:1" x14ac:dyDescent="0.35">
      <c r="A170" s="19">
        <f t="shared" si="3"/>
        <v>13900</v>
      </c>
    </row>
    <row r="171" spans="1:1" x14ac:dyDescent="0.35">
      <c r="A171" s="19">
        <f t="shared" si="3"/>
        <v>14000</v>
      </c>
    </row>
    <row r="172" spans="1:1" x14ac:dyDescent="0.35">
      <c r="A172" s="19">
        <f t="shared" si="3"/>
        <v>14100</v>
      </c>
    </row>
    <row r="173" spans="1:1" x14ac:dyDescent="0.35">
      <c r="A173" s="19">
        <f t="shared" si="3"/>
        <v>14200</v>
      </c>
    </row>
    <row r="174" spans="1:1" x14ac:dyDescent="0.35">
      <c r="A174" s="19">
        <f t="shared" si="3"/>
        <v>14300</v>
      </c>
    </row>
    <row r="175" spans="1:1" x14ac:dyDescent="0.35">
      <c r="A175" s="19">
        <f t="shared" si="3"/>
        <v>14400</v>
      </c>
    </row>
    <row r="176" spans="1:1" x14ac:dyDescent="0.35">
      <c r="A176" s="19">
        <f t="shared" si="3"/>
        <v>14500</v>
      </c>
    </row>
    <row r="177" spans="1:1" x14ac:dyDescent="0.35">
      <c r="A177" s="19">
        <f t="shared" si="3"/>
        <v>14600</v>
      </c>
    </row>
    <row r="178" spans="1:1" x14ac:dyDescent="0.35">
      <c r="A178" s="19">
        <f t="shared" si="3"/>
        <v>14700</v>
      </c>
    </row>
    <row r="179" spans="1:1" x14ac:dyDescent="0.35">
      <c r="A179" s="19">
        <f t="shared" si="3"/>
        <v>14800</v>
      </c>
    </row>
    <row r="180" spans="1:1" x14ac:dyDescent="0.35">
      <c r="A180" s="19">
        <f t="shared" si="3"/>
        <v>14900</v>
      </c>
    </row>
    <row r="181" spans="1:1" x14ac:dyDescent="0.35">
      <c r="A181" s="19">
        <f t="shared" si="3"/>
        <v>15000</v>
      </c>
    </row>
    <row r="182" spans="1:1" x14ac:dyDescent="0.35">
      <c r="A182" s="19">
        <f t="shared" si="3"/>
        <v>15100</v>
      </c>
    </row>
    <row r="183" spans="1:1" x14ac:dyDescent="0.35">
      <c r="A183" s="19">
        <f t="shared" si="3"/>
        <v>15200</v>
      </c>
    </row>
    <row r="184" spans="1:1" x14ac:dyDescent="0.35">
      <c r="A184" s="19">
        <f t="shared" si="3"/>
        <v>15300</v>
      </c>
    </row>
    <row r="185" spans="1:1" x14ac:dyDescent="0.35">
      <c r="A185" s="19">
        <f t="shared" si="3"/>
        <v>15400</v>
      </c>
    </row>
    <row r="186" spans="1:1" x14ac:dyDescent="0.35">
      <c r="A186" s="19">
        <f t="shared" si="3"/>
        <v>15500</v>
      </c>
    </row>
    <row r="187" spans="1:1" x14ac:dyDescent="0.35">
      <c r="A187" s="19">
        <f t="shared" si="3"/>
        <v>15600</v>
      </c>
    </row>
    <row r="188" spans="1:1" x14ac:dyDescent="0.35">
      <c r="A188" s="19">
        <f t="shared" si="3"/>
        <v>15700</v>
      </c>
    </row>
    <row r="189" spans="1:1" x14ac:dyDescent="0.35">
      <c r="A189" s="19">
        <f t="shared" si="3"/>
        <v>15800</v>
      </c>
    </row>
    <row r="190" spans="1:1" x14ac:dyDescent="0.35">
      <c r="A190" s="19">
        <f t="shared" si="3"/>
        <v>15900</v>
      </c>
    </row>
    <row r="191" spans="1:1" x14ac:dyDescent="0.35">
      <c r="A191" s="19">
        <f t="shared" si="3"/>
        <v>16000</v>
      </c>
    </row>
  </sheetData>
  <mergeCells count="5">
    <mergeCell ref="A6:H6"/>
    <mergeCell ref="J30:L30"/>
    <mergeCell ref="J6:N6"/>
    <mergeCell ref="P6:R6"/>
    <mergeCell ref="P23:R23"/>
  </mergeCells>
  <dataValidations count="1">
    <dataValidation type="list" allowBlank="1" showInputMessage="1" showErrorMessage="1" sqref="B11 A32:A191" xr:uid="{00000000-0002-0000-0000-000000000000}">
      <formula1>$A$26:$A$186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93"/>
  <sheetViews>
    <sheetView topLeftCell="A3" zoomScale="80" zoomScaleNormal="80" workbookViewId="0">
      <selection activeCell="F37" sqref="F37"/>
    </sheetView>
  </sheetViews>
  <sheetFormatPr defaultRowHeight="14.5" x14ac:dyDescent="0.35"/>
  <cols>
    <col min="1" max="1" width="15.81640625" bestFit="1" customWidth="1"/>
    <col min="2" max="2" width="18.36328125" bestFit="1" customWidth="1"/>
    <col min="3" max="3" width="11.26953125" bestFit="1" customWidth="1"/>
    <col min="4" max="4" width="7.7265625" bestFit="1" customWidth="1"/>
    <col min="5" max="6" width="11.81640625" bestFit="1" customWidth="1"/>
    <col min="7" max="7" width="12.7265625" bestFit="1" customWidth="1"/>
    <col min="8" max="8" width="7.81640625" bestFit="1" customWidth="1"/>
    <col min="10" max="10" width="17.08984375" bestFit="1" customWidth="1"/>
    <col min="11" max="11" width="12" bestFit="1" customWidth="1"/>
    <col min="12" max="12" width="10.26953125" bestFit="1" customWidth="1"/>
    <col min="13" max="13" width="11.36328125" bestFit="1" customWidth="1"/>
    <col min="14" max="14" width="4.08984375" customWidth="1"/>
    <col min="15" max="15" width="12.54296875" customWidth="1"/>
    <col min="16" max="16" width="23.08984375" customWidth="1"/>
    <col min="17" max="17" width="11.81640625" bestFit="1" customWidth="1"/>
    <col min="19" max="19" width="11.90625" bestFit="1" customWidth="1"/>
    <col min="20" max="20" width="13.1796875" bestFit="1" customWidth="1"/>
    <col min="21" max="21" width="12" bestFit="1" customWidth="1"/>
    <col min="22" max="22" width="5.90625" customWidth="1"/>
    <col min="23" max="23" width="37.453125" bestFit="1" customWidth="1"/>
    <col min="24" max="24" width="15.453125" bestFit="1" customWidth="1"/>
  </cols>
  <sheetData>
    <row r="1" spans="1:32" ht="18.5" x14ac:dyDescent="0.45">
      <c r="A1" s="32" t="s">
        <v>2</v>
      </c>
      <c r="B1" s="35" t="s">
        <v>1</v>
      </c>
      <c r="C1" s="35"/>
      <c r="D1" s="35"/>
      <c r="E1" s="35"/>
      <c r="F1" s="35"/>
      <c r="G1" s="35"/>
      <c r="H1" s="35"/>
      <c r="I1" s="35"/>
      <c r="J1" s="36"/>
      <c r="K1" s="37"/>
      <c r="L1" s="38"/>
      <c r="M1" s="37"/>
      <c r="N1" s="37"/>
      <c r="O1" s="36"/>
      <c r="P1" s="38"/>
      <c r="Q1" s="38"/>
      <c r="R1" s="39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8.5" x14ac:dyDescent="0.45">
      <c r="A2" s="33" t="s">
        <v>3</v>
      </c>
      <c r="B2" s="122" t="s">
        <v>6</v>
      </c>
      <c r="C2" s="122"/>
      <c r="D2" s="122"/>
      <c r="E2" s="122"/>
      <c r="F2" s="122"/>
      <c r="G2" s="122"/>
      <c r="H2" s="122"/>
      <c r="I2" s="122"/>
      <c r="J2" s="121"/>
      <c r="K2" s="121"/>
      <c r="L2" s="121"/>
      <c r="M2" s="121"/>
      <c r="N2" s="121"/>
      <c r="O2" s="121"/>
      <c r="P2" s="121"/>
      <c r="Q2" s="121"/>
      <c r="R2" s="40"/>
    </row>
    <row r="3" spans="1:32" ht="18.5" x14ac:dyDescent="0.45">
      <c r="A3" s="33" t="s">
        <v>4</v>
      </c>
      <c r="B3" s="122">
        <v>2022</v>
      </c>
      <c r="C3" s="122"/>
      <c r="D3" s="122"/>
      <c r="E3" s="122"/>
      <c r="F3" s="122"/>
      <c r="G3" s="122"/>
      <c r="H3" s="122"/>
      <c r="I3" s="122"/>
      <c r="J3" s="121"/>
      <c r="K3" s="121"/>
      <c r="L3" s="121"/>
      <c r="M3" s="121"/>
      <c r="N3" s="121"/>
      <c r="O3" s="121"/>
      <c r="P3" s="121"/>
      <c r="Q3" s="121"/>
      <c r="R3" s="40"/>
    </row>
    <row r="4" spans="1:32" ht="19" thickBot="1" x14ac:dyDescent="0.5">
      <c r="A4" s="34" t="s">
        <v>5</v>
      </c>
      <c r="B4" s="41">
        <v>350</v>
      </c>
      <c r="C4" s="41"/>
      <c r="D4" s="41"/>
      <c r="E4" s="41"/>
      <c r="F4" s="41"/>
      <c r="G4" s="41"/>
      <c r="H4" s="41"/>
      <c r="I4" s="41"/>
      <c r="J4" s="42"/>
      <c r="K4" s="42"/>
      <c r="L4" s="42"/>
      <c r="M4" s="42"/>
      <c r="N4" s="42"/>
      <c r="O4" s="42"/>
      <c r="P4" s="42"/>
      <c r="Q4" s="42"/>
      <c r="R4" s="43"/>
    </row>
    <row r="6" spans="1:32" ht="18.5" x14ac:dyDescent="0.45">
      <c r="A6" s="89" t="s">
        <v>7</v>
      </c>
      <c r="B6" s="89"/>
      <c r="C6" s="89"/>
      <c r="D6" s="89"/>
      <c r="E6" s="89"/>
      <c r="F6" s="89"/>
      <c r="G6" s="89"/>
      <c r="H6" s="89"/>
      <c r="I6" s="1"/>
      <c r="J6" s="90" t="s">
        <v>12</v>
      </c>
      <c r="K6" s="90"/>
      <c r="L6" s="90"/>
      <c r="M6" s="90"/>
      <c r="N6" s="90"/>
      <c r="O6" s="11"/>
      <c r="P6" s="89" t="s">
        <v>11</v>
      </c>
      <c r="Q6" s="89"/>
      <c r="R6" s="89"/>
    </row>
    <row r="8" spans="1:32" ht="21" x14ac:dyDescent="0.5">
      <c r="A8" s="29"/>
      <c r="B8" s="3"/>
      <c r="C8" s="3"/>
      <c r="D8" s="3"/>
      <c r="E8" s="3"/>
      <c r="F8" s="3"/>
      <c r="G8" s="3"/>
      <c r="H8" s="3"/>
      <c r="J8" s="7" t="s">
        <v>13</v>
      </c>
      <c r="K8" s="7" t="s">
        <v>14</v>
      </c>
      <c r="L8" s="7" t="s">
        <v>15</v>
      </c>
      <c r="M8" s="7" t="s">
        <v>19</v>
      </c>
      <c r="N8" s="7"/>
      <c r="P8" s="7" t="s">
        <v>8</v>
      </c>
    </row>
    <row r="9" spans="1:32" x14ac:dyDescent="0.35">
      <c r="A9" s="30" t="s">
        <v>38</v>
      </c>
      <c r="B9" s="8">
        <v>73</v>
      </c>
      <c r="C9" s="8">
        <v>24</v>
      </c>
      <c r="J9" s="7" t="s">
        <v>10</v>
      </c>
      <c r="K9" s="8">
        <v>55.5</v>
      </c>
      <c r="L9" s="8">
        <v>57.75</v>
      </c>
      <c r="M9" s="8">
        <f>L9+K9</f>
        <v>113.25</v>
      </c>
      <c r="N9" s="14" t="s">
        <v>18</v>
      </c>
      <c r="P9" s="7" t="s">
        <v>26</v>
      </c>
      <c r="Q9" s="83">
        <f>SUM(L9*K21)/M9</f>
        <v>0.75572185430463568</v>
      </c>
      <c r="R9" s="8" t="s">
        <v>24</v>
      </c>
    </row>
    <row r="10" spans="1:32" x14ac:dyDescent="0.35">
      <c r="A10" s="30" t="s">
        <v>39</v>
      </c>
      <c r="B10" s="8">
        <v>52</v>
      </c>
      <c r="C10" s="8">
        <v>14</v>
      </c>
      <c r="J10" s="7" t="s">
        <v>16</v>
      </c>
      <c r="K10" s="8">
        <v>60.85</v>
      </c>
      <c r="L10" s="8">
        <f>58.8-K18</f>
        <v>52.3</v>
      </c>
      <c r="M10" s="8">
        <f>K10+L10</f>
        <v>113.15</v>
      </c>
      <c r="N10" s="14" t="s">
        <v>18</v>
      </c>
      <c r="P10" s="7" t="s">
        <v>25</v>
      </c>
      <c r="Q10" s="83">
        <f>SUM(L13*K21)/M13</f>
        <v>0.84532718664340889</v>
      </c>
      <c r="R10" s="8" t="s">
        <v>24</v>
      </c>
    </row>
    <row r="11" spans="1:32" x14ac:dyDescent="0.35">
      <c r="A11" s="30" t="s">
        <v>40</v>
      </c>
      <c r="B11" s="8" t="s">
        <v>62</v>
      </c>
      <c r="N11" s="3"/>
      <c r="Q11" s="84"/>
    </row>
    <row r="12" spans="1:32" x14ac:dyDescent="0.35">
      <c r="A12" s="30" t="s">
        <v>42</v>
      </c>
      <c r="B12" s="8">
        <v>0.68120000000000003</v>
      </c>
      <c r="J12" s="7" t="s">
        <v>17</v>
      </c>
      <c r="K12" s="7" t="s">
        <v>14</v>
      </c>
      <c r="L12" s="7" t="s">
        <v>15</v>
      </c>
      <c r="M12" s="7" t="s">
        <v>19</v>
      </c>
      <c r="N12" s="15"/>
      <c r="Q12" s="84"/>
    </row>
    <row r="13" spans="1:32" x14ac:dyDescent="0.35">
      <c r="A13" s="30" t="s">
        <v>43</v>
      </c>
      <c r="B13" s="8">
        <v>800</v>
      </c>
      <c r="J13" s="7" t="s">
        <v>10</v>
      </c>
      <c r="K13" s="8">
        <v>86.2</v>
      </c>
      <c r="L13" s="8">
        <v>114.45</v>
      </c>
      <c r="M13" s="8">
        <f>L13+K13</f>
        <v>200.65</v>
      </c>
      <c r="N13" s="14" t="s">
        <v>18</v>
      </c>
      <c r="P13" s="7" t="s">
        <v>9</v>
      </c>
      <c r="Q13" s="84"/>
    </row>
    <row r="14" spans="1:32" x14ac:dyDescent="0.35">
      <c r="A14" s="20"/>
      <c r="J14" s="7" t="s">
        <v>16</v>
      </c>
      <c r="K14" s="8">
        <v>107.85</v>
      </c>
      <c r="L14" s="8">
        <f>99.6-K18</f>
        <v>93.1</v>
      </c>
      <c r="M14" s="8">
        <f>K14+L14</f>
        <v>200.95</v>
      </c>
      <c r="N14" s="14" t="s">
        <v>18</v>
      </c>
      <c r="P14" s="7" t="s">
        <v>27</v>
      </c>
      <c r="Q14" s="83">
        <f>SUM(($K$21*($L$9-$L$10))/($M$9*(TAN($K$26))))+($K$24)</f>
        <v>0.59810751322098643</v>
      </c>
      <c r="R14" s="8" t="s">
        <v>24</v>
      </c>
    </row>
    <row r="15" spans="1:32" x14ac:dyDescent="0.35">
      <c r="A15" s="20"/>
      <c r="B15" s="31" t="s">
        <v>44</v>
      </c>
      <c r="C15" s="31" t="s">
        <v>45</v>
      </c>
      <c r="D15" s="31"/>
      <c r="E15" s="31" t="s">
        <v>46</v>
      </c>
      <c r="F15" s="31" t="s">
        <v>47</v>
      </c>
      <c r="G15" s="31" t="s">
        <v>48</v>
      </c>
      <c r="H15" s="31" t="s">
        <v>49</v>
      </c>
      <c r="P15" s="7" t="s">
        <v>25</v>
      </c>
      <c r="Q15" s="83">
        <f>SUM(($K$21*($L$13-$L$14))/($M$13*(TAN($K$26))))+($K$24)</f>
        <v>0.91129659100867844</v>
      </c>
      <c r="R15" s="8" t="s">
        <v>24</v>
      </c>
    </row>
    <row r="17" spans="1:18" x14ac:dyDescent="0.35">
      <c r="A17" s="17" t="s">
        <v>50</v>
      </c>
      <c r="B17" s="18">
        <v>32</v>
      </c>
      <c r="C17" s="18">
        <v>14</v>
      </c>
      <c r="D17" s="18"/>
      <c r="E17" s="18">
        <f>(B13*60*(C17/B17)*E31*PI()*(C9/B9)/1000)*(B10/C10)</f>
        <v>54.879165178776518</v>
      </c>
      <c r="F17" s="18">
        <f>B$13</f>
        <v>800</v>
      </c>
    </row>
    <row r="18" spans="1:18" x14ac:dyDescent="0.35">
      <c r="A18" s="20"/>
      <c r="G18" s="45">
        <f>F17*(C17/B17)*(B19/C19)</f>
        <v>568.75</v>
      </c>
      <c r="H18" s="46">
        <f>F17-G18</f>
        <v>231.25</v>
      </c>
      <c r="J18" s="7" t="s">
        <v>29</v>
      </c>
      <c r="K18" s="8">
        <v>6.5</v>
      </c>
      <c r="L18" s="14" t="s">
        <v>18</v>
      </c>
      <c r="P18" s="7" t="s">
        <v>31</v>
      </c>
      <c r="Q18" s="7" t="s">
        <v>32</v>
      </c>
    </row>
    <row r="19" spans="1:18" x14ac:dyDescent="0.35">
      <c r="A19" s="17" t="s">
        <v>51</v>
      </c>
      <c r="B19" s="18">
        <v>26</v>
      </c>
      <c r="C19" s="18">
        <v>16</v>
      </c>
      <c r="D19" s="18"/>
      <c r="E19" s="18">
        <f>(B13*60*(C19/B19)*E31*PI()*(C9/B9)/1000)*(B10/C10)</f>
        <v>77.192671899817526</v>
      </c>
      <c r="F19" s="18">
        <f>B$13</f>
        <v>800</v>
      </c>
      <c r="J19" s="7" t="s">
        <v>30</v>
      </c>
      <c r="K19" s="8">
        <v>87.75</v>
      </c>
      <c r="L19" s="14" t="s">
        <v>18</v>
      </c>
      <c r="O19" s="10" t="s">
        <v>13</v>
      </c>
      <c r="P19" s="49">
        <f>SUM(($K$21-Q9)/$K$21)</f>
        <v>0.49006622516556297</v>
      </c>
      <c r="Q19" s="49">
        <f>SUM(Q9/$K$21)</f>
        <v>0.50993377483443703</v>
      </c>
    </row>
    <row r="20" spans="1:18" x14ac:dyDescent="0.35">
      <c r="A20" s="20"/>
      <c r="G20" s="45">
        <f>F19*(C19/B19)*(B21/C21)</f>
        <v>615.38461538461536</v>
      </c>
      <c r="H20" s="46">
        <f>F19-G20</f>
        <v>184.61538461538464</v>
      </c>
      <c r="J20" s="7" t="s">
        <v>28</v>
      </c>
      <c r="K20" s="8">
        <v>0.39400000000000002</v>
      </c>
      <c r="L20" s="14" t="s">
        <v>24</v>
      </c>
      <c r="O20" s="7" t="s">
        <v>33</v>
      </c>
      <c r="P20" s="49">
        <f>SUM($K$21-Q10)/$K$21</f>
        <v>0.42960378769000751</v>
      </c>
      <c r="Q20" s="49">
        <f>SUM(Q10/$K$21)</f>
        <v>0.57039621230999249</v>
      </c>
    </row>
    <row r="21" spans="1:18" x14ac:dyDescent="0.35">
      <c r="A21" s="17" t="s">
        <v>52</v>
      </c>
      <c r="B21" s="18">
        <v>25</v>
      </c>
      <c r="C21" s="18">
        <v>20</v>
      </c>
      <c r="D21" s="18"/>
      <c r="E21" s="18">
        <f>(B13*60*(C21/B21)*E31*PI()*(C9/B9)/1000)*(B10/C10)</f>
        <v>100.35047346976278</v>
      </c>
      <c r="F21" s="18">
        <f>B$13</f>
        <v>800</v>
      </c>
      <c r="J21" s="7" t="s">
        <v>20</v>
      </c>
      <c r="K21" s="8">
        <v>1.482</v>
      </c>
      <c r="L21" s="14" t="s">
        <v>24</v>
      </c>
      <c r="N21" s="4"/>
      <c r="O21" s="4"/>
    </row>
    <row r="22" spans="1:18" x14ac:dyDescent="0.35">
      <c r="A22" s="20"/>
      <c r="G22" s="45">
        <f>F21*(C21/B21)*(B23/C23)</f>
        <v>669.09090909090901</v>
      </c>
      <c r="H22" s="46">
        <f>F21-G22</f>
        <v>130.90909090909099</v>
      </c>
      <c r="J22" s="7" t="s">
        <v>23</v>
      </c>
      <c r="K22" s="8">
        <v>0.34399999999999997</v>
      </c>
      <c r="L22" s="14" t="s">
        <v>24</v>
      </c>
    </row>
    <row r="23" spans="1:18" ht="18.5" x14ac:dyDescent="0.45">
      <c r="A23" s="17" t="s">
        <v>53</v>
      </c>
      <c r="B23" s="18">
        <v>23</v>
      </c>
      <c r="C23" s="18">
        <v>22</v>
      </c>
      <c r="D23" s="18"/>
      <c r="E23" s="18">
        <f>(B13*60*(C23/B23)*E31*PI()*(C9/B9)/1000)*(B10/C10)</f>
        <v>119.98426175732507</v>
      </c>
      <c r="F23" s="18">
        <f>B$13</f>
        <v>800</v>
      </c>
      <c r="J23" s="7" t="s">
        <v>22</v>
      </c>
      <c r="K23" s="8">
        <v>0.33500000000000002</v>
      </c>
      <c r="L23" s="14" t="s">
        <v>24</v>
      </c>
      <c r="M23" s="2"/>
      <c r="P23" s="123" t="s">
        <v>77</v>
      </c>
      <c r="Q23" s="123"/>
      <c r="R23" s="123"/>
    </row>
    <row r="24" spans="1:18" x14ac:dyDescent="0.35">
      <c r="A24" s="20"/>
      <c r="G24" s="45">
        <f>F23*(C23/B23)*(B25/C25)</f>
        <v>673.39130434782612</v>
      </c>
      <c r="H24" s="46">
        <f>F23-G24</f>
        <v>126.60869565217388</v>
      </c>
      <c r="J24" s="7" t="s">
        <v>21</v>
      </c>
      <c r="K24" s="9">
        <f>AVERAGE(K22:K23)</f>
        <v>0.33950000000000002</v>
      </c>
      <c r="L24" s="14" t="s">
        <v>24</v>
      </c>
    </row>
    <row r="25" spans="1:18" x14ac:dyDescent="0.35">
      <c r="A25" s="17" t="s">
        <v>54</v>
      </c>
      <c r="B25" s="18">
        <v>22</v>
      </c>
      <c r="C25" s="18">
        <v>25</v>
      </c>
      <c r="D25" s="18"/>
      <c r="E25" s="18">
        <f>(B13*60*(C25/B25)*E31*PI()*(C9/B9)/1000)*(B10/C10)</f>
        <v>142.54328617864033</v>
      </c>
      <c r="F25" s="18">
        <f>B$13</f>
        <v>800</v>
      </c>
      <c r="J25" s="13" t="s">
        <v>37</v>
      </c>
      <c r="K25" s="48">
        <f>DEGREES(ASIN(K20/K21))</f>
        <v>15.417879120891817</v>
      </c>
      <c r="L25" s="12" t="s">
        <v>36</v>
      </c>
      <c r="M25" s="6"/>
      <c r="P25" s="7" t="s">
        <v>78</v>
      </c>
      <c r="Q25" s="8">
        <v>15.875</v>
      </c>
    </row>
    <row r="26" spans="1:18" x14ac:dyDescent="0.35">
      <c r="A26" s="20"/>
      <c r="G26" s="45">
        <f>F25*(C25/B25)*(B27/C27)</f>
        <v>699.30069930069931</v>
      </c>
      <c r="H26" s="46">
        <f>F25-G26</f>
        <v>100.69930069930069</v>
      </c>
      <c r="J26" s="7" t="s">
        <v>37</v>
      </c>
      <c r="K26" s="47">
        <f>RADIANS(K25)</f>
        <v>0.26909275433405105</v>
      </c>
      <c r="L26" s="12" t="s">
        <v>35</v>
      </c>
      <c r="M26" s="5"/>
      <c r="P26" s="7" t="s">
        <v>79</v>
      </c>
      <c r="Q26" s="8">
        <v>14</v>
      </c>
    </row>
    <row r="27" spans="1:18" x14ac:dyDescent="0.35">
      <c r="A27" s="17" t="s">
        <v>55</v>
      </c>
      <c r="B27" s="18">
        <v>20</v>
      </c>
      <c r="C27" s="18">
        <v>26</v>
      </c>
      <c r="D27" s="18"/>
      <c r="E27" s="18">
        <f>(B13*60*(C27/B27)*E31*PI()*(C9/B9)/1000)*(B10/C10)</f>
        <v>163.06951938836451</v>
      </c>
      <c r="F27" s="18">
        <f>B$13</f>
        <v>800</v>
      </c>
      <c r="J27" s="52" t="s">
        <v>85</v>
      </c>
      <c r="K27" s="54">
        <v>22</v>
      </c>
      <c r="L27" s="53" t="s">
        <v>86</v>
      </c>
      <c r="M27" s="6"/>
      <c r="P27" s="7" t="s">
        <v>80</v>
      </c>
      <c r="Q27" s="8">
        <v>52</v>
      </c>
    </row>
    <row r="28" spans="1:18" x14ac:dyDescent="0.35">
      <c r="J28" s="6"/>
      <c r="K28" s="5"/>
      <c r="L28" s="5"/>
      <c r="M28" s="5"/>
      <c r="P28" s="7" t="s">
        <v>120</v>
      </c>
      <c r="Q28" s="8">
        <v>118</v>
      </c>
    </row>
    <row r="29" spans="1:18" x14ac:dyDescent="0.35">
      <c r="J29" s="5"/>
      <c r="K29" s="5"/>
      <c r="L29" s="5"/>
      <c r="M29" s="5"/>
      <c r="P29" s="44" t="s">
        <v>117</v>
      </c>
      <c r="Q29" s="9">
        <v>65</v>
      </c>
      <c r="R29" t="s">
        <v>86</v>
      </c>
    </row>
    <row r="30" spans="1:18" x14ac:dyDescent="0.35">
      <c r="A30" s="20"/>
      <c r="B30" s="30" t="s">
        <v>56</v>
      </c>
      <c r="C30" s="30" t="s">
        <v>57</v>
      </c>
      <c r="D30" s="30" t="s">
        <v>58</v>
      </c>
      <c r="E30" s="30" t="s">
        <v>59</v>
      </c>
      <c r="F30" s="30" t="s">
        <v>60</v>
      </c>
      <c r="J30" s="91" t="s">
        <v>87</v>
      </c>
      <c r="K30" s="91"/>
      <c r="L30" s="91"/>
      <c r="M30" s="5"/>
      <c r="P30" s="7" t="s">
        <v>81</v>
      </c>
      <c r="Q30" s="9">
        <v>610</v>
      </c>
      <c r="R30" t="s">
        <v>86</v>
      </c>
    </row>
    <row r="31" spans="1:18" x14ac:dyDescent="0.35">
      <c r="A31" s="30" t="s">
        <v>61</v>
      </c>
      <c r="B31" s="8">
        <v>140</v>
      </c>
      <c r="C31" s="8">
        <v>80</v>
      </c>
      <c r="D31" s="8">
        <v>18</v>
      </c>
      <c r="E31" s="8">
        <f>((((((B31/25.4)*(C31/100)+(D31/2))*2)*PI())*25.4)/PI())/1000</f>
        <v>0.68119999999999981</v>
      </c>
      <c r="F31" s="8">
        <f>2*PI()*E31/2</f>
        <v>2.1400529156253665</v>
      </c>
      <c r="J31" s="13" t="s">
        <v>85</v>
      </c>
      <c r="K31" s="51">
        <v>22</v>
      </c>
      <c r="L31" s="51" t="s">
        <v>86</v>
      </c>
      <c r="M31" s="5"/>
    </row>
    <row r="32" spans="1:18" x14ac:dyDescent="0.35">
      <c r="A32" s="30" t="s">
        <v>84</v>
      </c>
      <c r="B32" s="8">
        <v>100</v>
      </c>
      <c r="C32" s="8">
        <v>80</v>
      </c>
      <c r="D32" s="8">
        <v>21</v>
      </c>
      <c r="E32" s="8">
        <f>((((((B32/25.4)*(C32/100)+(D32/2))*2)*PI())*25.4)/PI())/1000</f>
        <v>0.69339999999999991</v>
      </c>
      <c r="F32" s="8">
        <f>2*PI()*E32/2</f>
        <v>2.1783803459991624</v>
      </c>
      <c r="J32" s="13" t="s">
        <v>88</v>
      </c>
      <c r="K32" s="51">
        <v>26.5</v>
      </c>
      <c r="L32" s="55" t="s">
        <v>36</v>
      </c>
      <c r="M32" s="51">
        <f>RADIANS(K32)</f>
        <v>0.46251225177849731</v>
      </c>
      <c r="N32" s="8" t="s">
        <v>118</v>
      </c>
      <c r="P32" s="7" t="s">
        <v>119</v>
      </c>
      <c r="Q32" s="120">
        <f>SUM(0.5*(Q28-0.5*(Q26+Q27))*Q25-Q29)</f>
        <v>609.6875</v>
      </c>
      <c r="R32" t="s">
        <v>86</v>
      </c>
    </row>
    <row r="33" spans="1:13" x14ac:dyDescent="0.35">
      <c r="A33" s="19">
        <v>0</v>
      </c>
      <c r="J33" s="13" t="s">
        <v>89</v>
      </c>
      <c r="K33" s="51">
        <f>SUM(E32/2)*1000</f>
        <v>346.69999999999993</v>
      </c>
      <c r="L33" s="51" t="s">
        <v>86</v>
      </c>
      <c r="M33" s="5"/>
    </row>
    <row r="34" spans="1:13" x14ac:dyDescent="0.35">
      <c r="A34" s="19">
        <f t="shared" ref="A34:A65" si="0">A33+100</f>
        <v>100</v>
      </c>
      <c r="J34" s="13" t="s">
        <v>90</v>
      </c>
      <c r="K34" s="51">
        <f>(K33*SIN(M32)-K31)/COS(M32)</f>
        <v>148.2754350471354</v>
      </c>
      <c r="L34" s="51" t="s">
        <v>86</v>
      </c>
      <c r="M34" s="5"/>
    </row>
    <row r="35" spans="1:13" x14ac:dyDescent="0.35">
      <c r="A35" s="19">
        <f t="shared" si="0"/>
        <v>200</v>
      </c>
      <c r="J35" s="5"/>
      <c r="K35" s="5"/>
      <c r="L35" s="5"/>
      <c r="M35" s="5"/>
    </row>
    <row r="36" spans="1:13" x14ac:dyDescent="0.35">
      <c r="A36" s="19">
        <f t="shared" si="0"/>
        <v>300</v>
      </c>
      <c r="J36" s="5"/>
      <c r="K36" s="5"/>
      <c r="L36" s="5"/>
      <c r="M36" s="5"/>
    </row>
    <row r="37" spans="1:13" x14ac:dyDescent="0.35">
      <c r="A37" s="19">
        <f t="shared" si="0"/>
        <v>400</v>
      </c>
      <c r="J37" s="5"/>
      <c r="K37" s="5"/>
      <c r="L37" s="5"/>
      <c r="M37" s="5"/>
    </row>
    <row r="38" spans="1:13" x14ac:dyDescent="0.35">
      <c r="A38" s="19">
        <f t="shared" si="0"/>
        <v>500</v>
      </c>
      <c r="J38" s="5"/>
      <c r="K38" s="5"/>
      <c r="L38" s="5"/>
      <c r="M38" s="5"/>
    </row>
    <row r="39" spans="1:13" x14ac:dyDescent="0.35">
      <c r="A39" s="19">
        <f t="shared" si="0"/>
        <v>600</v>
      </c>
      <c r="J39" s="5"/>
      <c r="K39" s="5"/>
      <c r="L39" s="5"/>
      <c r="M39" s="5"/>
    </row>
    <row r="40" spans="1:13" x14ac:dyDescent="0.35">
      <c r="A40" s="19">
        <f t="shared" si="0"/>
        <v>700</v>
      </c>
      <c r="J40" s="5"/>
      <c r="K40" s="5"/>
      <c r="L40" s="5"/>
      <c r="M40" s="5"/>
    </row>
    <row r="41" spans="1:13" x14ac:dyDescent="0.35">
      <c r="A41" s="19">
        <f t="shared" si="0"/>
        <v>800</v>
      </c>
      <c r="J41" s="5"/>
      <c r="K41" s="5"/>
      <c r="L41" s="5"/>
      <c r="M41" s="5"/>
    </row>
    <row r="42" spans="1:13" x14ac:dyDescent="0.35">
      <c r="A42" s="19">
        <f t="shared" si="0"/>
        <v>900</v>
      </c>
    </row>
    <row r="43" spans="1:13" x14ac:dyDescent="0.35">
      <c r="A43" s="19">
        <f t="shared" si="0"/>
        <v>1000</v>
      </c>
    </row>
    <row r="44" spans="1:13" x14ac:dyDescent="0.35">
      <c r="A44" s="19">
        <f t="shared" si="0"/>
        <v>1100</v>
      </c>
    </row>
    <row r="45" spans="1:13" x14ac:dyDescent="0.35">
      <c r="A45" s="19">
        <f t="shared" si="0"/>
        <v>1200</v>
      </c>
    </row>
    <row r="46" spans="1:13" x14ac:dyDescent="0.35">
      <c r="A46" s="19">
        <f t="shared" si="0"/>
        <v>1300</v>
      </c>
    </row>
    <row r="47" spans="1:13" x14ac:dyDescent="0.35">
      <c r="A47" s="19">
        <f t="shared" si="0"/>
        <v>1400</v>
      </c>
    </row>
    <row r="48" spans="1:13" x14ac:dyDescent="0.35">
      <c r="A48" s="19">
        <f t="shared" si="0"/>
        <v>1500</v>
      </c>
    </row>
    <row r="49" spans="1:1" x14ac:dyDescent="0.35">
      <c r="A49" s="19">
        <f t="shared" si="0"/>
        <v>1600</v>
      </c>
    </row>
    <row r="50" spans="1:1" x14ac:dyDescent="0.35">
      <c r="A50" s="19">
        <f t="shared" si="0"/>
        <v>1700</v>
      </c>
    </row>
    <row r="51" spans="1:1" x14ac:dyDescent="0.35">
      <c r="A51" s="19">
        <f t="shared" si="0"/>
        <v>1800</v>
      </c>
    </row>
    <row r="52" spans="1:1" x14ac:dyDescent="0.35">
      <c r="A52" s="19">
        <f t="shared" si="0"/>
        <v>1900</v>
      </c>
    </row>
    <row r="53" spans="1:1" x14ac:dyDescent="0.35">
      <c r="A53" s="19">
        <f t="shared" si="0"/>
        <v>2000</v>
      </c>
    </row>
    <row r="54" spans="1:1" x14ac:dyDescent="0.35">
      <c r="A54" s="19">
        <f t="shared" si="0"/>
        <v>2100</v>
      </c>
    </row>
    <row r="55" spans="1:1" x14ac:dyDescent="0.35">
      <c r="A55" s="19">
        <f t="shared" si="0"/>
        <v>2200</v>
      </c>
    </row>
    <row r="56" spans="1:1" x14ac:dyDescent="0.35">
      <c r="A56" s="19">
        <f t="shared" si="0"/>
        <v>2300</v>
      </c>
    </row>
    <row r="57" spans="1:1" x14ac:dyDescent="0.35">
      <c r="A57" s="19">
        <f t="shared" si="0"/>
        <v>2400</v>
      </c>
    </row>
    <row r="58" spans="1:1" x14ac:dyDescent="0.35">
      <c r="A58" s="19">
        <f t="shared" si="0"/>
        <v>2500</v>
      </c>
    </row>
    <row r="59" spans="1:1" x14ac:dyDescent="0.35">
      <c r="A59" s="19">
        <f t="shared" si="0"/>
        <v>2600</v>
      </c>
    </row>
    <row r="60" spans="1:1" x14ac:dyDescent="0.35">
      <c r="A60" s="19">
        <f t="shared" si="0"/>
        <v>2700</v>
      </c>
    </row>
    <row r="61" spans="1:1" x14ac:dyDescent="0.35">
      <c r="A61" s="19">
        <f t="shared" si="0"/>
        <v>2800</v>
      </c>
    </row>
    <row r="62" spans="1:1" x14ac:dyDescent="0.35">
      <c r="A62" s="19">
        <f t="shared" si="0"/>
        <v>2900</v>
      </c>
    </row>
    <row r="63" spans="1:1" x14ac:dyDescent="0.35">
      <c r="A63" s="19">
        <f t="shared" si="0"/>
        <v>3000</v>
      </c>
    </row>
    <row r="64" spans="1:1" x14ac:dyDescent="0.35">
      <c r="A64" s="19">
        <f t="shared" si="0"/>
        <v>3100</v>
      </c>
    </row>
    <row r="65" spans="1:1" x14ac:dyDescent="0.35">
      <c r="A65" s="19">
        <f t="shared" si="0"/>
        <v>3200</v>
      </c>
    </row>
    <row r="66" spans="1:1" x14ac:dyDescent="0.35">
      <c r="A66" s="19">
        <f t="shared" ref="A66:A98" si="1">A65+100</f>
        <v>3300</v>
      </c>
    </row>
    <row r="67" spans="1:1" x14ac:dyDescent="0.35">
      <c r="A67" s="19">
        <f t="shared" si="1"/>
        <v>3400</v>
      </c>
    </row>
    <row r="68" spans="1:1" x14ac:dyDescent="0.35">
      <c r="A68" s="19">
        <f t="shared" si="1"/>
        <v>3500</v>
      </c>
    </row>
    <row r="69" spans="1:1" x14ac:dyDescent="0.35">
      <c r="A69" s="19">
        <f t="shared" si="1"/>
        <v>3600</v>
      </c>
    </row>
    <row r="70" spans="1:1" x14ac:dyDescent="0.35">
      <c r="A70" s="19">
        <f t="shared" si="1"/>
        <v>3700</v>
      </c>
    </row>
    <row r="71" spans="1:1" x14ac:dyDescent="0.35">
      <c r="A71" s="19">
        <f t="shared" si="1"/>
        <v>3800</v>
      </c>
    </row>
    <row r="72" spans="1:1" x14ac:dyDescent="0.35">
      <c r="A72" s="19">
        <f t="shared" si="1"/>
        <v>3900</v>
      </c>
    </row>
    <row r="73" spans="1:1" x14ac:dyDescent="0.35">
      <c r="A73" s="19">
        <f t="shared" si="1"/>
        <v>4000</v>
      </c>
    </row>
    <row r="74" spans="1:1" x14ac:dyDescent="0.35">
      <c r="A74" s="19">
        <f t="shared" si="1"/>
        <v>4100</v>
      </c>
    </row>
    <row r="75" spans="1:1" x14ac:dyDescent="0.35">
      <c r="A75" s="19">
        <f t="shared" si="1"/>
        <v>4200</v>
      </c>
    </row>
    <row r="76" spans="1:1" x14ac:dyDescent="0.35">
      <c r="A76" s="19">
        <f t="shared" si="1"/>
        <v>4300</v>
      </c>
    </row>
    <row r="77" spans="1:1" x14ac:dyDescent="0.35">
      <c r="A77" s="19">
        <f t="shared" si="1"/>
        <v>4400</v>
      </c>
    </row>
    <row r="78" spans="1:1" x14ac:dyDescent="0.35">
      <c r="A78" s="19">
        <f t="shared" si="1"/>
        <v>4500</v>
      </c>
    </row>
    <row r="79" spans="1:1" x14ac:dyDescent="0.35">
      <c r="A79" s="19">
        <f t="shared" si="1"/>
        <v>4600</v>
      </c>
    </row>
    <row r="80" spans="1:1" x14ac:dyDescent="0.35">
      <c r="A80" s="19">
        <f t="shared" si="1"/>
        <v>4700</v>
      </c>
    </row>
    <row r="81" spans="1:1" x14ac:dyDescent="0.35">
      <c r="A81" s="19">
        <f t="shared" si="1"/>
        <v>4800</v>
      </c>
    </row>
    <row r="82" spans="1:1" x14ac:dyDescent="0.35">
      <c r="A82" s="19">
        <f t="shared" si="1"/>
        <v>4900</v>
      </c>
    </row>
    <row r="83" spans="1:1" x14ac:dyDescent="0.35">
      <c r="A83" s="19">
        <f t="shared" si="1"/>
        <v>5000</v>
      </c>
    </row>
    <row r="84" spans="1:1" x14ac:dyDescent="0.35">
      <c r="A84" s="19">
        <f t="shared" si="1"/>
        <v>5100</v>
      </c>
    </row>
    <row r="85" spans="1:1" x14ac:dyDescent="0.35">
      <c r="A85" s="19">
        <f t="shared" si="1"/>
        <v>5200</v>
      </c>
    </row>
    <row r="86" spans="1:1" x14ac:dyDescent="0.35">
      <c r="A86" s="19">
        <f t="shared" si="1"/>
        <v>5300</v>
      </c>
    </row>
    <row r="87" spans="1:1" x14ac:dyDescent="0.35">
      <c r="A87" s="19">
        <f t="shared" si="1"/>
        <v>5400</v>
      </c>
    </row>
    <row r="88" spans="1:1" x14ac:dyDescent="0.35">
      <c r="A88" s="19">
        <f t="shared" si="1"/>
        <v>5500</v>
      </c>
    </row>
    <row r="89" spans="1:1" x14ac:dyDescent="0.35">
      <c r="A89" s="19">
        <f t="shared" si="1"/>
        <v>5600</v>
      </c>
    </row>
    <row r="90" spans="1:1" x14ac:dyDescent="0.35">
      <c r="A90" s="19">
        <f t="shared" si="1"/>
        <v>5700</v>
      </c>
    </row>
    <row r="91" spans="1:1" x14ac:dyDescent="0.35">
      <c r="A91" s="19">
        <f t="shared" si="1"/>
        <v>5800</v>
      </c>
    </row>
    <row r="92" spans="1:1" x14ac:dyDescent="0.35">
      <c r="A92" s="19">
        <f t="shared" si="1"/>
        <v>5900</v>
      </c>
    </row>
    <row r="93" spans="1:1" x14ac:dyDescent="0.35">
      <c r="A93" s="19">
        <f t="shared" si="1"/>
        <v>6000</v>
      </c>
    </row>
    <row r="94" spans="1:1" x14ac:dyDescent="0.35">
      <c r="A94" s="19">
        <f t="shared" si="1"/>
        <v>6100</v>
      </c>
    </row>
    <row r="95" spans="1:1" x14ac:dyDescent="0.35">
      <c r="A95" s="19">
        <f t="shared" si="1"/>
        <v>6200</v>
      </c>
    </row>
    <row r="96" spans="1:1" x14ac:dyDescent="0.35">
      <c r="A96" s="19">
        <f t="shared" si="1"/>
        <v>6300</v>
      </c>
    </row>
    <row r="97" spans="1:1" x14ac:dyDescent="0.35">
      <c r="A97" s="19">
        <f t="shared" si="1"/>
        <v>6400</v>
      </c>
    </row>
    <row r="98" spans="1:1" x14ac:dyDescent="0.35">
      <c r="A98" s="19">
        <f t="shared" si="1"/>
        <v>6500</v>
      </c>
    </row>
    <row r="99" spans="1:1" x14ac:dyDescent="0.35">
      <c r="A99" s="19">
        <f t="shared" ref="A99:A162" si="2">A98+100</f>
        <v>6600</v>
      </c>
    </row>
    <row r="100" spans="1:1" x14ac:dyDescent="0.35">
      <c r="A100" s="19">
        <f t="shared" si="2"/>
        <v>6700</v>
      </c>
    </row>
    <row r="101" spans="1:1" x14ac:dyDescent="0.35">
      <c r="A101" s="19">
        <f t="shared" si="2"/>
        <v>6800</v>
      </c>
    </row>
    <row r="102" spans="1:1" x14ac:dyDescent="0.35">
      <c r="A102" s="19">
        <f t="shared" si="2"/>
        <v>6900</v>
      </c>
    </row>
    <row r="103" spans="1:1" x14ac:dyDescent="0.35">
      <c r="A103" s="19">
        <f t="shared" si="2"/>
        <v>7000</v>
      </c>
    </row>
    <row r="104" spans="1:1" x14ac:dyDescent="0.35">
      <c r="A104" s="19">
        <f t="shared" si="2"/>
        <v>7100</v>
      </c>
    </row>
    <row r="105" spans="1:1" x14ac:dyDescent="0.35">
      <c r="A105" s="19">
        <f t="shared" si="2"/>
        <v>7200</v>
      </c>
    </row>
    <row r="106" spans="1:1" x14ac:dyDescent="0.35">
      <c r="A106" s="19">
        <f t="shared" si="2"/>
        <v>7300</v>
      </c>
    </row>
    <row r="107" spans="1:1" x14ac:dyDescent="0.35">
      <c r="A107" s="19">
        <f t="shared" si="2"/>
        <v>7400</v>
      </c>
    </row>
    <row r="108" spans="1:1" x14ac:dyDescent="0.35">
      <c r="A108" s="19">
        <f t="shared" si="2"/>
        <v>7500</v>
      </c>
    </row>
    <row r="109" spans="1:1" x14ac:dyDescent="0.35">
      <c r="A109" s="19">
        <f t="shared" si="2"/>
        <v>7600</v>
      </c>
    </row>
    <row r="110" spans="1:1" x14ac:dyDescent="0.35">
      <c r="A110" s="19">
        <f t="shared" si="2"/>
        <v>7700</v>
      </c>
    </row>
    <row r="111" spans="1:1" x14ac:dyDescent="0.35">
      <c r="A111" s="19">
        <f t="shared" si="2"/>
        <v>7800</v>
      </c>
    </row>
    <row r="112" spans="1:1" x14ac:dyDescent="0.35">
      <c r="A112" s="19">
        <f t="shared" si="2"/>
        <v>7900</v>
      </c>
    </row>
    <row r="113" spans="1:1" x14ac:dyDescent="0.35">
      <c r="A113" s="19">
        <f t="shared" si="2"/>
        <v>8000</v>
      </c>
    </row>
    <row r="114" spans="1:1" x14ac:dyDescent="0.35">
      <c r="A114" s="19">
        <f t="shared" si="2"/>
        <v>8100</v>
      </c>
    </row>
    <row r="115" spans="1:1" x14ac:dyDescent="0.35">
      <c r="A115" s="19">
        <f t="shared" si="2"/>
        <v>8200</v>
      </c>
    </row>
    <row r="116" spans="1:1" x14ac:dyDescent="0.35">
      <c r="A116" s="19">
        <f t="shared" si="2"/>
        <v>8300</v>
      </c>
    </row>
    <row r="117" spans="1:1" x14ac:dyDescent="0.35">
      <c r="A117" s="19">
        <f t="shared" si="2"/>
        <v>8400</v>
      </c>
    </row>
    <row r="118" spans="1:1" x14ac:dyDescent="0.35">
      <c r="A118" s="19">
        <f t="shared" si="2"/>
        <v>8500</v>
      </c>
    </row>
    <row r="119" spans="1:1" x14ac:dyDescent="0.35">
      <c r="A119" s="19">
        <f t="shared" si="2"/>
        <v>8600</v>
      </c>
    </row>
    <row r="120" spans="1:1" x14ac:dyDescent="0.35">
      <c r="A120" s="19">
        <f t="shared" si="2"/>
        <v>8700</v>
      </c>
    </row>
    <row r="121" spans="1:1" x14ac:dyDescent="0.35">
      <c r="A121" s="19">
        <f t="shared" si="2"/>
        <v>8800</v>
      </c>
    </row>
    <row r="122" spans="1:1" x14ac:dyDescent="0.35">
      <c r="A122" s="19">
        <f t="shared" si="2"/>
        <v>8900</v>
      </c>
    </row>
    <row r="123" spans="1:1" x14ac:dyDescent="0.35">
      <c r="A123" s="19">
        <f t="shared" si="2"/>
        <v>9000</v>
      </c>
    </row>
    <row r="124" spans="1:1" x14ac:dyDescent="0.35">
      <c r="A124" s="19">
        <f t="shared" si="2"/>
        <v>9100</v>
      </c>
    </row>
    <row r="125" spans="1:1" x14ac:dyDescent="0.35">
      <c r="A125" s="19">
        <f t="shared" si="2"/>
        <v>9200</v>
      </c>
    </row>
    <row r="126" spans="1:1" x14ac:dyDescent="0.35">
      <c r="A126" s="19">
        <f t="shared" si="2"/>
        <v>9300</v>
      </c>
    </row>
    <row r="127" spans="1:1" x14ac:dyDescent="0.35">
      <c r="A127" s="19">
        <f t="shared" si="2"/>
        <v>9400</v>
      </c>
    </row>
    <row r="128" spans="1:1" x14ac:dyDescent="0.35">
      <c r="A128" s="19">
        <f t="shared" si="2"/>
        <v>9500</v>
      </c>
    </row>
    <row r="129" spans="1:1" x14ac:dyDescent="0.35">
      <c r="A129" s="19">
        <f t="shared" si="2"/>
        <v>9600</v>
      </c>
    </row>
    <row r="130" spans="1:1" x14ac:dyDescent="0.35">
      <c r="A130" s="19">
        <f t="shared" si="2"/>
        <v>9700</v>
      </c>
    </row>
    <row r="131" spans="1:1" x14ac:dyDescent="0.35">
      <c r="A131" s="19">
        <f t="shared" si="2"/>
        <v>9800</v>
      </c>
    </row>
    <row r="132" spans="1:1" x14ac:dyDescent="0.35">
      <c r="A132" s="19">
        <f t="shared" si="2"/>
        <v>9900</v>
      </c>
    </row>
    <row r="133" spans="1:1" x14ac:dyDescent="0.35">
      <c r="A133" s="19">
        <f t="shared" si="2"/>
        <v>10000</v>
      </c>
    </row>
    <row r="134" spans="1:1" x14ac:dyDescent="0.35">
      <c r="A134" s="19">
        <f t="shared" si="2"/>
        <v>10100</v>
      </c>
    </row>
    <row r="135" spans="1:1" x14ac:dyDescent="0.35">
      <c r="A135" s="19">
        <f t="shared" si="2"/>
        <v>10200</v>
      </c>
    </row>
    <row r="136" spans="1:1" x14ac:dyDescent="0.35">
      <c r="A136" s="19">
        <f t="shared" si="2"/>
        <v>10300</v>
      </c>
    </row>
    <row r="137" spans="1:1" x14ac:dyDescent="0.35">
      <c r="A137" s="19">
        <f t="shared" si="2"/>
        <v>10400</v>
      </c>
    </row>
    <row r="138" spans="1:1" x14ac:dyDescent="0.35">
      <c r="A138" s="19">
        <f t="shared" si="2"/>
        <v>10500</v>
      </c>
    </row>
    <row r="139" spans="1:1" x14ac:dyDescent="0.35">
      <c r="A139" s="19">
        <f t="shared" si="2"/>
        <v>10600</v>
      </c>
    </row>
    <row r="140" spans="1:1" x14ac:dyDescent="0.35">
      <c r="A140" s="19">
        <f t="shared" si="2"/>
        <v>10700</v>
      </c>
    </row>
    <row r="141" spans="1:1" x14ac:dyDescent="0.35">
      <c r="A141" s="19">
        <f t="shared" si="2"/>
        <v>10800</v>
      </c>
    </row>
    <row r="142" spans="1:1" x14ac:dyDescent="0.35">
      <c r="A142" s="19">
        <f t="shared" si="2"/>
        <v>10900</v>
      </c>
    </row>
    <row r="143" spans="1:1" x14ac:dyDescent="0.35">
      <c r="A143" s="19">
        <f t="shared" si="2"/>
        <v>11000</v>
      </c>
    </row>
    <row r="144" spans="1:1" x14ac:dyDescent="0.35">
      <c r="A144" s="19">
        <f t="shared" si="2"/>
        <v>11100</v>
      </c>
    </row>
    <row r="145" spans="1:1" x14ac:dyDescent="0.35">
      <c r="A145" s="19">
        <f t="shared" si="2"/>
        <v>11200</v>
      </c>
    </row>
    <row r="146" spans="1:1" x14ac:dyDescent="0.35">
      <c r="A146" s="19">
        <f t="shared" si="2"/>
        <v>11300</v>
      </c>
    </row>
    <row r="147" spans="1:1" x14ac:dyDescent="0.35">
      <c r="A147" s="19">
        <f t="shared" si="2"/>
        <v>11400</v>
      </c>
    </row>
    <row r="148" spans="1:1" x14ac:dyDescent="0.35">
      <c r="A148" s="19">
        <f t="shared" si="2"/>
        <v>11500</v>
      </c>
    </row>
    <row r="149" spans="1:1" x14ac:dyDescent="0.35">
      <c r="A149" s="19">
        <f t="shared" si="2"/>
        <v>11600</v>
      </c>
    </row>
    <row r="150" spans="1:1" x14ac:dyDescent="0.35">
      <c r="A150" s="19">
        <f t="shared" si="2"/>
        <v>11700</v>
      </c>
    </row>
    <row r="151" spans="1:1" x14ac:dyDescent="0.35">
      <c r="A151" s="19">
        <f t="shared" si="2"/>
        <v>11800</v>
      </c>
    </row>
    <row r="152" spans="1:1" x14ac:dyDescent="0.35">
      <c r="A152" s="19">
        <f t="shared" si="2"/>
        <v>11900</v>
      </c>
    </row>
    <row r="153" spans="1:1" x14ac:dyDescent="0.35">
      <c r="A153" s="19">
        <f t="shared" si="2"/>
        <v>12000</v>
      </c>
    </row>
    <row r="154" spans="1:1" x14ac:dyDescent="0.35">
      <c r="A154" s="19">
        <f t="shared" si="2"/>
        <v>12100</v>
      </c>
    </row>
    <row r="155" spans="1:1" x14ac:dyDescent="0.35">
      <c r="A155" s="19">
        <f t="shared" si="2"/>
        <v>12200</v>
      </c>
    </row>
    <row r="156" spans="1:1" x14ac:dyDescent="0.35">
      <c r="A156" s="19">
        <f t="shared" si="2"/>
        <v>12300</v>
      </c>
    </row>
    <row r="157" spans="1:1" x14ac:dyDescent="0.35">
      <c r="A157" s="19">
        <f t="shared" si="2"/>
        <v>12400</v>
      </c>
    </row>
    <row r="158" spans="1:1" x14ac:dyDescent="0.35">
      <c r="A158" s="19">
        <f t="shared" si="2"/>
        <v>12500</v>
      </c>
    </row>
    <row r="159" spans="1:1" x14ac:dyDescent="0.35">
      <c r="A159" s="19">
        <f t="shared" si="2"/>
        <v>12600</v>
      </c>
    </row>
    <row r="160" spans="1:1" x14ac:dyDescent="0.35">
      <c r="A160" s="19">
        <f t="shared" si="2"/>
        <v>12700</v>
      </c>
    </row>
    <row r="161" spans="1:1" x14ac:dyDescent="0.35">
      <c r="A161" s="19">
        <f t="shared" si="2"/>
        <v>12800</v>
      </c>
    </row>
    <row r="162" spans="1:1" x14ac:dyDescent="0.35">
      <c r="A162" s="19">
        <f t="shared" si="2"/>
        <v>12900</v>
      </c>
    </row>
    <row r="163" spans="1:1" x14ac:dyDescent="0.35">
      <c r="A163" s="19">
        <f t="shared" ref="A163:A193" si="3">A162+100</f>
        <v>13000</v>
      </c>
    </row>
    <row r="164" spans="1:1" x14ac:dyDescent="0.35">
      <c r="A164" s="19">
        <f t="shared" si="3"/>
        <v>13100</v>
      </c>
    </row>
    <row r="165" spans="1:1" x14ac:dyDescent="0.35">
      <c r="A165" s="19">
        <f t="shared" si="3"/>
        <v>13200</v>
      </c>
    </row>
    <row r="166" spans="1:1" x14ac:dyDescent="0.35">
      <c r="A166" s="19">
        <f t="shared" si="3"/>
        <v>13300</v>
      </c>
    </row>
    <row r="167" spans="1:1" x14ac:dyDescent="0.35">
      <c r="A167" s="19">
        <f t="shared" si="3"/>
        <v>13400</v>
      </c>
    </row>
    <row r="168" spans="1:1" x14ac:dyDescent="0.35">
      <c r="A168" s="19">
        <f t="shared" si="3"/>
        <v>13500</v>
      </c>
    </row>
    <row r="169" spans="1:1" x14ac:dyDescent="0.35">
      <c r="A169" s="19">
        <f t="shared" si="3"/>
        <v>13600</v>
      </c>
    </row>
    <row r="170" spans="1:1" x14ac:dyDescent="0.35">
      <c r="A170" s="19">
        <f t="shared" si="3"/>
        <v>13700</v>
      </c>
    </row>
    <row r="171" spans="1:1" x14ac:dyDescent="0.35">
      <c r="A171" s="19">
        <f t="shared" si="3"/>
        <v>13800</v>
      </c>
    </row>
    <row r="172" spans="1:1" x14ac:dyDescent="0.35">
      <c r="A172" s="19">
        <f t="shared" si="3"/>
        <v>13900</v>
      </c>
    </row>
    <row r="173" spans="1:1" x14ac:dyDescent="0.35">
      <c r="A173" s="19">
        <f t="shared" si="3"/>
        <v>14000</v>
      </c>
    </row>
    <row r="174" spans="1:1" x14ac:dyDescent="0.35">
      <c r="A174" s="19">
        <f t="shared" si="3"/>
        <v>14100</v>
      </c>
    </row>
    <row r="175" spans="1:1" x14ac:dyDescent="0.35">
      <c r="A175" s="19">
        <f t="shared" si="3"/>
        <v>14200</v>
      </c>
    </row>
    <row r="176" spans="1:1" x14ac:dyDescent="0.35">
      <c r="A176" s="19">
        <f t="shared" si="3"/>
        <v>14300</v>
      </c>
    </row>
    <row r="177" spans="1:1" x14ac:dyDescent="0.35">
      <c r="A177" s="19">
        <f t="shared" si="3"/>
        <v>14400</v>
      </c>
    </row>
    <row r="178" spans="1:1" x14ac:dyDescent="0.35">
      <c r="A178" s="19">
        <f t="shared" si="3"/>
        <v>14500</v>
      </c>
    </row>
    <row r="179" spans="1:1" x14ac:dyDescent="0.35">
      <c r="A179" s="19">
        <f t="shared" si="3"/>
        <v>14600</v>
      </c>
    </row>
    <row r="180" spans="1:1" x14ac:dyDescent="0.35">
      <c r="A180" s="19">
        <f t="shared" si="3"/>
        <v>14700</v>
      </c>
    </row>
    <row r="181" spans="1:1" x14ac:dyDescent="0.35">
      <c r="A181" s="19">
        <f t="shared" si="3"/>
        <v>14800</v>
      </c>
    </row>
    <row r="182" spans="1:1" x14ac:dyDescent="0.35">
      <c r="A182" s="19">
        <f t="shared" si="3"/>
        <v>14900</v>
      </c>
    </row>
    <row r="183" spans="1:1" x14ac:dyDescent="0.35">
      <c r="A183" s="19">
        <f t="shared" si="3"/>
        <v>15000</v>
      </c>
    </row>
    <row r="184" spans="1:1" x14ac:dyDescent="0.35">
      <c r="A184" s="19">
        <f t="shared" si="3"/>
        <v>15100</v>
      </c>
    </row>
    <row r="185" spans="1:1" x14ac:dyDescent="0.35">
      <c r="A185" s="19">
        <f t="shared" si="3"/>
        <v>15200</v>
      </c>
    </row>
    <row r="186" spans="1:1" x14ac:dyDescent="0.35">
      <c r="A186" s="19">
        <f t="shared" si="3"/>
        <v>15300</v>
      </c>
    </row>
    <row r="187" spans="1:1" x14ac:dyDescent="0.35">
      <c r="A187" s="19">
        <f t="shared" si="3"/>
        <v>15400</v>
      </c>
    </row>
    <row r="188" spans="1:1" x14ac:dyDescent="0.35">
      <c r="A188" s="19">
        <f t="shared" si="3"/>
        <v>15500</v>
      </c>
    </row>
    <row r="189" spans="1:1" x14ac:dyDescent="0.35">
      <c r="A189" s="19">
        <f t="shared" si="3"/>
        <v>15600</v>
      </c>
    </row>
    <row r="190" spans="1:1" x14ac:dyDescent="0.35">
      <c r="A190" s="19">
        <f t="shared" si="3"/>
        <v>15700</v>
      </c>
    </row>
    <row r="191" spans="1:1" x14ac:dyDescent="0.35">
      <c r="A191" s="19">
        <f t="shared" si="3"/>
        <v>15800</v>
      </c>
    </row>
    <row r="192" spans="1:1" x14ac:dyDescent="0.35">
      <c r="A192" s="19">
        <f t="shared" si="3"/>
        <v>15900</v>
      </c>
    </row>
    <row r="193" spans="1:1" x14ac:dyDescent="0.35">
      <c r="A193" s="19">
        <f t="shared" si="3"/>
        <v>16000</v>
      </c>
    </row>
  </sheetData>
  <mergeCells count="5">
    <mergeCell ref="J6:N6"/>
    <mergeCell ref="A6:H6"/>
    <mergeCell ref="J30:L30"/>
    <mergeCell ref="P23:R23"/>
    <mergeCell ref="P6:R6"/>
  </mergeCells>
  <dataValidations count="1">
    <dataValidation type="list" allowBlank="1" showInputMessage="1" showErrorMessage="1" sqref="A34:A193 B13" xr:uid="{00000000-0002-0000-0100-000000000000}">
      <formula1>$A$26:$A$186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6"/>
  <sheetViews>
    <sheetView topLeftCell="F1" zoomScale="90" zoomScaleNormal="90" workbookViewId="0">
      <selection activeCell="G20" sqref="G20"/>
    </sheetView>
  </sheetViews>
  <sheetFormatPr defaultRowHeight="14.5" x14ac:dyDescent="0.35"/>
  <cols>
    <col min="1" max="1" width="5.81640625" bestFit="1" customWidth="1"/>
    <col min="2" max="2" width="12.36328125" bestFit="1" customWidth="1"/>
    <col min="3" max="3" width="14.81640625" bestFit="1" customWidth="1"/>
    <col min="4" max="4" width="12.81640625" bestFit="1" customWidth="1"/>
    <col min="8" max="8" width="24.7265625" bestFit="1" customWidth="1"/>
    <col min="9" max="9" width="17.81640625" bestFit="1" customWidth="1"/>
    <col min="10" max="10" width="17.36328125" bestFit="1" customWidth="1"/>
    <col min="11" max="13" width="17.26953125" bestFit="1" customWidth="1"/>
    <col min="15" max="15" width="24.26953125" bestFit="1" customWidth="1"/>
    <col min="16" max="16" width="19" bestFit="1" customWidth="1"/>
    <col min="17" max="17" width="18.54296875" bestFit="1" customWidth="1"/>
    <col min="18" max="20" width="18.453125" bestFit="1" customWidth="1"/>
  </cols>
  <sheetData>
    <row r="1" spans="1:20" ht="18.5" x14ac:dyDescent="0.45">
      <c r="A1" s="80" t="s">
        <v>63</v>
      </c>
      <c r="B1" s="80" t="s">
        <v>64</v>
      </c>
      <c r="C1" s="80" t="s">
        <v>65</v>
      </c>
      <c r="D1" s="80" t="s">
        <v>66</v>
      </c>
      <c r="H1" s="80" t="s">
        <v>152</v>
      </c>
      <c r="I1" s="80" t="s">
        <v>67</v>
      </c>
      <c r="J1" s="80" t="s">
        <v>68</v>
      </c>
      <c r="K1" s="80" t="s">
        <v>69</v>
      </c>
      <c r="L1" s="80" t="s">
        <v>70</v>
      </c>
      <c r="M1" s="80" t="s">
        <v>71</v>
      </c>
      <c r="N1" s="1"/>
      <c r="O1" s="80" t="s">
        <v>153</v>
      </c>
      <c r="P1" s="80" t="s">
        <v>73</v>
      </c>
      <c r="Q1" s="80" t="s">
        <v>74</v>
      </c>
      <c r="R1" s="80" t="s">
        <v>75</v>
      </c>
      <c r="S1" s="80" t="s">
        <v>76</v>
      </c>
      <c r="T1" s="80" t="s">
        <v>72</v>
      </c>
    </row>
    <row r="2" spans="1:20" x14ac:dyDescent="0.35">
      <c r="A2" s="8">
        <v>4000</v>
      </c>
      <c r="B2" s="8">
        <v>20</v>
      </c>
      <c r="C2" s="85">
        <f>9.5488*(D2*1000)/A2</f>
        <v>35.602700800000008</v>
      </c>
      <c r="D2" s="85">
        <f>SUM(0.7457*B2)</f>
        <v>14.914000000000001</v>
      </c>
      <c r="H2" s="85">
        <f>SUM(A2*60*('BMW s1000rr'!$C$15/'BMW s1000rr'!$B$15)*'BMW s1000rr'!$E$29*PI()*(('BMW s1000rr'!$C$7/'BMW s1000rr'!$B$7)/1000)*('BMW s1000rr'!$B$8/'BMW s1000rr'!$C$8))</f>
        <v>41.735024433147757</v>
      </c>
      <c r="I2" s="85">
        <f>SUM(A2*60*('BMW s1000rr'!$C$17/'BMW s1000rr'!$B$17)*'BMW s1000rr'!$E$29*PI()*(('BMW s1000rr'!$C$7/'BMW s1000rr'!$B$7)/1000)*'BMW s1000rr'!$B$8/'BMW s1000rr'!$C$8)</f>
        <v>52.835900497207511</v>
      </c>
      <c r="J2" s="85">
        <f>SUM(A2*60*('BMW s1000rr'!$C$19/'BMW s1000rr'!$B$19)*'BMW s1000rr'!$E$29*PI()*(('BMW s1000rr'!$C$7/'BMW s1000rr'!$B$7)/1000)*'BMW s1000rr'!$B$8/'BMW s1000rr'!$C$8)</f>
        <v>63.959247970303828</v>
      </c>
      <c r="K2" s="85">
        <f>SUM(A2*60*('BMW s1000rr'!$C$21/'BMW s1000rr'!$B$21)*'BMW s1000rr'!$E$29*PI()*(('BMW s1000rr'!$C$7/'BMW s1000rr'!$B$7)/1000)*'BMW s1000rr'!$B$8/'BMW s1000rr'!$C$8)</f>
        <v>73.650043117319555</v>
      </c>
      <c r="L2" s="85">
        <f>SUM(A2*60*('BMW s1000rr'!$C$23/'BMW s1000rr'!$B$23)*'BMW s1000rr'!$E$29*PI()*(('BMW s1000rr'!$C$7/'BMW s1000rr'!$B$7)/1000)*'BMW s1000rr'!$B$8/'BMW s1000rr'!$C$8)</f>
        <v>81.231665202925981</v>
      </c>
      <c r="M2" s="85">
        <f>SUM(A2*60*('BMW s1000rr'!$C$25/'BMW s1000rr'!$B$25)*'BMW s1000rr'!$E$29*PI()*(('BMW s1000rr'!$C$7/'BMW s1000rr'!$B$7)/1000)*'BMW s1000rr'!$B$8/'BMW s1000rr'!$C$8)</f>
        <v>87.618154743018096</v>
      </c>
      <c r="O2" s="85">
        <f>SUM(D2*1000)/(H2*(1000/3600))</f>
        <v>1286.4590527795826</v>
      </c>
      <c r="P2" s="85">
        <f>SUM(D2*1000)/(I2*(1000/3600))</f>
        <v>1016.1727063370038</v>
      </c>
      <c r="Q2" s="85">
        <f>SUM(D2*1000)/(J2*(1000/3600))</f>
        <v>839.44701827839458</v>
      </c>
      <c r="R2" s="85">
        <f>SUM(D2*1000)/(K2*(1000/3600))</f>
        <v>728.99346324176372</v>
      </c>
      <c r="S2" s="85">
        <f>SUM(D2*1000)/(L2*(1000/3600))</f>
        <v>660.954073339199</v>
      </c>
      <c r="T2" s="85">
        <f>SUM(D2*1000)/(M2*(1000/3600))</f>
        <v>612.77711402930856</v>
      </c>
    </row>
    <row r="3" spans="1:20" x14ac:dyDescent="0.35">
      <c r="A3" s="8">
        <v>4500</v>
      </c>
      <c r="B3" s="8">
        <v>47</v>
      </c>
      <c r="C3" s="85">
        <f t="shared" ref="C3:C21" si="0">9.5488*(D3*1000)/A3</f>
        <v>74.370073349870921</v>
      </c>
      <c r="D3" s="85">
        <f>0.745699872*B3</f>
        <v>35.047893983999998</v>
      </c>
      <c r="H3" s="85">
        <f>SUM(A3*60*('BMW s1000rr'!$C$15/'BMW s1000rr'!$B$15)*'BMW s1000rr'!$E$29*PI()*(('BMW s1000rr'!$C$7/'BMW s1000rr'!$B$7)/1000)*('BMW s1000rr'!$B$8/'BMW s1000rr'!$C$8))</f>
        <v>46.951902487291221</v>
      </c>
      <c r="I3" s="85">
        <f>SUM(A3*60*('BMW s1000rr'!$C$17/'BMW s1000rr'!$B$17)*'BMW s1000rr'!$E$29*PI()*(('BMW s1000rr'!$C$7/'BMW s1000rr'!$B$7)/1000)*'BMW s1000rr'!$B$8/'BMW s1000rr'!$C$8)</f>
        <v>59.440388059358462</v>
      </c>
      <c r="J3" s="85">
        <f>SUM(A3*60*('BMW s1000rr'!$C$19/'BMW s1000rr'!$B$19)*'BMW s1000rr'!$E$29*PI()*(('BMW s1000rr'!$C$7/'BMW s1000rr'!$B$7)/1000)*'BMW s1000rr'!$B$8/'BMW s1000rr'!$C$8)</f>
        <v>71.954153966591818</v>
      </c>
      <c r="K3" s="85">
        <f>SUM(A3*60*('BMW s1000rr'!$C$21/'BMW s1000rr'!$B$21)*'BMW s1000rr'!$E$29*PI()*(('BMW s1000rr'!$C$7/'BMW s1000rr'!$B$7)/1000)*'BMW s1000rr'!$B$8/'BMW s1000rr'!$C$8)</f>
        <v>82.856298506984501</v>
      </c>
      <c r="L3" s="85">
        <f>SUM(A3*60*('BMW s1000rr'!$C$23/'BMW s1000rr'!$B$23)*'BMW s1000rr'!$E$29*PI()*(('BMW s1000rr'!$C$7/'BMW s1000rr'!$B$7)/1000)*'BMW s1000rr'!$B$8/'BMW s1000rr'!$C$8)</f>
        <v>91.385623353291749</v>
      </c>
      <c r="M3" s="85">
        <f>SUM(A3*60*('BMW s1000rr'!$C$25/'BMW s1000rr'!$B$25)*'BMW s1000rr'!$E$29*PI()*(('BMW s1000rr'!$C$7/'BMW s1000rr'!$B$7)/1000)*'BMW s1000rr'!$B$8/'BMW s1000rr'!$C$8)</f>
        <v>98.570424085895354</v>
      </c>
      <c r="O3" s="85">
        <f t="shared" ref="O3:O22" si="1">SUM(D3*1000)/(H3*(1000/3600))</f>
        <v>2687.2695600897514</v>
      </c>
      <c r="P3" s="85">
        <f t="shared" ref="P3:P22" si="2">SUM(D3*1000)/(I3*(1000/3600))</f>
        <v>2122.6715111011972</v>
      </c>
      <c r="Q3" s="85">
        <f t="shared" ref="Q3:Q22" si="3">SUM(D3*1000)/(J3*(1000/3600))</f>
        <v>1753.5112483009889</v>
      </c>
      <c r="R3" s="85">
        <f t="shared" ref="R3:R22" si="4">SUM(D3*1000)/(K3*(1000/3600))</f>
        <v>1522.7860840508592</v>
      </c>
      <c r="S3" s="85">
        <f t="shared" ref="S3:S22" si="5">SUM(D3*1000)/(L3*(1000/3600))</f>
        <v>1380.6593828727787</v>
      </c>
      <c r="T3" s="85">
        <f t="shared" ref="T3:T22" si="6">SUM(D3*1000)/(M3*(1000/3600))</f>
        <v>1280.0230851442004</v>
      </c>
    </row>
    <row r="4" spans="1:20" x14ac:dyDescent="0.35">
      <c r="A4" s="8">
        <v>5000</v>
      </c>
      <c r="B4" s="8">
        <v>62</v>
      </c>
      <c r="C4" s="85">
        <f t="shared" si="0"/>
        <v>88.29468282814463</v>
      </c>
      <c r="D4" s="85">
        <f t="shared" ref="D4:D22" si="7">0.745699872*B4</f>
        <v>46.233392064</v>
      </c>
      <c r="H4" s="85">
        <f>SUM(A4*60*('BMW s1000rr'!$C$15/'BMW s1000rr'!$B$15)*'BMW s1000rr'!$E$29*PI()*(('BMW s1000rr'!$C$7/'BMW s1000rr'!$B$7)/1000)*('BMW s1000rr'!$B$8/'BMW s1000rr'!$C$8))</f>
        <v>52.168780541434685</v>
      </c>
      <c r="I4" s="85">
        <f>SUM(A4*60*('BMW s1000rr'!$C$17/'BMW s1000rr'!$B$17)*'BMW s1000rr'!$E$29*PI()*(('BMW s1000rr'!$C$7/'BMW s1000rr'!$B$7)/1000)*'BMW s1000rr'!$B$8/'BMW s1000rr'!$C$8)</f>
        <v>66.044875621509391</v>
      </c>
      <c r="J4" s="85">
        <f>SUM(A4*60*('BMW s1000rr'!$C$19/'BMW s1000rr'!$B$19)*'BMW s1000rr'!$E$29*PI()*(('BMW s1000rr'!$C$7/'BMW s1000rr'!$B$7)/1000)*'BMW s1000rr'!$B$8/'BMW s1000rr'!$C$8)</f>
        <v>79.949059962879787</v>
      </c>
      <c r="K4" s="85">
        <f>SUM(A4*60*('BMW s1000rr'!$C$21/'BMW s1000rr'!$B$21)*'BMW s1000rr'!$E$29*PI()*(('BMW s1000rr'!$C$7/'BMW s1000rr'!$B$7)/1000)*'BMW s1000rr'!$B$8/'BMW s1000rr'!$C$8)</f>
        <v>92.062553896649462</v>
      </c>
      <c r="L4" s="85">
        <f>SUM(A4*60*('BMW s1000rr'!$C$23/'BMW s1000rr'!$B$23)*'BMW s1000rr'!$E$29*PI()*(('BMW s1000rr'!$C$7/'BMW s1000rr'!$B$7)/1000)*'BMW s1000rr'!$B$8/'BMW s1000rr'!$C$8)</f>
        <v>101.53958150365749</v>
      </c>
      <c r="M4" s="85">
        <f>SUM(A4*60*('BMW s1000rr'!$C$25/'BMW s1000rr'!$B$25)*'BMW s1000rr'!$E$29*PI()*(('BMW s1000rr'!$C$7/'BMW s1000rr'!$B$7)/1000)*'BMW s1000rr'!$B$8/'BMW s1000rr'!$C$8)</f>
        <v>109.52269342877261</v>
      </c>
      <c r="O4" s="85">
        <f t="shared" si="1"/>
        <v>3190.4179032554925</v>
      </c>
      <c r="P4" s="85">
        <f t="shared" si="2"/>
        <v>2520.1078791371665</v>
      </c>
      <c r="Q4" s="85">
        <f t="shared" si="3"/>
        <v>2081.8282479828767</v>
      </c>
      <c r="R4" s="85">
        <f t="shared" si="4"/>
        <v>1807.9034785114454</v>
      </c>
      <c r="S4" s="85">
        <f t="shared" si="5"/>
        <v>1639.165820517044</v>
      </c>
      <c r="T4" s="85">
        <f t="shared" si="6"/>
        <v>1519.6869819371573</v>
      </c>
    </row>
    <row r="5" spans="1:20" x14ac:dyDescent="0.35">
      <c r="A5" s="8">
        <v>5500</v>
      </c>
      <c r="B5" s="8">
        <v>73</v>
      </c>
      <c r="C5" s="85">
        <f t="shared" si="0"/>
        <v>94.508971355638693</v>
      </c>
      <c r="D5" s="85">
        <f t="shared" si="7"/>
        <v>54.436090655999998</v>
      </c>
      <c r="H5" s="85">
        <f>SUM(A5*60*('BMW s1000rr'!$C$15/'BMW s1000rr'!$B$15)*'BMW s1000rr'!$E$29*PI()*(('BMW s1000rr'!$C$7/'BMW s1000rr'!$B$7)/1000)*('BMW s1000rr'!$B$8/'BMW s1000rr'!$C$8))</f>
        <v>57.38565859557815</v>
      </c>
      <c r="I5" s="85">
        <f>SUM(A5*60*('BMW s1000rr'!$C$17/'BMW s1000rr'!$B$17)*'BMW s1000rr'!$E$29*PI()*(('BMW s1000rr'!$C$7/'BMW s1000rr'!$B$7)/1000)*'BMW s1000rr'!$B$8/'BMW s1000rr'!$C$8)</f>
        <v>72.649363183660327</v>
      </c>
      <c r="J5" s="85">
        <f>SUM(A5*60*('BMW s1000rr'!$C$19/'BMW s1000rr'!$B$19)*'BMW s1000rr'!$E$29*PI()*(('BMW s1000rr'!$C$7/'BMW s1000rr'!$B$7)/1000)*'BMW s1000rr'!$B$8/'BMW s1000rr'!$C$8)</f>
        <v>87.94396595916777</v>
      </c>
      <c r="K5" s="85">
        <f>SUM(A5*60*('BMW s1000rr'!$C$21/'BMW s1000rr'!$B$21)*'BMW s1000rr'!$E$29*PI()*(('BMW s1000rr'!$C$7/'BMW s1000rr'!$B$7)/1000)*'BMW s1000rr'!$B$8/'BMW s1000rr'!$C$8)</f>
        <v>101.26880928631439</v>
      </c>
      <c r="L5" s="85">
        <f>SUM(A5*60*('BMW s1000rr'!$C$23/'BMW s1000rr'!$B$23)*'BMW s1000rr'!$E$29*PI()*(('BMW s1000rr'!$C$7/'BMW s1000rr'!$B$7)/1000)*'BMW s1000rr'!$B$8/'BMW s1000rr'!$C$8)</f>
        <v>111.69353965402325</v>
      </c>
      <c r="M5" s="85">
        <f>SUM(A5*60*('BMW s1000rr'!$C$25/'BMW s1000rr'!$B$25)*'BMW s1000rr'!$E$29*PI()*(('BMW s1000rr'!$C$7/'BMW s1000rr'!$B$7)/1000)*'BMW s1000rr'!$B$8/'BMW s1000rr'!$C$8)</f>
        <v>120.47496277164986</v>
      </c>
      <c r="O5" s="85">
        <f t="shared" si="1"/>
        <v>3414.9634448335919</v>
      </c>
      <c r="P5" s="85">
        <f t="shared" si="2"/>
        <v>2697.4761756160292</v>
      </c>
      <c r="Q5" s="85">
        <f t="shared" si="3"/>
        <v>2228.3498842045456</v>
      </c>
      <c r="R5" s="85">
        <f t="shared" si="4"/>
        <v>1935.1459520723686</v>
      </c>
      <c r="S5" s="85">
        <f t="shared" si="5"/>
        <v>1754.5323298789472</v>
      </c>
      <c r="T5" s="85">
        <f t="shared" si="6"/>
        <v>1626.6444234811217</v>
      </c>
    </row>
    <row r="6" spans="1:20" x14ac:dyDescent="0.35">
      <c r="A6" s="8">
        <v>6000</v>
      </c>
      <c r="B6" s="8">
        <v>82</v>
      </c>
      <c r="C6" s="85">
        <f t="shared" si="0"/>
        <v>97.314032149299209</v>
      </c>
      <c r="D6" s="85">
        <f t="shared" si="7"/>
        <v>61.147389503999996</v>
      </c>
      <c r="H6" s="85">
        <f>SUM(A6*60*('BMW s1000rr'!$C$15/'BMW s1000rr'!$B$15)*'BMW s1000rr'!$E$29*PI()*(('BMW s1000rr'!$C$7/'BMW s1000rr'!$B$7)/1000)*('BMW s1000rr'!$B$8/'BMW s1000rr'!$C$8))</f>
        <v>62.602536649721621</v>
      </c>
      <c r="I6" s="85">
        <f>SUM(A6*60*('BMW s1000rr'!$C$17/'BMW s1000rr'!$B$17)*'BMW s1000rr'!$E$29*PI()*(('BMW s1000rr'!$C$7/'BMW s1000rr'!$B$7)/1000)*'BMW s1000rr'!$B$8/'BMW s1000rr'!$C$8)</f>
        <v>79.253850745811278</v>
      </c>
      <c r="J6" s="85">
        <f>SUM(A6*60*('BMW s1000rr'!$C$19/'BMW s1000rr'!$B$19)*'BMW s1000rr'!$E$29*PI()*(('BMW s1000rr'!$C$7/'BMW s1000rr'!$B$7)/1000)*'BMW s1000rr'!$B$8/'BMW s1000rr'!$C$8)</f>
        <v>95.938871955455738</v>
      </c>
      <c r="K6" s="85">
        <f>SUM(A6*60*('BMW s1000rr'!$C$21/'BMW s1000rr'!$B$21)*'BMW s1000rr'!$E$29*PI()*(('BMW s1000rr'!$C$7/'BMW s1000rr'!$B$7)/1000)*'BMW s1000rr'!$B$8/'BMW s1000rr'!$C$8)</f>
        <v>110.47506467597933</v>
      </c>
      <c r="L6" s="85">
        <f>SUM(A6*60*('BMW s1000rr'!$C$23/'BMW s1000rr'!$B$23)*'BMW s1000rr'!$E$29*PI()*(('BMW s1000rr'!$C$7/'BMW s1000rr'!$B$7)/1000)*'BMW s1000rr'!$B$8/'BMW s1000rr'!$C$8)</f>
        <v>121.84749780438898</v>
      </c>
      <c r="M6" s="85">
        <f>SUM(A6*60*('BMW s1000rr'!$C$25/'BMW s1000rr'!$B$25)*'BMW s1000rr'!$E$29*PI()*(('BMW s1000rr'!$C$7/'BMW s1000rr'!$B$7)/1000)*'BMW s1000rr'!$B$8/'BMW s1000rr'!$C$8)</f>
        <v>131.42723211452713</v>
      </c>
      <c r="O6" s="85">
        <f t="shared" si="1"/>
        <v>3516.3208073514838</v>
      </c>
      <c r="P6" s="85">
        <f t="shared" si="2"/>
        <v>2777.538253887737</v>
      </c>
      <c r="Q6" s="85">
        <f t="shared" si="3"/>
        <v>2294.4881227768269</v>
      </c>
      <c r="R6" s="85">
        <f t="shared" si="4"/>
        <v>1992.5817908325077</v>
      </c>
      <c r="S6" s="85">
        <f t="shared" si="5"/>
        <v>1806.6074903548065</v>
      </c>
      <c r="T6" s="85">
        <f t="shared" si="6"/>
        <v>1674.9238241780499</v>
      </c>
    </row>
    <row r="7" spans="1:20" x14ac:dyDescent="0.35">
      <c r="A7" s="8">
        <v>6500</v>
      </c>
      <c r="B7" s="8">
        <v>91</v>
      </c>
      <c r="C7" s="85">
        <f t="shared" si="0"/>
        <v>99.687545128550397</v>
      </c>
      <c r="D7" s="85">
        <f t="shared" si="7"/>
        <v>67.858688352000001</v>
      </c>
      <c r="H7" s="85">
        <f>SUM(A7*60*('BMW s1000rr'!$C$15/'BMW s1000rr'!$B$15)*'BMW s1000rr'!$E$29*PI()*(('BMW s1000rr'!$C$7/'BMW s1000rr'!$B$7)/1000)*('BMW s1000rr'!$B$8/'BMW s1000rr'!$C$8))</f>
        <v>67.819414703865093</v>
      </c>
      <c r="I7" s="85">
        <f>SUM(A7*60*('BMW s1000rr'!$C$17/'BMW s1000rr'!$B$17)*'BMW s1000rr'!$E$29*PI()*(('BMW s1000rr'!$C$7/'BMW s1000rr'!$B$7)/1000)*'BMW s1000rr'!$B$8/'BMW s1000rr'!$C$8)</f>
        <v>85.8583383079622</v>
      </c>
      <c r="J7" s="85">
        <f>SUM(A7*60*('BMW s1000rr'!$C$19/'BMW s1000rr'!$B$19)*'BMW s1000rr'!$E$29*PI()*(('BMW s1000rr'!$C$7/'BMW s1000rr'!$B$7)/1000)*'BMW s1000rr'!$B$8/'BMW s1000rr'!$C$8)</f>
        <v>103.93377795174374</v>
      </c>
      <c r="K7" s="85">
        <f>SUM(A7*60*('BMW s1000rr'!$C$21/'BMW s1000rr'!$B$21)*'BMW s1000rr'!$E$29*PI()*(('BMW s1000rr'!$C$7/'BMW s1000rr'!$B$7)/1000)*'BMW s1000rr'!$B$8/'BMW s1000rr'!$C$8)</f>
        <v>119.68132006564427</v>
      </c>
      <c r="L7" s="85">
        <f>SUM(A7*60*('BMW s1000rr'!$C$23/'BMW s1000rr'!$B$23)*'BMW s1000rr'!$E$29*PI()*(('BMW s1000rr'!$C$7/'BMW s1000rr'!$B$7)/1000)*'BMW s1000rr'!$B$8/'BMW s1000rr'!$C$8)</f>
        <v>132.00145595475473</v>
      </c>
      <c r="M7" s="85">
        <f>SUM(A7*60*('BMW s1000rr'!$C$25/'BMW s1000rr'!$B$25)*'BMW s1000rr'!$E$29*PI()*(('BMW s1000rr'!$C$7/'BMW s1000rr'!$B$7)/1000)*'BMW s1000rr'!$B$8/'BMW s1000rr'!$C$8)</f>
        <v>142.37950145740439</v>
      </c>
      <c r="O7" s="85">
        <f>SUM(D7*1000)/(H7*(1000/3600))</f>
        <v>3602.0847294820073</v>
      </c>
      <c r="P7" s="85">
        <f t="shared" si="2"/>
        <v>2845.2830893484143</v>
      </c>
      <c r="Q7" s="85">
        <f t="shared" si="3"/>
        <v>2350.4512477226026</v>
      </c>
      <c r="R7" s="85">
        <f t="shared" si="4"/>
        <v>2041.181346706471</v>
      </c>
      <c r="S7" s="85">
        <f t="shared" si="5"/>
        <v>1850.6710876805334</v>
      </c>
      <c r="T7" s="85">
        <f t="shared" si="6"/>
        <v>1715.7756247677585</v>
      </c>
    </row>
    <row r="8" spans="1:20" x14ac:dyDescent="0.35">
      <c r="A8" s="8">
        <v>7000</v>
      </c>
      <c r="B8" s="8">
        <v>100</v>
      </c>
      <c r="C8" s="85">
        <f t="shared" si="0"/>
        <v>101.72198482505144</v>
      </c>
      <c r="D8" s="85">
        <f t="shared" si="7"/>
        <v>74.5699872</v>
      </c>
      <c r="H8" s="85">
        <f>SUM(A8*60*('BMW s1000rr'!$C$15/'BMW s1000rr'!$B$15)*'BMW s1000rr'!$E$29*PI()*(('BMW s1000rr'!$C$7/'BMW s1000rr'!$B$7)/1000)*('BMW s1000rr'!$B$8/'BMW s1000rr'!$C$8))</f>
        <v>73.036292758008571</v>
      </c>
      <c r="I8" s="85">
        <f>SUM(A8*60*('BMW s1000rr'!$C$17/'BMW s1000rr'!$B$17)*'BMW s1000rr'!$E$29*PI()*(('BMW s1000rr'!$C$7/'BMW s1000rr'!$B$7)/1000)*'BMW s1000rr'!$B$8/'BMW s1000rr'!$C$8)</f>
        <v>92.462825870113136</v>
      </c>
      <c r="J8" s="85">
        <f>SUM(A8*60*('BMW s1000rr'!$C$19/'BMW s1000rr'!$B$19)*'BMW s1000rr'!$E$29*PI()*(('BMW s1000rr'!$C$7/'BMW s1000rr'!$B$7)/1000)*'BMW s1000rr'!$B$8/'BMW s1000rr'!$C$8)</f>
        <v>111.9286839480317</v>
      </c>
      <c r="K8" s="85">
        <f>SUM(A8*60*('BMW s1000rr'!$C$21/'BMW s1000rr'!$B$21)*'BMW s1000rr'!$E$29*PI()*(('BMW s1000rr'!$C$7/'BMW s1000rr'!$B$7)/1000)*'BMW s1000rr'!$B$8/'BMW s1000rr'!$C$8)</f>
        <v>128.88757545530922</v>
      </c>
      <c r="L8" s="85">
        <f>SUM(A8*60*('BMW s1000rr'!$C$23/'BMW s1000rr'!$B$23)*'BMW s1000rr'!$E$29*PI()*(('BMW s1000rr'!$C$7/'BMW s1000rr'!$B$7)/1000)*'BMW s1000rr'!$B$8/'BMW s1000rr'!$C$8)</f>
        <v>142.15541410512049</v>
      </c>
      <c r="M8" s="85">
        <f>SUM(A8*60*('BMW s1000rr'!$C$25/'BMW s1000rr'!$B$25)*'BMW s1000rr'!$E$29*PI()*(('BMW s1000rr'!$C$7/'BMW s1000rr'!$B$7)/1000)*'BMW s1000rr'!$B$8/'BMW s1000rr'!$C$8)</f>
        <v>153.33177080028167</v>
      </c>
      <c r="O8" s="85">
        <f t="shared" si="1"/>
        <v>3675.596662736742</v>
      </c>
      <c r="P8" s="85">
        <f t="shared" si="2"/>
        <v>2903.3500911718515</v>
      </c>
      <c r="Q8" s="85">
        <f t="shared" si="3"/>
        <v>2398.4196405332682</v>
      </c>
      <c r="R8" s="85">
        <f t="shared" si="4"/>
        <v>2082.8381088841543</v>
      </c>
      <c r="S8" s="85">
        <f t="shared" si="5"/>
        <v>1888.4398853882997</v>
      </c>
      <c r="T8" s="85">
        <f t="shared" si="6"/>
        <v>1750.7914538446512</v>
      </c>
    </row>
    <row r="9" spans="1:20" x14ac:dyDescent="0.35">
      <c r="A9" s="8">
        <v>7500</v>
      </c>
      <c r="B9" s="8">
        <v>110</v>
      </c>
      <c r="C9" s="85">
        <f t="shared" si="0"/>
        <v>104.43457108705282</v>
      </c>
      <c r="D9" s="85">
        <f t="shared" si="7"/>
        <v>82.026985920000001</v>
      </c>
      <c r="H9" s="85">
        <f>SUM(A9*60*('BMW s1000rr'!$C$15/'BMW s1000rr'!$B$15)*'BMW s1000rr'!$E$29*PI()*(('BMW s1000rr'!$C$7/'BMW s1000rr'!$B$7)/1000)*('BMW s1000rr'!$B$8/'BMW s1000rr'!$C$8))</f>
        <v>78.253170812152021</v>
      </c>
      <c r="I9" s="85">
        <f>SUM(A9*60*('BMW s1000rr'!$C$17/'BMW s1000rr'!$B$17)*'BMW s1000rr'!$E$29*PI()*(('BMW s1000rr'!$C$7/'BMW s1000rr'!$B$7)/1000)*'BMW s1000rr'!$B$8/'BMW s1000rr'!$C$8)</f>
        <v>99.0673134322641</v>
      </c>
      <c r="J9" s="85">
        <f>SUM(A9*60*('BMW s1000rr'!$C$19/'BMW s1000rr'!$B$19)*'BMW s1000rr'!$E$29*PI()*(('BMW s1000rr'!$C$7/'BMW s1000rr'!$B$7)/1000)*'BMW s1000rr'!$B$8/'BMW s1000rr'!$C$8)</f>
        <v>119.92358994431969</v>
      </c>
      <c r="K9" s="85">
        <f>SUM(A9*60*('BMW s1000rr'!$C$21/'BMW s1000rr'!$B$21)*'BMW s1000rr'!$E$29*PI()*(('BMW s1000rr'!$C$7/'BMW s1000rr'!$B$7)/1000)*'BMW s1000rr'!$B$8/'BMW s1000rr'!$C$8)</f>
        <v>138.09383084497418</v>
      </c>
      <c r="L9" s="85">
        <f>SUM(A9*60*('BMW s1000rr'!$C$23/'BMW s1000rr'!$B$23)*'BMW s1000rr'!$E$29*PI()*(('BMW s1000rr'!$C$7/'BMW s1000rr'!$B$7)/1000)*'BMW s1000rr'!$B$8/'BMW s1000rr'!$C$8)</f>
        <v>152.30937225548624</v>
      </c>
      <c r="M9" s="85">
        <f>SUM(A9*60*('BMW s1000rr'!$C$25/'BMW s1000rr'!$B$25)*'BMW s1000rr'!$E$29*PI()*(('BMW s1000rr'!$C$7/'BMW s1000rr'!$B$7)/1000)*'BMW s1000rr'!$B$8/'BMW s1000rr'!$C$8)</f>
        <v>164.28404014315896</v>
      </c>
      <c r="O9" s="85">
        <f t="shared" si="1"/>
        <v>3773.6125737430561</v>
      </c>
      <c r="P9" s="85">
        <f t="shared" si="2"/>
        <v>2980.7727602697669</v>
      </c>
      <c r="Q9" s="85">
        <f t="shared" si="3"/>
        <v>2462.3774976141553</v>
      </c>
      <c r="R9" s="85">
        <f t="shared" si="4"/>
        <v>2138.3804584543982</v>
      </c>
      <c r="S9" s="85">
        <f t="shared" si="5"/>
        <v>1938.7982823319878</v>
      </c>
      <c r="T9" s="85">
        <f t="shared" si="6"/>
        <v>1797.4792259471749</v>
      </c>
    </row>
    <row r="10" spans="1:20" x14ac:dyDescent="0.35">
      <c r="A10" s="8">
        <v>8000</v>
      </c>
      <c r="B10" s="8">
        <v>121</v>
      </c>
      <c r="C10" s="85">
        <f t="shared" si="0"/>
        <v>107.69815143352319</v>
      </c>
      <c r="D10" s="85">
        <f t="shared" si="7"/>
        <v>90.229684511999992</v>
      </c>
      <c r="H10" s="85">
        <f>SUM(A10*60*('BMW s1000rr'!$C$15/'BMW s1000rr'!$B$15)*'BMW s1000rr'!$E$29*PI()*(('BMW s1000rr'!$C$7/'BMW s1000rr'!$B$7)/1000)*('BMW s1000rr'!$B$8/'BMW s1000rr'!$C$8))</f>
        <v>83.470048866295514</v>
      </c>
      <c r="I10" s="85">
        <f>SUM(A10*60*('BMW s1000rr'!$C$17/'BMW s1000rr'!$B$17)*'BMW s1000rr'!$E$29*PI()*(('BMW s1000rr'!$C$7/'BMW s1000rr'!$B$7)/1000)*'BMW s1000rr'!$B$8/'BMW s1000rr'!$C$8)</f>
        <v>105.67180099441502</v>
      </c>
      <c r="J10" s="85">
        <f>SUM(A10*60*('BMW s1000rr'!$C$19/'BMW s1000rr'!$B$19)*'BMW s1000rr'!$E$29*PI()*(('BMW s1000rr'!$C$7/'BMW s1000rr'!$B$7)/1000)*'BMW s1000rr'!$B$8/'BMW s1000rr'!$C$8)</f>
        <v>127.91849594060766</v>
      </c>
      <c r="K10" s="85">
        <f>SUM(A10*60*('BMW s1000rr'!$C$21/'BMW s1000rr'!$B$21)*'BMW s1000rr'!$E$29*PI()*(('BMW s1000rr'!$C$7/'BMW s1000rr'!$B$7)/1000)*'BMW s1000rr'!$B$8/'BMW s1000rr'!$C$8)</f>
        <v>147.30008623463911</v>
      </c>
      <c r="L10" s="85">
        <f>SUM(A10*60*('BMW s1000rr'!$C$23/'BMW s1000rr'!$B$23)*'BMW s1000rr'!$E$29*PI()*(('BMW s1000rr'!$C$7/'BMW s1000rr'!$B$7)/1000)*'BMW s1000rr'!$B$8/'BMW s1000rr'!$C$8)</f>
        <v>162.46333040585196</v>
      </c>
      <c r="M10" s="85">
        <f>SUM(A10*60*('BMW s1000rr'!$C$25/'BMW s1000rr'!$B$25)*'BMW s1000rr'!$E$29*PI()*(('BMW s1000rr'!$C$7/'BMW s1000rr'!$B$7)/1000)*'BMW s1000rr'!$B$8/'BMW s1000rr'!$C$8)</f>
        <v>175.23630948603619</v>
      </c>
      <c r="O10" s="85">
        <f t="shared" si="1"/>
        <v>3891.5379666725253</v>
      </c>
      <c r="P10" s="85">
        <f t="shared" si="2"/>
        <v>3073.9219090281972</v>
      </c>
      <c r="Q10" s="85">
        <f t="shared" si="3"/>
        <v>2539.3267944145978</v>
      </c>
      <c r="R10" s="85">
        <f t="shared" si="4"/>
        <v>2205.2048477810981</v>
      </c>
      <c r="S10" s="85">
        <f t="shared" si="5"/>
        <v>1999.3857286548621</v>
      </c>
      <c r="T10" s="85">
        <f t="shared" si="6"/>
        <v>1853.6504517580245</v>
      </c>
    </row>
    <row r="11" spans="1:20" x14ac:dyDescent="0.35">
      <c r="A11" s="8">
        <v>8500</v>
      </c>
      <c r="B11" s="8">
        <v>134</v>
      </c>
      <c r="C11" s="85">
        <f t="shared" si="0"/>
        <v>112.25320207752733</v>
      </c>
      <c r="D11" s="85">
        <f t="shared" si="7"/>
        <v>99.923782848000002</v>
      </c>
      <c r="H11" s="85">
        <f>SUM(A11*60*('BMW s1000rr'!$C$15/'BMW s1000rr'!$B$15)*'BMW s1000rr'!$E$29*PI()*(('BMW s1000rr'!$C$7/'BMW s1000rr'!$B$7)/1000)*('BMW s1000rr'!$B$8/'BMW s1000rr'!$C$8))</f>
        <v>88.686926920438964</v>
      </c>
      <c r="I11" s="85">
        <f>SUM(A11*60*('BMW s1000rr'!$C$17/'BMW s1000rr'!$B$17)*'BMW s1000rr'!$E$29*PI()*(('BMW s1000rr'!$C$7/'BMW s1000rr'!$B$7)/1000)*'BMW s1000rr'!$B$8/'BMW s1000rr'!$C$8)</f>
        <v>112.27628855656597</v>
      </c>
      <c r="J11" s="85">
        <f>SUM(A11*60*('BMW s1000rr'!$C$19/'BMW s1000rr'!$B$19)*'BMW s1000rr'!$E$29*PI()*(('BMW s1000rr'!$C$7/'BMW s1000rr'!$B$7)/1000)*'BMW s1000rr'!$B$8/'BMW s1000rr'!$C$8)</f>
        <v>135.91340193689564</v>
      </c>
      <c r="K11" s="85">
        <f>SUM(A11*60*('BMW s1000rr'!$C$21/'BMW s1000rr'!$B$21)*'BMW s1000rr'!$E$29*PI()*(('BMW s1000rr'!$C$7/'BMW s1000rr'!$B$7)/1000)*'BMW s1000rr'!$B$8/'BMW s1000rr'!$C$8)</f>
        <v>156.50634162430404</v>
      </c>
      <c r="L11" s="85">
        <f>SUM(A11*60*('BMW s1000rr'!$C$23/'BMW s1000rr'!$B$23)*'BMW s1000rr'!$E$29*PI()*(('BMW s1000rr'!$C$7/'BMW s1000rr'!$B$7)/1000)*'BMW s1000rr'!$B$8/'BMW s1000rr'!$C$8)</f>
        <v>172.61728855621772</v>
      </c>
      <c r="M11" s="85">
        <f>SUM(A11*60*('BMW s1000rr'!$C$25/'BMW s1000rr'!$B$25)*'BMW s1000rr'!$E$29*PI()*(('BMW s1000rr'!$C$7/'BMW s1000rr'!$B$7)/1000)*'BMW s1000rr'!$B$8/'BMW s1000rr'!$C$8)</f>
        <v>186.18857882891348</v>
      </c>
      <c r="O11" s="85">
        <f t="shared" si="1"/>
        <v>4056.1290231141938</v>
      </c>
      <c r="P11" s="85">
        <f t="shared" si="2"/>
        <v>3203.932218257878</v>
      </c>
      <c r="Q11" s="85">
        <f t="shared" si="3"/>
        <v>2646.7266150825949</v>
      </c>
      <c r="R11" s="85">
        <f t="shared" si="4"/>
        <v>2298.4731130980431</v>
      </c>
      <c r="S11" s="85">
        <f t="shared" si="5"/>
        <v>2083.948955875559</v>
      </c>
      <c r="T11" s="85">
        <f t="shared" si="6"/>
        <v>1932.049863183862</v>
      </c>
    </row>
    <row r="12" spans="1:20" x14ac:dyDescent="0.35">
      <c r="A12" s="8">
        <v>9000</v>
      </c>
      <c r="B12" s="8">
        <v>145</v>
      </c>
      <c r="C12" s="85">
        <f t="shared" si="0"/>
        <v>114.71979399714132</v>
      </c>
      <c r="D12" s="85">
        <f t="shared" si="7"/>
        <v>108.12648143999999</v>
      </c>
      <c r="H12" s="85">
        <f>SUM(A12*60*('BMW s1000rr'!$C$15/'BMW s1000rr'!$B$15)*'BMW s1000rr'!$E$29*PI()*(('BMW s1000rr'!$C$7/'BMW s1000rr'!$B$7)/1000)*('BMW s1000rr'!$B$8/'BMW s1000rr'!$C$8))</f>
        <v>93.903804974582442</v>
      </c>
      <c r="I12" s="85">
        <f>SUM(A12*60*('BMW s1000rr'!$C$17/'BMW s1000rr'!$B$17)*'BMW s1000rr'!$E$29*PI()*(('BMW s1000rr'!$C$7/'BMW s1000rr'!$B$7)/1000)*'BMW s1000rr'!$B$8/'BMW s1000rr'!$C$8)</f>
        <v>118.88077611871692</v>
      </c>
      <c r="J12" s="85">
        <f>SUM(A12*60*('BMW s1000rr'!$C$19/'BMW s1000rr'!$B$19)*'BMW s1000rr'!$E$29*PI()*(('BMW s1000rr'!$C$7/'BMW s1000rr'!$B$7)/1000)*'BMW s1000rr'!$B$8/'BMW s1000rr'!$C$8)</f>
        <v>143.90830793318364</v>
      </c>
      <c r="K12" s="85">
        <f>SUM(A12*60*('BMW s1000rr'!$C$21/'BMW s1000rr'!$B$21)*'BMW s1000rr'!$E$29*PI()*(('BMW s1000rr'!$C$7/'BMW s1000rr'!$B$7)/1000)*'BMW s1000rr'!$B$8/'BMW s1000rr'!$C$8)</f>
        <v>165.712597013969</v>
      </c>
      <c r="L12" s="85">
        <f>SUM(A12*60*('BMW s1000rr'!$C$23/'BMW s1000rr'!$B$23)*'BMW s1000rr'!$E$29*PI()*(('BMW s1000rr'!$C$7/'BMW s1000rr'!$B$7)/1000)*'BMW s1000rr'!$B$8/'BMW s1000rr'!$C$8)</f>
        <v>182.7712467065835</v>
      </c>
      <c r="M12" s="85">
        <f>SUM(A12*60*('BMW s1000rr'!$C$25/'BMW s1000rr'!$B$25)*'BMW s1000rr'!$E$29*PI()*(('BMW s1000rr'!$C$7/'BMW s1000rr'!$B$7)/1000)*'BMW s1000rr'!$B$8/'BMW s1000rr'!$C$8)</f>
        <v>197.14084817179071</v>
      </c>
      <c r="O12" s="85">
        <f t="shared" si="1"/>
        <v>4145.256236308659</v>
      </c>
      <c r="P12" s="85">
        <f t="shared" si="2"/>
        <v>3274.3337139326977</v>
      </c>
      <c r="Q12" s="85">
        <f t="shared" si="3"/>
        <v>2704.8843723791852</v>
      </c>
      <c r="R12" s="85">
        <f t="shared" si="4"/>
        <v>2348.9785339082405</v>
      </c>
      <c r="S12" s="85">
        <f t="shared" si="5"/>
        <v>2129.7405374101372</v>
      </c>
      <c r="T12" s="85">
        <f t="shared" si="6"/>
        <v>1974.5036951692452</v>
      </c>
    </row>
    <row r="13" spans="1:20" x14ac:dyDescent="0.35">
      <c r="A13" s="8">
        <v>9500</v>
      </c>
      <c r="B13" s="8">
        <v>158</v>
      </c>
      <c r="C13" s="85">
        <f t="shared" si="0"/>
        <v>118.42580549105988</v>
      </c>
      <c r="D13" s="85">
        <f t="shared" si="7"/>
        <v>117.820579776</v>
      </c>
      <c r="H13" s="85">
        <f>SUM(A13*60*('BMW s1000rr'!$C$15/'BMW s1000rr'!$B$15)*'BMW s1000rr'!$E$29*PI()*(('BMW s1000rr'!$C$7/'BMW s1000rr'!$B$7)/1000)*('BMW s1000rr'!$B$8/'BMW s1000rr'!$C$8))</f>
        <v>99.120683028725907</v>
      </c>
      <c r="I13" s="85">
        <f>SUM(A13*60*('BMW s1000rr'!$C$17/'BMW s1000rr'!$B$17)*'BMW s1000rr'!$E$29*PI()*(('BMW s1000rr'!$C$7/'BMW s1000rr'!$B$7)/1000)*'BMW s1000rr'!$B$8/'BMW s1000rr'!$C$8)</f>
        <v>125.48526368086786</v>
      </c>
      <c r="J13" s="85">
        <f>SUM(A13*60*('BMW s1000rr'!$C$19/'BMW s1000rr'!$B$19)*'BMW s1000rr'!$E$29*PI()*(('BMW s1000rr'!$C$7/'BMW s1000rr'!$B$7)/1000)*'BMW s1000rr'!$B$8/'BMW s1000rr'!$C$8)</f>
        <v>151.9032139294716</v>
      </c>
      <c r="K13" s="85">
        <f>SUM(A13*60*('BMW s1000rr'!$C$21/'BMW s1000rr'!$B$21)*'BMW s1000rr'!$E$29*PI()*(('BMW s1000rr'!$C$7/'BMW s1000rr'!$B$7)/1000)*'BMW s1000rr'!$B$8/'BMW s1000rr'!$C$8)</f>
        <v>174.91885240363393</v>
      </c>
      <c r="L13" s="85">
        <f>SUM(A13*60*('BMW s1000rr'!$C$23/'BMW s1000rr'!$B$23)*'BMW s1000rr'!$E$29*PI()*(('BMW s1000rr'!$C$7/'BMW s1000rr'!$B$7)/1000)*'BMW s1000rr'!$B$8/'BMW s1000rr'!$C$8)</f>
        <v>192.92520485694922</v>
      </c>
      <c r="M13" s="85">
        <f>SUM(A13*60*('BMW s1000rr'!$C$25/'BMW s1000rr'!$B$25)*'BMW s1000rr'!$E$29*PI()*(('BMW s1000rr'!$C$7/'BMW s1000rr'!$B$7)/1000)*'BMW s1000rr'!$B$8/'BMW s1000rr'!$C$8)</f>
        <v>208.09311751466797</v>
      </c>
      <c r="O13" s="85">
        <f t="shared" si="1"/>
        <v>4279.1683252493021</v>
      </c>
      <c r="P13" s="85">
        <f t="shared" si="2"/>
        <v>3380.1107377221756</v>
      </c>
      <c r="Q13" s="85">
        <f t="shared" si="3"/>
        <v>2792.2653920313628</v>
      </c>
      <c r="R13" s="85">
        <f t="shared" si="4"/>
        <v>2424.8620509746047</v>
      </c>
      <c r="S13" s="85">
        <f t="shared" si="5"/>
        <v>2198.5415928836414</v>
      </c>
      <c r="T13" s="85">
        <f t="shared" si="6"/>
        <v>2038.2898399496678</v>
      </c>
    </row>
    <row r="14" spans="1:20" x14ac:dyDescent="0.35">
      <c r="A14" s="8">
        <v>10000</v>
      </c>
      <c r="B14" s="8">
        <v>167</v>
      </c>
      <c r="C14" s="85">
        <f t="shared" si="0"/>
        <v>118.91300026048512</v>
      </c>
      <c r="D14" s="85">
        <f t="shared" si="7"/>
        <v>124.531878624</v>
      </c>
      <c r="H14" s="85">
        <f>SUM(A14*60*('BMW s1000rr'!$C$15/'BMW s1000rr'!$B$15)*'BMW s1000rr'!$E$29*PI()*(('BMW s1000rr'!$C$7/'BMW s1000rr'!$B$7)/1000)*('BMW s1000rr'!$B$8/'BMW s1000rr'!$C$8))</f>
        <v>104.33756108286937</v>
      </c>
      <c r="I14" s="85">
        <f>SUM(A14*60*('BMW s1000rr'!$C$17/'BMW s1000rr'!$B$17)*'BMW s1000rr'!$E$29*PI()*(('BMW s1000rr'!$C$7/'BMW s1000rr'!$B$7)/1000)*'BMW s1000rr'!$B$8/'BMW s1000rr'!$C$8)</f>
        <v>132.08975124301878</v>
      </c>
      <c r="J14" s="85">
        <f>SUM(A14*60*('BMW s1000rr'!$C$19/'BMW s1000rr'!$B$19)*'BMW s1000rr'!$E$29*PI()*(('BMW s1000rr'!$C$7/'BMW s1000rr'!$B$7)/1000)*'BMW s1000rr'!$B$8/'BMW s1000rr'!$C$8)</f>
        <v>159.89811992575957</v>
      </c>
      <c r="K14" s="85">
        <f>SUM(A14*60*('BMW s1000rr'!$C$21/'BMW s1000rr'!$B$21)*'BMW s1000rr'!$E$29*PI()*(('BMW s1000rr'!$C$7/'BMW s1000rr'!$B$7)/1000)*'BMW s1000rr'!$B$8/'BMW s1000rr'!$C$8)</f>
        <v>184.12510779329892</v>
      </c>
      <c r="L14" s="85">
        <f>SUM(A14*60*('BMW s1000rr'!$C$23/'BMW s1000rr'!$B$23)*'BMW s1000rr'!$E$29*PI()*(('BMW s1000rr'!$C$7/'BMW s1000rr'!$B$7)/1000)*'BMW s1000rr'!$B$8/'BMW s1000rr'!$C$8)</f>
        <v>203.07916300731497</v>
      </c>
      <c r="M14" s="85">
        <f>SUM(A14*60*('BMW s1000rr'!$C$25/'BMW s1000rr'!$B$25)*'BMW s1000rr'!$E$29*PI()*(('BMW s1000rr'!$C$7/'BMW s1000rr'!$B$7)/1000)*'BMW s1000rr'!$B$8/'BMW s1000rr'!$C$8)</f>
        <v>219.04538685754522</v>
      </c>
      <c r="O14" s="85">
        <f t="shared" si="1"/>
        <v>4296.7724987392521</v>
      </c>
      <c r="P14" s="85">
        <f t="shared" si="2"/>
        <v>3394.0162565798937</v>
      </c>
      <c r="Q14" s="85">
        <f t="shared" si="3"/>
        <v>2803.752559783391</v>
      </c>
      <c r="R14" s="85">
        <f t="shared" si="4"/>
        <v>2434.8377492855757</v>
      </c>
      <c r="S14" s="85">
        <f t="shared" si="5"/>
        <v>2207.5862260189224</v>
      </c>
      <c r="T14" s="85">
        <f t="shared" si="6"/>
        <v>2046.6752095443976</v>
      </c>
    </row>
    <row r="15" spans="1:20" x14ac:dyDescent="0.35">
      <c r="A15" s="8">
        <v>10500</v>
      </c>
      <c r="B15" s="8">
        <v>175</v>
      </c>
      <c r="C15" s="85">
        <f t="shared" si="0"/>
        <v>118.67564896256</v>
      </c>
      <c r="D15" s="85">
        <f t="shared" si="7"/>
        <v>130.4974776</v>
      </c>
      <c r="H15" s="85">
        <f>SUM(A15*60*('BMW s1000rr'!$C$15/'BMW s1000rr'!$B$15)*'BMW s1000rr'!$E$29*PI()*(('BMW s1000rr'!$C$7/'BMW s1000rr'!$B$7)/1000)*('BMW s1000rr'!$B$8/'BMW s1000rr'!$C$8))</f>
        <v>109.55443913701282</v>
      </c>
      <c r="I15" s="85">
        <f>SUM(A15*60*('BMW s1000rr'!$C$17/'BMW s1000rr'!$B$17)*'BMW s1000rr'!$E$29*PI()*(('BMW s1000rr'!$C$7/'BMW s1000rr'!$B$7)/1000)*'BMW s1000rr'!$B$8/'BMW s1000rr'!$C$8)</f>
        <v>138.69423880516973</v>
      </c>
      <c r="J15" s="85">
        <f>SUM(A15*60*('BMW s1000rr'!$C$19/'BMW s1000rr'!$B$19)*'BMW s1000rr'!$E$29*PI()*(('BMW s1000rr'!$C$7/'BMW s1000rr'!$B$7)/1000)*'BMW s1000rr'!$B$8/'BMW s1000rr'!$C$8)</f>
        <v>167.89302592204754</v>
      </c>
      <c r="K15" s="85">
        <f>SUM(A15*60*('BMW s1000rr'!$C$21/'BMW s1000rr'!$B$21)*'BMW s1000rr'!$E$29*PI()*(('BMW s1000rr'!$C$7/'BMW s1000rr'!$B$7)/1000)*'BMW s1000rr'!$B$8/'BMW s1000rr'!$C$8)</f>
        <v>193.33136318296383</v>
      </c>
      <c r="L15" s="85">
        <f>SUM(A15*60*('BMW s1000rr'!$C$23/'BMW s1000rr'!$B$23)*'BMW s1000rr'!$E$29*PI()*(('BMW s1000rr'!$C$7/'BMW s1000rr'!$B$7)/1000)*'BMW s1000rr'!$B$8/'BMW s1000rr'!$C$8)</f>
        <v>213.23312115768073</v>
      </c>
      <c r="M15" s="85">
        <f>SUM(A15*60*('BMW s1000rr'!$C$25/'BMW s1000rr'!$B$25)*'BMW s1000rr'!$E$29*PI()*(('BMW s1000rr'!$C$7/'BMW s1000rr'!$B$7)/1000)*'BMW s1000rr'!$B$8/'BMW s1000rr'!$C$8)</f>
        <v>229.99765620042248</v>
      </c>
      <c r="O15" s="85">
        <f t="shared" si="1"/>
        <v>4288.1961065262003</v>
      </c>
      <c r="P15" s="85">
        <f t="shared" si="2"/>
        <v>3387.2417730338257</v>
      </c>
      <c r="Q15" s="85">
        <f t="shared" si="3"/>
        <v>2798.1562472888131</v>
      </c>
      <c r="R15" s="85">
        <f t="shared" si="4"/>
        <v>2429.97779369818</v>
      </c>
      <c r="S15" s="85">
        <f t="shared" si="5"/>
        <v>2203.1798662863494</v>
      </c>
      <c r="T15" s="85">
        <f t="shared" si="6"/>
        <v>2042.5900294854266</v>
      </c>
    </row>
    <row r="16" spans="1:20" x14ac:dyDescent="0.35">
      <c r="A16" s="8">
        <v>11000</v>
      </c>
      <c r="B16" s="8">
        <v>182</v>
      </c>
      <c r="C16" s="85">
        <f t="shared" si="0"/>
        <v>117.81255333374138</v>
      </c>
      <c r="D16" s="85">
        <f t="shared" si="7"/>
        <v>135.717376704</v>
      </c>
      <c r="H16" s="85">
        <f>SUM(A16*60*('BMW s1000rr'!$C$15/'BMW s1000rr'!$B$15)*'BMW s1000rr'!$E$29*PI()*(('BMW s1000rr'!$C$7/'BMW s1000rr'!$B$7)/1000)*('BMW s1000rr'!$B$8/'BMW s1000rr'!$C$8))</f>
        <v>114.7713171911563</v>
      </c>
      <c r="I16" s="85">
        <f>SUM(A16*60*('BMW s1000rr'!$C$17/'BMW s1000rr'!$B$17)*'BMW s1000rr'!$E$29*PI()*(('BMW s1000rr'!$C$7/'BMW s1000rr'!$B$7)/1000)*'BMW s1000rr'!$B$8/'BMW s1000rr'!$C$8)</f>
        <v>145.29872636732065</v>
      </c>
      <c r="J16" s="85">
        <f>SUM(A16*60*('BMW s1000rr'!$C$19/'BMW s1000rr'!$B$19)*'BMW s1000rr'!$E$29*PI()*(('BMW s1000rr'!$C$7/'BMW s1000rr'!$B$7)/1000)*'BMW s1000rr'!$B$8/'BMW s1000rr'!$C$8)</f>
        <v>175.88793191833554</v>
      </c>
      <c r="K16" s="85">
        <f>SUM(A16*60*('BMW s1000rr'!$C$21/'BMW s1000rr'!$B$21)*'BMW s1000rr'!$E$29*PI()*(('BMW s1000rr'!$C$7/'BMW s1000rr'!$B$7)/1000)*'BMW s1000rr'!$B$8/'BMW s1000rr'!$C$8)</f>
        <v>202.53761857262879</v>
      </c>
      <c r="L16" s="85">
        <f>SUM(A16*60*('BMW s1000rr'!$C$23/'BMW s1000rr'!$B$23)*'BMW s1000rr'!$E$29*PI()*(('BMW s1000rr'!$C$7/'BMW s1000rr'!$B$7)/1000)*'BMW s1000rr'!$B$8/'BMW s1000rr'!$C$8)</f>
        <v>223.38707930804651</v>
      </c>
      <c r="M16" s="85">
        <f>SUM(A16*60*('BMW s1000rr'!$C$25/'BMW s1000rr'!$B$25)*'BMW s1000rr'!$E$29*PI()*(('BMW s1000rr'!$C$7/'BMW s1000rr'!$B$7)/1000)*'BMW s1000rr'!$B$8/'BMW s1000rr'!$C$8)</f>
        <v>240.94992554329971</v>
      </c>
      <c r="O16" s="85">
        <f t="shared" si="1"/>
        <v>4257.0092257514643</v>
      </c>
      <c r="P16" s="85">
        <f t="shared" si="2"/>
        <v>3362.6072874117622</v>
      </c>
      <c r="Q16" s="85">
        <f t="shared" si="3"/>
        <v>2777.8060200358032</v>
      </c>
      <c r="R16" s="85">
        <f t="shared" si="4"/>
        <v>2412.3052279258291</v>
      </c>
      <c r="S16" s="85">
        <f t="shared" si="5"/>
        <v>2187.1567399860846</v>
      </c>
      <c r="T16" s="85">
        <f t="shared" si="6"/>
        <v>2027.7348292709873</v>
      </c>
    </row>
    <row r="17" spans="1:20" x14ac:dyDescent="0.35">
      <c r="A17" s="8">
        <v>11500</v>
      </c>
      <c r="B17" s="8">
        <v>180</v>
      </c>
      <c r="C17" s="85">
        <f t="shared" si="0"/>
        <v>111.4519138083172</v>
      </c>
      <c r="D17" s="85">
        <f t="shared" si="7"/>
        <v>134.22597696</v>
      </c>
      <c r="H17" s="85">
        <f>SUM(A17*60*('BMW s1000rr'!$C$15/'BMW s1000rr'!$B$15)*'BMW s1000rr'!$E$29*PI()*(('BMW s1000rr'!$C$7/'BMW s1000rr'!$B$7)/1000)*('BMW s1000rr'!$B$8/'BMW s1000rr'!$C$8))</f>
        <v>119.98819524529979</v>
      </c>
      <c r="I17" s="85">
        <f>SUM(A17*60*('BMW s1000rr'!$C$17/'BMW s1000rr'!$B$17)*'BMW s1000rr'!$E$29*PI()*(('BMW s1000rr'!$C$7/'BMW s1000rr'!$B$7)/1000)*'BMW s1000rr'!$B$8/'BMW s1000rr'!$C$8)</f>
        <v>151.9032139294716</v>
      </c>
      <c r="J17" s="85">
        <f>SUM(A17*60*('BMW s1000rr'!$C$19/'BMW s1000rr'!$B$19)*'BMW s1000rr'!$E$29*PI()*(('BMW s1000rr'!$C$7/'BMW s1000rr'!$B$7)/1000)*'BMW s1000rr'!$B$8/'BMW s1000rr'!$C$8)</f>
        <v>183.88283791462354</v>
      </c>
      <c r="K17" s="85">
        <f>SUM(A17*60*('BMW s1000rr'!$C$21/'BMW s1000rr'!$B$21)*'BMW s1000rr'!$E$29*PI()*(('BMW s1000rr'!$C$7/'BMW s1000rr'!$B$7)/1000)*'BMW s1000rr'!$B$8/'BMW s1000rr'!$C$8)</f>
        <v>211.74387396229375</v>
      </c>
      <c r="L17" s="85">
        <f>SUM(A17*60*('BMW s1000rr'!$C$23/'BMW s1000rr'!$B$23)*'BMW s1000rr'!$E$29*PI()*(('BMW s1000rr'!$C$7/'BMW s1000rr'!$B$7)/1000)*'BMW s1000rr'!$B$8/'BMW s1000rr'!$C$8)</f>
        <v>233.54103745841223</v>
      </c>
      <c r="M17" s="85">
        <f>SUM(A17*60*('BMW s1000rr'!$C$25/'BMW s1000rr'!$B$25)*'BMW s1000rr'!$E$29*PI()*(('BMW s1000rr'!$C$7/'BMW s1000rr'!$B$7)/1000)*'BMW s1000rr'!$B$8/'BMW s1000rr'!$C$8)</f>
        <v>251.90219488617703</v>
      </c>
      <c r="O17" s="85">
        <f t="shared" si="1"/>
        <v>4027.1754739550388</v>
      </c>
      <c r="P17" s="85">
        <f t="shared" si="2"/>
        <v>3181.0618390230716</v>
      </c>
      <c r="Q17" s="85">
        <f t="shared" si="3"/>
        <v>2627.8336931060153</v>
      </c>
      <c r="R17" s="85">
        <f t="shared" si="4"/>
        <v>2282.0661019078557</v>
      </c>
      <c r="S17" s="85">
        <f t="shared" si="5"/>
        <v>2069.073265729789</v>
      </c>
      <c r="T17" s="85">
        <f t="shared" si="6"/>
        <v>1918.2584624732699</v>
      </c>
    </row>
    <row r="18" spans="1:20" x14ac:dyDescent="0.35">
      <c r="A18" s="8">
        <v>12000</v>
      </c>
      <c r="B18" s="8">
        <v>190</v>
      </c>
      <c r="C18" s="85">
        <f t="shared" si="0"/>
        <v>112.741866514432</v>
      </c>
      <c r="D18" s="85">
        <f t="shared" si="7"/>
        <v>141.68297568</v>
      </c>
      <c r="H18" s="85">
        <f>SUM(A18*60*('BMW s1000rr'!$C$15/'BMW s1000rr'!$B$15)*'BMW s1000rr'!$E$29*PI()*(('BMW s1000rr'!$C$7/'BMW s1000rr'!$B$7)/1000)*('BMW s1000rr'!$B$8/'BMW s1000rr'!$C$8))</f>
        <v>125.20507329944324</v>
      </c>
      <c r="I18" s="85">
        <f>SUM(A18*60*('BMW s1000rr'!$C$17/'BMW s1000rr'!$B$17)*'BMW s1000rr'!$E$29*PI()*(('BMW s1000rr'!$C$7/'BMW s1000rr'!$B$7)/1000)*'BMW s1000rr'!$B$8/'BMW s1000rr'!$C$8)</f>
        <v>158.50770149162256</v>
      </c>
      <c r="J18" s="85">
        <f>SUM(A18*60*('BMW s1000rr'!$C$19/'BMW s1000rr'!$B$19)*'BMW s1000rr'!$E$29*PI()*(('BMW s1000rr'!$C$7/'BMW s1000rr'!$B$7)/1000)*'BMW s1000rr'!$B$8/'BMW s1000rr'!$C$8)</f>
        <v>191.87774391091148</v>
      </c>
      <c r="K18" s="85">
        <f>SUM(A18*60*('BMW s1000rr'!$C$21/'BMW s1000rr'!$B$21)*'BMW s1000rr'!$E$29*PI()*(('BMW s1000rr'!$C$7/'BMW s1000rr'!$B$7)/1000)*'BMW s1000rr'!$B$8/'BMW s1000rr'!$C$8)</f>
        <v>220.95012935195865</v>
      </c>
      <c r="L18" s="85">
        <f>SUM(A18*60*('BMW s1000rr'!$C$23/'BMW s1000rr'!$B$23)*'BMW s1000rr'!$E$29*PI()*(('BMW s1000rr'!$C$7/'BMW s1000rr'!$B$7)/1000)*'BMW s1000rr'!$B$8/'BMW s1000rr'!$C$8)</f>
        <v>243.69499560877796</v>
      </c>
      <c r="M18" s="85">
        <f>SUM(A18*60*('BMW s1000rr'!$C$25/'BMW s1000rr'!$B$25)*'BMW s1000rr'!$E$29*PI()*(('BMW s1000rr'!$C$7/'BMW s1000rr'!$B$7)/1000)*'BMW s1000rr'!$B$8/'BMW s1000rr'!$C$8)</f>
        <v>262.85446422905426</v>
      </c>
      <c r="O18" s="85">
        <f t="shared" si="1"/>
        <v>4073.7863011998902</v>
      </c>
      <c r="P18" s="85">
        <f t="shared" si="2"/>
        <v>3217.8796843821347</v>
      </c>
      <c r="Q18" s="85">
        <f t="shared" si="3"/>
        <v>2658.2484349243723</v>
      </c>
      <c r="R18" s="85">
        <f t="shared" si="4"/>
        <v>2308.4789040132714</v>
      </c>
      <c r="S18" s="85">
        <f t="shared" si="5"/>
        <v>2093.0208729720321</v>
      </c>
      <c r="T18" s="85">
        <f t="shared" si="6"/>
        <v>1940.4605280111555</v>
      </c>
    </row>
    <row r="19" spans="1:20" x14ac:dyDescent="0.35">
      <c r="A19" s="8">
        <v>12500</v>
      </c>
      <c r="B19" s="8">
        <v>192</v>
      </c>
      <c r="C19" s="85">
        <f t="shared" si="0"/>
        <v>109.3714780838953</v>
      </c>
      <c r="D19" s="85">
        <f t="shared" si="7"/>
        <v>143.174375424</v>
      </c>
      <c r="H19" s="85">
        <f>SUM(A19*60*('BMW s1000rr'!$C$15/'BMW s1000rr'!$B$15)*'BMW s1000rr'!$E$29*PI()*(('BMW s1000rr'!$C$7/'BMW s1000rr'!$B$7)/1000)*('BMW s1000rr'!$B$8/'BMW s1000rr'!$C$8))</f>
        <v>130.42195135358671</v>
      </c>
      <c r="I19" s="85">
        <f>SUM(A19*60*('BMW s1000rr'!$C$17/'BMW s1000rr'!$B$17)*'BMW s1000rr'!$E$29*PI()*(('BMW s1000rr'!$C$7/'BMW s1000rr'!$B$7)/1000)*'BMW s1000rr'!$B$8/'BMW s1000rr'!$C$8)</f>
        <v>165.11218905377348</v>
      </c>
      <c r="J19" s="85">
        <f>SUM(A19*60*('BMW s1000rr'!$C$19/'BMW s1000rr'!$B$19)*'BMW s1000rr'!$E$29*PI()*(('BMW s1000rr'!$C$7/'BMW s1000rr'!$B$7)/1000)*'BMW s1000rr'!$B$8/'BMW s1000rr'!$C$8)</f>
        <v>199.87264990719947</v>
      </c>
      <c r="K19" s="85">
        <f>SUM(A19*60*('BMW s1000rr'!$C$21/'BMW s1000rr'!$B$21)*'BMW s1000rr'!$E$29*PI()*(('BMW s1000rr'!$C$7/'BMW s1000rr'!$B$7)/1000)*'BMW s1000rr'!$B$8/'BMW s1000rr'!$C$8)</f>
        <v>230.15638474162361</v>
      </c>
      <c r="L19" s="85">
        <f>SUM(A19*60*('BMW s1000rr'!$C$23/'BMW s1000rr'!$B$23)*'BMW s1000rr'!$E$29*PI()*(('BMW s1000rr'!$C$7/'BMW s1000rr'!$B$7)/1000)*'BMW s1000rr'!$B$8/'BMW s1000rr'!$C$8)</f>
        <v>253.84895375914377</v>
      </c>
      <c r="M19" s="85">
        <f>SUM(A19*60*('BMW s1000rr'!$C$25/'BMW s1000rr'!$B$25)*'BMW s1000rr'!$E$29*PI()*(('BMW s1000rr'!$C$7/'BMW s1000rr'!$B$7)/1000)*'BMW s1000rr'!$B$8/'BMW s1000rr'!$C$8)</f>
        <v>273.8067335719316</v>
      </c>
      <c r="O19" s="85">
        <f t="shared" si="1"/>
        <v>3952.001531774546</v>
      </c>
      <c r="P19" s="85">
        <f t="shared" si="2"/>
        <v>3121.6820180279738</v>
      </c>
      <c r="Q19" s="85">
        <f t="shared" si="3"/>
        <v>2578.7807975013698</v>
      </c>
      <c r="R19" s="85">
        <f t="shared" si="4"/>
        <v>2239.4675346722424</v>
      </c>
      <c r="S19" s="85">
        <f t="shared" si="5"/>
        <v>2030.4505647694991</v>
      </c>
      <c r="T19" s="85">
        <f t="shared" si="6"/>
        <v>1882.4509711737687</v>
      </c>
    </row>
    <row r="20" spans="1:20" x14ac:dyDescent="0.35">
      <c r="A20" s="8">
        <v>13000</v>
      </c>
      <c r="B20" s="8">
        <v>194</v>
      </c>
      <c r="C20" s="85">
        <f>9.5488*(D20*1000)/A20</f>
        <v>106.26035030186142</v>
      </c>
      <c r="D20" s="85">
        <f t="shared" si="7"/>
        <v>144.66577516800001</v>
      </c>
      <c r="H20" s="85">
        <f>SUM(A20*60*('BMW s1000rr'!$C$15/'BMW s1000rr'!$B$15)*'BMW s1000rr'!$E$29*PI()*(('BMW s1000rr'!$C$7/'BMW s1000rr'!$B$7)/1000)*('BMW s1000rr'!$B$8/'BMW s1000rr'!$C$8))</f>
        <v>135.63882940773019</v>
      </c>
      <c r="I20" s="85">
        <f>SUM(A20*60*('BMW s1000rr'!$C$17/'BMW s1000rr'!$B$17)*'BMW s1000rr'!$E$29*PI()*(('BMW s1000rr'!$C$7/'BMW s1000rr'!$B$7)/1000)*'BMW s1000rr'!$B$8/'BMW s1000rr'!$C$8)</f>
        <v>171.7166766159244</v>
      </c>
      <c r="J20" s="85">
        <f>SUM(A20*60*('BMW s1000rr'!$C$19/'BMW s1000rr'!$B$19)*'BMW s1000rr'!$E$29*PI()*(('BMW s1000rr'!$C$7/'BMW s1000rr'!$B$7)/1000)*'BMW s1000rr'!$B$8/'BMW s1000rr'!$C$8)</f>
        <v>207.86755590348747</v>
      </c>
      <c r="K20" s="85">
        <f>SUM(A20*60*('BMW s1000rr'!$C$21/'BMW s1000rr'!$B$21)*'BMW s1000rr'!$E$29*PI()*(('BMW s1000rr'!$C$7/'BMW s1000rr'!$B$7)/1000)*'BMW s1000rr'!$B$8/'BMW s1000rr'!$C$8)</f>
        <v>239.36264013128854</v>
      </c>
      <c r="L20" s="85">
        <f>SUM(A20*60*('BMW s1000rr'!$C$23/'BMW s1000rr'!$B$23)*'BMW s1000rr'!$E$29*PI()*(('BMW s1000rr'!$C$7/'BMW s1000rr'!$B$7)/1000)*'BMW s1000rr'!$B$8/'BMW s1000rr'!$C$8)</f>
        <v>264.00291190950946</v>
      </c>
      <c r="M20" s="85">
        <f>SUM(A20*60*('BMW s1000rr'!$C$25/'BMW s1000rr'!$B$25)*'BMW s1000rr'!$E$29*PI()*(('BMW s1000rr'!$C$7/'BMW s1000rr'!$B$7)/1000)*'BMW s1000rr'!$B$8/'BMW s1000rr'!$C$8)</f>
        <v>284.75900291480878</v>
      </c>
      <c r="O20" s="85">
        <f t="shared" si="1"/>
        <v>3839.5848215357669</v>
      </c>
      <c r="P20" s="85">
        <f t="shared" si="2"/>
        <v>3032.8841721625959</v>
      </c>
      <c r="Q20" s="85">
        <f t="shared" si="3"/>
        <v>2505.4260552647529</v>
      </c>
      <c r="R20" s="85">
        <f t="shared" si="4"/>
        <v>2175.7647322036014</v>
      </c>
      <c r="S20" s="85">
        <f t="shared" si="5"/>
        <v>1972.6933571979316</v>
      </c>
      <c r="T20" s="85">
        <f t="shared" si="6"/>
        <v>1828.9036879392593</v>
      </c>
    </row>
    <row r="21" spans="1:20" x14ac:dyDescent="0.35">
      <c r="A21" s="8">
        <v>13500</v>
      </c>
      <c r="B21" s="8">
        <v>196</v>
      </c>
      <c r="C21" s="85">
        <f t="shared" si="0"/>
        <v>103.37967642960781</v>
      </c>
      <c r="D21" s="85">
        <f t="shared" si="7"/>
        <v>146.15717491199999</v>
      </c>
      <c r="H21" s="85">
        <f>SUM(A21*60*('BMW s1000rr'!$C$15/'BMW s1000rr'!$B$15)*'BMW s1000rr'!$E$29*PI()*(('BMW s1000rr'!$C$7/'BMW s1000rr'!$B$7)/1000)*('BMW s1000rr'!$B$8/'BMW s1000rr'!$C$8))</f>
        <v>140.85570746187366</v>
      </c>
      <c r="I21" s="85">
        <f>SUM(A21*60*('BMW s1000rr'!$C$17/'BMW s1000rr'!$B$17)*'BMW s1000rr'!$E$29*PI()*(('BMW s1000rr'!$C$7/'BMW s1000rr'!$B$7)/1000)*'BMW s1000rr'!$B$8/'BMW s1000rr'!$C$8)</f>
        <v>178.32116417807535</v>
      </c>
      <c r="J21" s="85">
        <f>SUM(A21*60*('BMW s1000rr'!$C$19/'BMW s1000rr'!$B$19)*'BMW s1000rr'!$E$29*PI()*(('BMW s1000rr'!$C$7/'BMW s1000rr'!$B$7)/1000)*'BMW s1000rr'!$B$8/'BMW s1000rr'!$C$8)</f>
        <v>215.86246189977544</v>
      </c>
      <c r="K21" s="85">
        <f>SUM(A21*60*('BMW s1000rr'!$C$21/'BMW s1000rr'!$B$21)*'BMW s1000rr'!$E$29*PI()*(('BMW s1000rr'!$C$7/'BMW s1000rr'!$B$7)/1000)*'BMW s1000rr'!$B$8/'BMW s1000rr'!$C$8)</f>
        <v>248.56889552095348</v>
      </c>
      <c r="L21" s="85">
        <f>SUM(A21*60*('BMW s1000rr'!$C$23/'BMW s1000rr'!$B$23)*'BMW s1000rr'!$E$29*PI()*(('BMW s1000rr'!$C$7/'BMW s1000rr'!$B$7)/1000)*'BMW s1000rr'!$B$8/'BMW s1000rr'!$C$8)</f>
        <v>274.1568700598753</v>
      </c>
      <c r="M21" s="85">
        <f>SUM(A21*60*('BMW s1000rr'!$C$25/'BMW s1000rr'!$B$25)*'BMW s1000rr'!$E$29*PI()*(('BMW s1000rr'!$C$7/'BMW s1000rr'!$B$7)/1000)*'BMW s1000rr'!$B$8/'BMW s1000rr'!$C$8)</f>
        <v>295.71127225768612</v>
      </c>
      <c r="O21" s="85">
        <f t="shared" si="1"/>
        <v>3735.4952750183779</v>
      </c>
      <c r="P21" s="85">
        <f t="shared" si="2"/>
        <v>2950.6639445094661</v>
      </c>
      <c r="Q21" s="85">
        <f t="shared" si="3"/>
        <v>2437.5049976382547</v>
      </c>
      <c r="R21" s="85">
        <f t="shared" si="4"/>
        <v>2116.7806558437478</v>
      </c>
      <c r="S21" s="85">
        <f t="shared" si="5"/>
        <v>1919.2144612983302</v>
      </c>
      <c r="T21" s="85">
        <f t="shared" si="6"/>
        <v>1779.3228701295266</v>
      </c>
    </row>
    <row r="22" spans="1:20" x14ac:dyDescent="0.35">
      <c r="A22" s="8">
        <v>14000</v>
      </c>
      <c r="B22" s="8">
        <v>192</v>
      </c>
      <c r="C22" s="85">
        <f>9.5488*(D22*1000)/A22</f>
        <v>97.653105432049372</v>
      </c>
      <c r="D22" s="85">
        <f t="shared" si="7"/>
        <v>143.174375424</v>
      </c>
      <c r="H22" s="85">
        <f>SUM(A22*60*('BMW s1000rr'!$C$15/'BMW s1000rr'!$B$15)*'BMW s1000rr'!$E$29*PI()*(('BMW s1000rr'!$C$7/'BMW s1000rr'!$B$7)/1000)*('BMW s1000rr'!$B$8/'BMW s1000rr'!$C$8))</f>
        <v>146.07258551601714</v>
      </c>
      <c r="I22" s="85">
        <f>SUM(A22*60*('BMW s1000rr'!$C$17/'BMW s1000rr'!$B$17)*'BMW s1000rr'!$E$29*PI()*(('BMW s1000rr'!$C$7/'BMW s1000rr'!$B$7)/1000)*'BMW s1000rr'!$B$8/'BMW s1000rr'!$C$8)</f>
        <v>184.92565174022627</v>
      </c>
      <c r="J22" s="85">
        <f>SUM(A22*60*('BMW s1000rr'!$C$19/'BMW s1000rr'!$B$19)*'BMW s1000rr'!$E$29*PI()*(('BMW s1000rr'!$C$7/'BMW s1000rr'!$B$7)/1000)*'BMW s1000rr'!$B$8/'BMW s1000rr'!$C$8)</f>
        <v>223.85736789606341</v>
      </c>
      <c r="K22" s="85">
        <f>SUM(A22*60*('BMW s1000rr'!$C$21/'BMW s1000rr'!$B$21)*'BMW s1000rr'!$E$29*PI()*(('BMW s1000rr'!$C$7/'BMW s1000rr'!$B$7)/1000)*'BMW s1000rr'!$B$8/'BMW s1000rr'!$C$8)</f>
        <v>257.77515091061844</v>
      </c>
      <c r="L22" s="85">
        <f>SUM(A22*60*('BMW s1000rr'!$C$23/'BMW s1000rr'!$B$23)*'BMW s1000rr'!$E$29*PI()*(('BMW s1000rr'!$C$7/'BMW s1000rr'!$B$7)/1000)*'BMW s1000rr'!$B$8/'BMW s1000rr'!$C$8)</f>
        <v>284.31082821024097</v>
      </c>
      <c r="M22" s="85">
        <f>SUM(A22*60*('BMW s1000rr'!$C$25/'BMW s1000rr'!$B$25)*'BMW s1000rr'!$E$29*PI()*(('BMW s1000rr'!$C$7/'BMW s1000rr'!$B$7)/1000)*'BMW s1000rr'!$B$8/'BMW s1000rr'!$C$8)</f>
        <v>306.66354160056335</v>
      </c>
      <c r="O22" s="85">
        <f t="shared" si="1"/>
        <v>3528.5727962272722</v>
      </c>
      <c r="P22" s="85">
        <f t="shared" si="2"/>
        <v>2787.216087524977</v>
      </c>
      <c r="Q22" s="85">
        <f t="shared" si="3"/>
        <v>2302.4828549119375</v>
      </c>
      <c r="R22" s="85">
        <f t="shared" si="4"/>
        <v>1999.524584528788</v>
      </c>
      <c r="S22" s="85">
        <f t="shared" si="5"/>
        <v>1812.9022899727677</v>
      </c>
      <c r="T22" s="85">
        <f t="shared" si="6"/>
        <v>1680.7597956908651</v>
      </c>
    </row>
    <row r="24" spans="1:20" x14ac:dyDescent="0.35">
      <c r="R24">
        <v>52.17</v>
      </c>
      <c r="S24">
        <v>3190.42</v>
      </c>
    </row>
    <row r="25" spans="1:20" x14ac:dyDescent="0.35">
      <c r="R25">
        <v>99.12</v>
      </c>
      <c r="S25">
        <v>4279.17</v>
      </c>
    </row>
    <row r="26" spans="1:20" x14ac:dyDescent="0.35">
      <c r="R26">
        <v>151.9</v>
      </c>
      <c r="S26">
        <v>3181.06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8DB9-8134-4782-9C14-91E9AEC22EEA}">
  <dimension ref="A1:K19"/>
  <sheetViews>
    <sheetView tabSelected="1" topLeftCell="E1" zoomScale="60" zoomScaleNormal="60" workbookViewId="0">
      <selection activeCell="L14" sqref="L14"/>
    </sheetView>
  </sheetViews>
  <sheetFormatPr defaultRowHeight="14.5" x14ac:dyDescent="0.35"/>
  <cols>
    <col min="1" max="1" width="18.36328125" bestFit="1" customWidth="1"/>
    <col min="2" max="2" width="9.6328125" customWidth="1"/>
    <col min="6" max="6" width="19" bestFit="1" customWidth="1"/>
    <col min="7" max="7" width="14.453125" bestFit="1" customWidth="1"/>
    <col min="11" max="11" width="45.36328125" customWidth="1"/>
  </cols>
  <sheetData>
    <row r="1" spans="1:11" x14ac:dyDescent="0.35">
      <c r="A1" s="118" t="s">
        <v>133</v>
      </c>
      <c r="B1" s="118"/>
      <c r="C1" s="118"/>
      <c r="D1" s="118"/>
      <c r="E1" s="118"/>
      <c r="F1" s="118"/>
      <c r="G1" s="118"/>
      <c r="H1" s="118"/>
    </row>
    <row r="2" spans="1:11" ht="18.5" x14ac:dyDescent="0.35">
      <c r="A2" s="111"/>
      <c r="B2" s="111"/>
      <c r="C2" s="111"/>
      <c r="D2" s="111"/>
      <c r="E2" s="111"/>
      <c r="F2" s="111"/>
      <c r="G2" s="111"/>
      <c r="H2" s="111"/>
      <c r="J2" s="127"/>
    </row>
    <row r="3" spans="1:11" ht="18" x14ac:dyDescent="0.35">
      <c r="A3" s="107"/>
      <c r="B3" s="113" t="s">
        <v>143</v>
      </c>
      <c r="C3" s="119"/>
      <c r="D3" s="113" t="s">
        <v>144</v>
      </c>
      <c r="E3" s="107"/>
      <c r="F3" s="117" t="s">
        <v>145</v>
      </c>
      <c r="G3" s="125">
        <f>(0.5*C9*C6*C5*(C7*C7))</f>
        <v>1462.7928791368747</v>
      </c>
      <c r="H3" s="112" t="s">
        <v>126</v>
      </c>
      <c r="I3" s="106"/>
      <c r="J3" s="128"/>
    </row>
    <row r="4" spans="1:11" ht="36" x14ac:dyDescent="0.35">
      <c r="A4" s="113" t="s">
        <v>122</v>
      </c>
      <c r="B4" s="114" t="s">
        <v>123</v>
      </c>
      <c r="C4" s="119">
        <v>273</v>
      </c>
      <c r="D4" s="114" t="s">
        <v>18</v>
      </c>
      <c r="E4" s="107"/>
      <c r="F4" s="110"/>
      <c r="G4" s="126"/>
      <c r="H4" s="107"/>
      <c r="I4" s="106"/>
      <c r="J4" s="128"/>
      <c r="K4" s="129" t="s">
        <v>155</v>
      </c>
    </row>
    <row r="5" spans="1:11" ht="18" x14ac:dyDescent="0.35">
      <c r="A5" s="113" t="s">
        <v>124</v>
      </c>
      <c r="B5" s="114" t="s">
        <v>125</v>
      </c>
      <c r="C5" s="119">
        <v>0.57581300000000002</v>
      </c>
      <c r="D5" s="114" t="s">
        <v>142</v>
      </c>
      <c r="E5" s="107"/>
      <c r="F5" s="117" t="s">
        <v>148</v>
      </c>
      <c r="G5" s="125">
        <f>(0.02*C4*C10)</f>
        <v>53.562600000000003</v>
      </c>
      <c r="H5" s="112" t="s">
        <v>126</v>
      </c>
      <c r="I5" s="106"/>
      <c r="J5" s="128"/>
    </row>
    <row r="6" spans="1:11" ht="18.5" x14ac:dyDescent="0.35">
      <c r="A6" s="113" t="s">
        <v>134</v>
      </c>
      <c r="B6" s="114"/>
      <c r="C6" s="119">
        <v>0.6</v>
      </c>
      <c r="D6" s="114"/>
      <c r="E6" s="107"/>
      <c r="F6" s="110"/>
      <c r="G6" s="126"/>
      <c r="H6" s="107"/>
      <c r="I6" s="106"/>
      <c r="J6" s="127"/>
    </row>
    <row r="7" spans="1:11" ht="18.5" x14ac:dyDescent="0.35">
      <c r="A7" s="113" t="s">
        <v>127</v>
      </c>
      <c r="B7" s="114" t="s">
        <v>128</v>
      </c>
      <c r="C7" s="119">
        <f>C8*(1000/3600)</f>
        <v>85.183333333333337</v>
      </c>
      <c r="D7" s="114" t="s">
        <v>129</v>
      </c>
      <c r="E7" s="107"/>
      <c r="F7" s="117" t="s">
        <v>147</v>
      </c>
      <c r="G7" s="125">
        <f>(C4*C10*(SIN(C12)))</f>
        <v>186.81690502835431</v>
      </c>
      <c r="H7" s="112" t="s">
        <v>126</v>
      </c>
      <c r="I7" s="106"/>
      <c r="J7" s="127"/>
    </row>
    <row r="8" spans="1:11" ht="18.5" x14ac:dyDescent="0.35">
      <c r="A8" s="113" t="s">
        <v>127</v>
      </c>
      <c r="B8" s="114" t="s">
        <v>128</v>
      </c>
      <c r="C8" s="119">
        <v>306.66000000000003</v>
      </c>
      <c r="D8" s="114" t="s">
        <v>151</v>
      </c>
      <c r="E8" s="107"/>
      <c r="F8" s="110"/>
      <c r="G8" s="126"/>
      <c r="H8" s="107"/>
      <c r="I8" s="106"/>
      <c r="J8" s="127"/>
    </row>
    <row r="9" spans="1:11" ht="18.5" x14ac:dyDescent="0.35">
      <c r="A9" s="113" t="s">
        <v>135</v>
      </c>
      <c r="B9" s="115" t="s">
        <v>137</v>
      </c>
      <c r="C9" s="119">
        <v>1.167</v>
      </c>
      <c r="D9" s="114" t="s">
        <v>140</v>
      </c>
      <c r="E9" s="107"/>
      <c r="F9" s="110"/>
      <c r="G9" s="126"/>
      <c r="H9" s="107"/>
      <c r="I9" s="106"/>
      <c r="J9" s="127"/>
    </row>
    <row r="10" spans="1:11" ht="18.5" x14ac:dyDescent="0.35">
      <c r="A10" s="113" t="s">
        <v>130</v>
      </c>
      <c r="B10" s="114" t="s">
        <v>131</v>
      </c>
      <c r="C10" s="119">
        <v>9.81</v>
      </c>
      <c r="D10" s="114" t="s">
        <v>141</v>
      </c>
      <c r="E10" s="107"/>
      <c r="F10" s="117" t="s">
        <v>149</v>
      </c>
      <c r="G10" s="125">
        <f>SUM(G3:G7)</f>
        <v>1703.172384165229</v>
      </c>
      <c r="H10" s="112" t="s">
        <v>126</v>
      </c>
      <c r="I10" s="106"/>
      <c r="J10" s="127"/>
    </row>
    <row r="11" spans="1:11" ht="18.5" x14ac:dyDescent="0.35">
      <c r="A11" s="113" t="s">
        <v>136</v>
      </c>
      <c r="B11" s="116" t="s">
        <v>138</v>
      </c>
      <c r="C11" s="119">
        <v>4</v>
      </c>
      <c r="D11" s="116" t="s">
        <v>139</v>
      </c>
      <c r="E11" s="107"/>
      <c r="F11" s="110"/>
      <c r="G11" s="126"/>
      <c r="H11" s="107"/>
      <c r="I11" s="106"/>
      <c r="J11" s="127"/>
    </row>
    <row r="12" spans="1:11" ht="18.5" x14ac:dyDescent="0.35">
      <c r="A12" s="113" t="s">
        <v>136</v>
      </c>
      <c r="B12" s="116" t="s">
        <v>138</v>
      </c>
      <c r="C12" s="119">
        <f>RADIANS(C11)</f>
        <v>6.9813170079773182E-2</v>
      </c>
      <c r="D12" s="114" t="s">
        <v>132</v>
      </c>
      <c r="E12" s="107"/>
      <c r="F12" s="117" t="s">
        <v>150</v>
      </c>
      <c r="G12" s="125">
        <f>SUM(G10*C7)</f>
        <v>145081.90092447476</v>
      </c>
      <c r="H12" s="112" t="s">
        <v>146</v>
      </c>
      <c r="I12" s="106"/>
      <c r="J12" s="127"/>
    </row>
    <row r="13" spans="1:11" x14ac:dyDescent="0.35">
      <c r="A13" s="107"/>
      <c r="B13" s="107"/>
      <c r="C13" s="107"/>
      <c r="D13" s="107"/>
      <c r="E13" s="109"/>
      <c r="F13" s="110"/>
      <c r="G13" s="125">
        <f>G12/1000</f>
        <v>145.08190092447475</v>
      </c>
      <c r="H13" s="112" t="s">
        <v>154</v>
      </c>
      <c r="I13" s="106"/>
    </row>
    <row r="14" spans="1:11" x14ac:dyDescent="0.35">
      <c r="A14" s="107"/>
      <c r="B14" s="107"/>
      <c r="C14" s="108"/>
      <c r="D14" s="107"/>
      <c r="E14" s="107"/>
      <c r="F14" s="107"/>
      <c r="G14" s="107"/>
      <c r="H14" s="107"/>
      <c r="I14" s="106"/>
    </row>
    <row r="15" spans="1:11" x14ac:dyDescent="0.35">
      <c r="A15" s="107"/>
      <c r="B15" s="107"/>
      <c r="C15" s="107"/>
      <c r="D15" s="107"/>
      <c r="E15" s="107"/>
      <c r="F15" s="107"/>
      <c r="G15" s="107"/>
      <c r="H15" s="107"/>
      <c r="I15" s="106"/>
    </row>
    <row r="16" spans="1:11" x14ac:dyDescent="0.35">
      <c r="A16" s="107"/>
      <c r="B16" s="107"/>
      <c r="C16" s="107"/>
      <c r="D16" s="107"/>
      <c r="E16" s="107"/>
      <c r="F16" s="107"/>
      <c r="G16" s="107"/>
      <c r="H16" s="107"/>
      <c r="I16" s="106"/>
    </row>
    <row r="17" spans="1:9" x14ac:dyDescent="0.35">
      <c r="A17" s="107"/>
      <c r="B17" s="107"/>
      <c r="C17" s="107"/>
      <c r="D17" s="107"/>
      <c r="E17" s="107"/>
      <c r="F17" s="107"/>
      <c r="G17" s="107"/>
      <c r="H17" s="107"/>
      <c r="I17" s="106"/>
    </row>
    <row r="18" spans="1:9" x14ac:dyDescent="0.35">
      <c r="A18" s="107"/>
      <c r="B18" s="107"/>
      <c r="C18" s="107"/>
      <c r="D18" s="107"/>
      <c r="E18" s="107"/>
      <c r="F18" s="107"/>
      <c r="G18" s="107"/>
      <c r="H18" s="107"/>
      <c r="I18" s="106"/>
    </row>
    <row r="19" spans="1:9" x14ac:dyDescent="0.35">
      <c r="A19" s="107"/>
      <c r="B19" s="107"/>
      <c r="C19" s="107"/>
      <c r="D19" s="107"/>
      <c r="E19" s="107"/>
      <c r="F19" s="107"/>
      <c r="G19" s="107"/>
      <c r="H19" s="107"/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41"/>
  <sheetViews>
    <sheetView topLeftCell="A17" workbookViewId="0">
      <selection activeCell="J16" sqref="J16"/>
    </sheetView>
  </sheetViews>
  <sheetFormatPr defaultRowHeight="14.5" x14ac:dyDescent="0.35"/>
  <cols>
    <col min="2" max="2" width="25.453125" bestFit="1" customWidth="1"/>
    <col min="3" max="3" width="6.26953125" bestFit="1" customWidth="1"/>
    <col min="4" max="4" width="4.26953125" bestFit="1" customWidth="1"/>
    <col min="5" max="5" width="11.453125" bestFit="1" customWidth="1"/>
    <col min="6" max="6" width="6.26953125" bestFit="1" customWidth="1"/>
    <col min="7" max="7" width="1.6328125" bestFit="1" customWidth="1"/>
    <col min="9" max="9" width="23.54296875" bestFit="1" customWidth="1"/>
    <col min="10" max="10" width="3.7265625" bestFit="1" customWidth="1"/>
    <col min="11" max="11" width="12.26953125" bestFit="1" customWidth="1"/>
    <col min="12" max="12" width="8.1796875" bestFit="1" customWidth="1"/>
  </cols>
  <sheetData>
    <row r="1" spans="2:12" ht="15" thickBot="1" x14ac:dyDescent="0.4"/>
    <row r="2" spans="2:12" ht="21.5" thickBot="1" x14ac:dyDescent="0.55000000000000004">
      <c r="B2" s="93" t="s">
        <v>91</v>
      </c>
      <c r="C2" s="94"/>
      <c r="D2" s="94"/>
      <c r="E2" s="94"/>
      <c r="F2" s="94"/>
      <c r="G2" s="94"/>
      <c r="H2" s="94"/>
      <c r="I2" s="94"/>
      <c r="J2" s="94"/>
      <c r="K2" s="94"/>
      <c r="L2" s="95"/>
    </row>
    <row r="3" spans="2:12" ht="16" thickBot="1" x14ac:dyDescent="0.4">
      <c r="B3" s="74" t="s">
        <v>92</v>
      </c>
      <c r="C3" s="75">
        <v>295</v>
      </c>
      <c r="D3" s="75" t="s">
        <v>86</v>
      </c>
      <c r="E3" s="74" t="s">
        <v>93</v>
      </c>
      <c r="F3" s="75">
        <v>50.27</v>
      </c>
      <c r="G3" s="75" t="s">
        <v>94</v>
      </c>
      <c r="H3" s="62"/>
      <c r="I3" s="96" t="s">
        <v>95</v>
      </c>
      <c r="J3" s="97"/>
      <c r="K3" s="97"/>
      <c r="L3" s="98"/>
    </row>
    <row r="4" spans="2:12" ht="15.5" x14ac:dyDescent="0.35">
      <c r="B4" s="66" t="s">
        <v>96</v>
      </c>
      <c r="C4" s="67">
        <v>12.6</v>
      </c>
      <c r="D4" s="67" t="s">
        <v>18</v>
      </c>
      <c r="E4" s="66" t="s">
        <v>97</v>
      </c>
      <c r="F4" s="67">
        <v>49.51</v>
      </c>
      <c r="G4" s="67" t="s">
        <v>94</v>
      </c>
      <c r="H4" s="62"/>
      <c r="I4" s="76" t="s">
        <v>98</v>
      </c>
      <c r="J4" s="77"/>
      <c r="K4" s="78">
        <v>757008.64</v>
      </c>
      <c r="L4" s="79" t="s">
        <v>99</v>
      </c>
    </row>
    <row r="5" spans="2:12" ht="15.5" x14ac:dyDescent="0.35">
      <c r="B5" s="66" t="s">
        <v>100</v>
      </c>
      <c r="C5" s="67">
        <v>0.55000000000000004</v>
      </c>
      <c r="D5" s="67" t="s">
        <v>18</v>
      </c>
      <c r="E5" s="66" t="s">
        <v>101</v>
      </c>
      <c r="F5" s="67">
        <v>49.9</v>
      </c>
      <c r="G5" s="67" t="s">
        <v>94</v>
      </c>
      <c r="H5" s="62"/>
      <c r="I5" s="68" t="s">
        <v>102</v>
      </c>
      <c r="J5" s="69"/>
      <c r="K5" s="70">
        <v>8.6999999999999993</v>
      </c>
      <c r="L5" s="70" t="s">
        <v>18</v>
      </c>
    </row>
    <row r="6" spans="2:12" ht="15.5" x14ac:dyDescent="0.35">
      <c r="B6" s="66" t="s">
        <v>103</v>
      </c>
      <c r="C6" s="67">
        <v>12.05</v>
      </c>
      <c r="D6" s="67" t="s">
        <v>18</v>
      </c>
      <c r="E6" s="66" t="s">
        <v>104</v>
      </c>
      <c r="F6" s="67">
        <v>49.89</v>
      </c>
      <c r="G6" s="67" t="s">
        <v>94</v>
      </c>
      <c r="H6" s="62"/>
      <c r="I6" s="68" t="s">
        <v>105</v>
      </c>
      <c r="J6" s="69" t="s">
        <v>106</v>
      </c>
      <c r="K6" s="71">
        <v>20.75</v>
      </c>
      <c r="L6" s="71" t="s">
        <v>18</v>
      </c>
    </row>
    <row r="7" spans="2:12" ht="15.5" x14ac:dyDescent="0.35">
      <c r="B7" s="66" t="s">
        <v>107</v>
      </c>
      <c r="C7" s="67">
        <v>6</v>
      </c>
      <c r="D7" s="67" t="s">
        <v>86</v>
      </c>
      <c r="E7" s="62"/>
      <c r="F7" s="62"/>
      <c r="G7" s="62"/>
      <c r="H7" s="92"/>
      <c r="I7" s="92"/>
      <c r="J7" s="63"/>
      <c r="K7" s="62"/>
      <c r="L7" s="62"/>
    </row>
    <row r="8" spans="2:12" ht="15.5" x14ac:dyDescent="0.35">
      <c r="B8" s="66" t="s">
        <v>108</v>
      </c>
      <c r="C8" s="67">
        <v>687</v>
      </c>
      <c r="D8" s="67" t="s">
        <v>86</v>
      </c>
      <c r="E8" s="62"/>
      <c r="F8" s="62"/>
      <c r="G8" s="62"/>
      <c r="H8" s="92"/>
      <c r="I8" s="92"/>
      <c r="J8" s="63"/>
      <c r="K8" s="62"/>
      <c r="L8" s="62"/>
    </row>
    <row r="9" spans="2:12" ht="15.5" x14ac:dyDescent="0.35">
      <c r="B9" s="66" t="s">
        <v>109</v>
      </c>
      <c r="C9" s="67">
        <v>544</v>
      </c>
      <c r="D9" s="67" t="s">
        <v>86</v>
      </c>
      <c r="E9" s="62"/>
      <c r="F9" s="62"/>
      <c r="G9" s="62"/>
      <c r="H9" s="92"/>
      <c r="I9" s="92"/>
      <c r="J9" s="63"/>
      <c r="K9" s="62"/>
      <c r="L9" s="62"/>
    </row>
    <row r="10" spans="2:12" ht="15.5" x14ac:dyDescent="0.35">
      <c r="B10" s="66" t="s">
        <v>110</v>
      </c>
      <c r="C10" s="67">
        <v>143</v>
      </c>
      <c r="D10" s="67" t="s">
        <v>86</v>
      </c>
      <c r="E10" s="62"/>
      <c r="F10" s="62"/>
      <c r="G10" s="62"/>
      <c r="H10" s="92"/>
      <c r="I10" s="92"/>
      <c r="J10" s="63"/>
      <c r="K10" s="62"/>
      <c r="L10" s="62"/>
    </row>
    <row r="11" spans="2:12" ht="16" thickBot="1" x14ac:dyDescent="0.4">
      <c r="B11" s="72" t="s">
        <v>111</v>
      </c>
      <c r="C11" s="73">
        <v>1000</v>
      </c>
      <c r="D11" s="73" t="s">
        <v>86</v>
      </c>
      <c r="E11" s="62"/>
      <c r="F11" s="62"/>
      <c r="G11" s="62"/>
      <c r="H11" s="92"/>
      <c r="I11" s="92"/>
      <c r="J11" s="63"/>
      <c r="K11" s="62"/>
      <c r="L11" s="62"/>
    </row>
    <row r="12" spans="2:12" ht="21.5" thickBot="1" x14ac:dyDescent="0.55000000000000004">
      <c r="B12" s="93" t="s">
        <v>112</v>
      </c>
      <c r="C12" s="94"/>
      <c r="D12" s="94"/>
      <c r="E12" s="94"/>
      <c r="F12" s="94"/>
      <c r="G12" s="94"/>
      <c r="H12" s="94"/>
      <c r="I12" s="94"/>
      <c r="J12" s="94"/>
      <c r="K12" s="94"/>
      <c r="L12" s="95"/>
    </row>
    <row r="13" spans="2:12" ht="16" thickBot="1" x14ac:dyDescent="0.4">
      <c r="B13" s="74" t="s">
        <v>92</v>
      </c>
      <c r="C13" s="75">
        <v>317</v>
      </c>
      <c r="D13" s="75" t="s">
        <v>86</v>
      </c>
      <c r="E13" s="74" t="s">
        <v>93</v>
      </c>
      <c r="F13" s="75">
        <v>63.09</v>
      </c>
      <c r="G13" s="75" t="s">
        <v>94</v>
      </c>
      <c r="H13" s="62"/>
      <c r="I13" s="96" t="s">
        <v>95</v>
      </c>
      <c r="J13" s="97"/>
      <c r="K13" s="97"/>
      <c r="L13" s="98"/>
    </row>
    <row r="14" spans="2:12" ht="15.5" x14ac:dyDescent="0.35">
      <c r="B14" s="66" t="s">
        <v>96</v>
      </c>
      <c r="C14" s="67">
        <v>12.35</v>
      </c>
      <c r="D14" s="67" t="s">
        <v>18</v>
      </c>
      <c r="E14" s="66" t="s">
        <v>97</v>
      </c>
      <c r="F14" s="67">
        <v>62.67</v>
      </c>
      <c r="G14" s="67" t="s">
        <v>94</v>
      </c>
      <c r="H14" s="64"/>
      <c r="I14" s="76" t="s">
        <v>98</v>
      </c>
      <c r="J14" s="77"/>
      <c r="K14" s="78">
        <v>1159020.5900000001</v>
      </c>
      <c r="L14" s="79" t="s">
        <v>99</v>
      </c>
    </row>
    <row r="15" spans="2:12" ht="15.5" x14ac:dyDescent="0.35">
      <c r="B15" s="66" t="s">
        <v>100</v>
      </c>
      <c r="C15" s="67">
        <v>0.55000000000000004</v>
      </c>
      <c r="D15" s="67" t="s">
        <v>18</v>
      </c>
      <c r="E15" s="66" t="s">
        <v>101</v>
      </c>
      <c r="F15" s="67">
        <v>61.38</v>
      </c>
      <c r="G15" s="67" t="s">
        <v>94</v>
      </c>
      <c r="H15" s="64"/>
      <c r="I15" s="68" t="s">
        <v>102</v>
      </c>
      <c r="J15" s="69"/>
      <c r="K15" s="70">
        <v>11.53</v>
      </c>
      <c r="L15" s="70" t="s">
        <v>18</v>
      </c>
    </row>
    <row r="16" spans="2:12" ht="15.5" x14ac:dyDescent="0.35">
      <c r="B16" s="66" t="s">
        <v>103</v>
      </c>
      <c r="C16" s="67">
        <v>11.8</v>
      </c>
      <c r="D16" s="67" t="s">
        <v>18</v>
      </c>
      <c r="E16" s="66" t="s">
        <v>104</v>
      </c>
      <c r="F16" s="67">
        <v>62.38</v>
      </c>
      <c r="G16" s="67" t="s">
        <v>94</v>
      </c>
      <c r="H16" s="64"/>
      <c r="I16" s="68" t="s">
        <v>105</v>
      </c>
      <c r="J16" s="69" t="s">
        <v>106</v>
      </c>
      <c r="K16" s="71">
        <v>23.33</v>
      </c>
      <c r="L16" s="71" t="s">
        <v>113</v>
      </c>
    </row>
    <row r="17" spans="2:12" ht="15.5" x14ac:dyDescent="0.35">
      <c r="B17" s="66" t="s">
        <v>107</v>
      </c>
      <c r="C17" s="67">
        <v>6</v>
      </c>
      <c r="D17" s="67" t="s">
        <v>86</v>
      </c>
      <c r="E17" s="62"/>
      <c r="F17" s="62"/>
      <c r="G17" s="62"/>
      <c r="H17" s="99"/>
      <c r="I17" s="99"/>
      <c r="J17" s="65"/>
      <c r="K17" s="64"/>
      <c r="L17" s="64"/>
    </row>
    <row r="18" spans="2:12" ht="15.5" x14ac:dyDescent="0.35">
      <c r="B18" s="66" t="s">
        <v>108</v>
      </c>
      <c r="C18" s="67">
        <v>687</v>
      </c>
      <c r="D18" s="67" t="s">
        <v>86</v>
      </c>
      <c r="E18" s="62"/>
      <c r="F18" s="62"/>
      <c r="G18" s="62"/>
      <c r="H18" s="92"/>
      <c r="I18" s="92"/>
      <c r="J18" s="63"/>
      <c r="K18" s="62"/>
      <c r="L18" s="62"/>
    </row>
    <row r="19" spans="2:12" ht="15.5" x14ac:dyDescent="0.35">
      <c r="B19" s="66" t="s">
        <v>109</v>
      </c>
      <c r="C19" s="67">
        <v>544</v>
      </c>
      <c r="D19" s="67" t="s">
        <v>86</v>
      </c>
      <c r="E19" s="62"/>
      <c r="F19" s="62"/>
      <c r="G19" s="62"/>
      <c r="H19" s="92"/>
      <c r="I19" s="92"/>
      <c r="J19" s="63"/>
      <c r="K19" s="62"/>
      <c r="L19" s="62"/>
    </row>
    <row r="20" spans="2:12" ht="15.5" x14ac:dyDescent="0.35">
      <c r="B20" s="66" t="s">
        <v>110</v>
      </c>
      <c r="C20" s="67">
        <v>143</v>
      </c>
      <c r="D20" s="67" t="s">
        <v>86</v>
      </c>
      <c r="E20" s="62"/>
      <c r="F20" s="62"/>
      <c r="G20" s="62"/>
      <c r="H20" s="92"/>
      <c r="I20" s="92"/>
      <c r="J20" s="63"/>
      <c r="K20" s="62"/>
      <c r="L20" s="62"/>
    </row>
    <row r="21" spans="2:12" ht="16" thickBot="1" x14ac:dyDescent="0.4">
      <c r="B21" s="72" t="s">
        <v>111</v>
      </c>
      <c r="C21" s="73">
        <v>1000</v>
      </c>
      <c r="D21" s="73" t="s">
        <v>86</v>
      </c>
      <c r="E21" s="62"/>
      <c r="F21" s="62"/>
      <c r="G21" s="62"/>
      <c r="H21" s="92"/>
      <c r="I21" s="92"/>
      <c r="J21" s="63"/>
      <c r="K21" s="62"/>
      <c r="L21" s="62"/>
    </row>
    <row r="22" spans="2:12" ht="21.5" thickBot="1" x14ac:dyDescent="0.55000000000000004">
      <c r="B22" s="93" t="s">
        <v>114</v>
      </c>
      <c r="C22" s="94"/>
      <c r="D22" s="94"/>
      <c r="E22" s="94"/>
      <c r="F22" s="94"/>
      <c r="G22" s="94"/>
      <c r="H22" s="94"/>
      <c r="I22" s="94"/>
      <c r="J22" s="94"/>
      <c r="K22" s="94"/>
      <c r="L22" s="95"/>
    </row>
    <row r="23" spans="2:12" ht="16" thickBot="1" x14ac:dyDescent="0.4">
      <c r="B23" s="74" t="s">
        <v>92</v>
      </c>
      <c r="C23" s="75">
        <v>312</v>
      </c>
      <c r="D23" s="75" t="s">
        <v>86</v>
      </c>
      <c r="E23" s="74" t="s">
        <v>93</v>
      </c>
      <c r="F23" s="75">
        <v>58.72</v>
      </c>
      <c r="G23" s="75" t="s">
        <v>94</v>
      </c>
      <c r="H23" s="62"/>
      <c r="I23" s="96" t="s">
        <v>95</v>
      </c>
      <c r="J23" s="97"/>
      <c r="K23" s="97"/>
      <c r="L23" s="98"/>
    </row>
    <row r="24" spans="2:12" ht="15.5" x14ac:dyDescent="0.35">
      <c r="B24" s="66" t="s">
        <v>96</v>
      </c>
      <c r="C24" s="67">
        <v>11.3</v>
      </c>
      <c r="D24" s="67" t="s">
        <v>18</v>
      </c>
      <c r="E24" s="66" t="s">
        <v>97</v>
      </c>
      <c r="F24" s="67">
        <v>59.82</v>
      </c>
      <c r="G24" s="67" t="s">
        <v>94</v>
      </c>
      <c r="H24" s="64"/>
      <c r="I24" s="76" t="s">
        <v>98</v>
      </c>
      <c r="J24" s="77"/>
      <c r="K24" s="78">
        <v>942281.29</v>
      </c>
      <c r="L24" s="79" t="s">
        <v>99</v>
      </c>
    </row>
    <row r="25" spans="2:12" ht="15.5" x14ac:dyDescent="0.35">
      <c r="B25" s="66" t="s">
        <v>100</v>
      </c>
      <c r="C25" s="67">
        <v>0.55000000000000004</v>
      </c>
      <c r="D25" s="67" t="s">
        <v>18</v>
      </c>
      <c r="E25" s="66" t="s">
        <v>101</v>
      </c>
      <c r="F25" s="67">
        <v>58.25</v>
      </c>
      <c r="G25" s="67" t="s">
        <v>94</v>
      </c>
      <c r="H25" s="64"/>
      <c r="I25" s="68" t="s">
        <v>102</v>
      </c>
      <c r="J25" s="69"/>
      <c r="K25" s="70">
        <v>9.68</v>
      </c>
      <c r="L25" s="70" t="s">
        <v>18</v>
      </c>
    </row>
    <row r="26" spans="2:12" ht="15.5" x14ac:dyDescent="0.35">
      <c r="B26" s="66" t="s">
        <v>103</v>
      </c>
      <c r="C26" s="67">
        <v>10.75</v>
      </c>
      <c r="D26" s="67" t="s">
        <v>18</v>
      </c>
      <c r="E26" s="66" t="s">
        <v>104</v>
      </c>
      <c r="F26" s="67">
        <v>58.93</v>
      </c>
      <c r="G26" s="67" t="s">
        <v>94</v>
      </c>
      <c r="H26" s="64"/>
      <c r="I26" s="68" t="s">
        <v>105</v>
      </c>
      <c r="J26" s="69" t="s">
        <v>106</v>
      </c>
      <c r="K26" s="71">
        <v>20.43</v>
      </c>
      <c r="L26" s="71" t="s">
        <v>18</v>
      </c>
    </row>
    <row r="27" spans="2:12" ht="15.5" x14ac:dyDescent="0.35">
      <c r="B27" s="66" t="s">
        <v>107</v>
      </c>
      <c r="C27" s="67">
        <v>6</v>
      </c>
      <c r="D27" s="67" t="s">
        <v>86</v>
      </c>
      <c r="E27" s="62"/>
      <c r="F27" s="62"/>
      <c r="G27" s="62"/>
      <c r="H27" s="99"/>
      <c r="I27" s="99"/>
      <c r="J27" s="65"/>
      <c r="K27" s="64"/>
      <c r="L27" s="64"/>
    </row>
    <row r="28" spans="2:12" ht="15.5" x14ac:dyDescent="0.35">
      <c r="B28" s="66" t="s">
        <v>108</v>
      </c>
      <c r="C28" s="67">
        <v>687</v>
      </c>
      <c r="D28" s="67" t="s">
        <v>86</v>
      </c>
      <c r="E28" s="62"/>
      <c r="F28" s="62"/>
      <c r="G28" s="62"/>
      <c r="H28" s="92"/>
      <c r="I28" s="92"/>
      <c r="J28" s="63"/>
      <c r="K28" s="62"/>
      <c r="L28" s="62"/>
    </row>
    <row r="29" spans="2:12" ht="15.5" x14ac:dyDescent="0.35">
      <c r="B29" s="66" t="s">
        <v>109</v>
      </c>
      <c r="C29" s="67">
        <v>544</v>
      </c>
      <c r="D29" s="67" t="s">
        <v>86</v>
      </c>
      <c r="E29" s="62"/>
      <c r="F29" s="62"/>
      <c r="G29" s="62"/>
      <c r="H29" s="92"/>
      <c r="I29" s="92"/>
      <c r="J29" s="63"/>
      <c r="K29" s="62"/>
      <c r="L29" s="62"/>
    </row>
    <row r="30" spans="2:12" ht="15.5" x14ac:dyDescent="0.35">
      <c r="B30" s="66" t="s">
        <v>110</v>
      </c>
      <c r="C30" s="67">
        <v>143</v>
      </c>
      <c r="D30" s="67" t="s">
        <v>86</v>
      </c>
      <c r="E30" s="62"/>
      <c r="F30" s="62"/>
      <c r="G30" s="62"/>
      <c r="H30" s="92"/>
      <c r="I30" s="92"/>
      <c r="J30" s="63"/>
      <c r="K30" s="62"/>
      <c r="L30" s="62"/>
    </row>
    <row r="31" spans="2:12" ht="16" thickBot="1" x14ac:dyDescent="0.4">
      <c r="B31" s="72" t="s">
        <v>111</v>
      </c>
      <c r="C31" s="73">
        <v>1000</v>
      </c>
      <c r="D31" s="73" t="s">
        <v>86</v>
      </c>
      <c r="E31" s="62"/>
      <c r="F31" s="62"/>
      <c r="G31" s="62"/>
      <c r="H31" s="92"/>
      <c r="I31" s="92"/>
      <c r="J31" s="63"/>
      <c r="K31" s="62"/>
      <c r="L31" s="62"/>
    </row>
    <row r="32" spans="2:12" ht="21.5" thickBot="1" x14ac:dyDescent="0.55000000000000004">
      <c r="B32" s="93" t="s">
        <v>115</v>
      </c>
      <c r="C32" s="94"/>
      <c r="D32" s="94"/>
      <c r="E32" s="94"/>
      <c r="F32" s="94"/>
      <c r="G32" s="94"/>
      <c r="H32" s="94"/>
      <c r="I32" s="94"/>
      <c r="J32" s="94"/>
      <c r="K32" s="94"/>
      <c r="L32" s="95"/>
    </row>
    <row r="33" spans="2:12" ht="16" thickBot="1" x14ac:dyDescent="0.4">
      <c r="B33" s="74" t="s">
        <v>92</v>
      </c>
      <c r="C33" s="75">
        <v>335</v>
      </c>
      <c r="D33" s="75" t="s">
        <v>86</v>
      </c>
      <c r="E33" s="74" t="s">
        <v>93</v>
      </c>
      <c r="F33" s="75">
        <v>56.94</v>
      </c>
      <c r="G33" s="75" t="s">
        <v>94</v>
      </c>
      <c r="H33" s="62"/>
      <c r="I33" s="96" t="s">
        <v>95</v>
      </c>
      <c r="J33" s="97"/>
      <c r="K33" s="97"/>
      <c r="L33" s="98"/>
    </row>
    <row r="34" spans="2:12" ht="15.5" x14ac:dyDescent="0.35">
      <c r="B34" s="66" t="s">
        <v>96</v>
      </c>
      <c r="C34" s="67">
        <v>12.3</v>
      </c>
      <c r="D34" s="67" t="s">
        <v>18</v>
      </c>
      <c r="E34" s="66" t="s">
        <v>97</v>
      </c>
      <c r="F34" s="67">
        <v>57.24</v>
      </c>
      <c r="G34" s="67" t="s">
        <v>94</v>
      </c>
      <c r="H34" s="62"/>
      <c r="I34" s="76" t="s">
        <v>98</v>
      </c>
      <c r="J34" s="77" t="s">
        <v>116</v>
      </c>
      <c r="K34" s="78">
        <v>960396.28</v>
      </c>
      <c r="L34" s="79" t="s">
        <v>99</v>
      </c>
    </row>
    <row r="35" spans="2:12" ht="15.5" x14ac:dyDescent="0.35">
      <c r="B35" s="66" t="s">
        <v>100</v>
      </c>
      <c r="C35" s="67">
        <v>0.55000000000000004</v>
      </c>
      <c r="D35" s="67" t="s">
        <v>18</v>
      </c>
      <c r="E35" s="66" t="s">
        <v>101</v>
      </c>
      <c r="F35" s="67">
        <v>56.54</v>
      </c>
      <c r="G35" s="67" t="s">
        <v>94</v>
      </c>
      <c r="H35" s="62"/>
      <c r="I35" s="68" t="s">
        <v>102</v>
      </c>
      <c r="J35" s="69"/>
      <c r="K35" s="70">
        <v>8.56</v>
      </c>
      <c r="L35" s="70" t="s">
        <v>18</v>
      </c>
    </row>
    <row r="36" spans="2:12" ht="15.5" x14ac:dyDescent="0.35">
      <c r="B36" s="66" t="s">
        <v>103</v>
      </c>
      <c r="C36" s="67">
        <v>11.75</v>
      </c>
      <c r="D36" s="67" t="s">
        <v>18</v>
      </c>
      <c r="E36" s="66" t="s">
        <v>104</v>
      </c>
      <c r="F36" s="67">
        <v>56.91</v>
      </c>
      <c r="G36" s="67" t="s">
        <v>94</v>
      </c>
      <c r="H36" s="62"/>
      <c r="I36" s="68" t="s">
        <v>105</v>
      </c>
      <c r="J36" s="69" t="s">
        <v>106</v>
      </c>
      <c r="K36" s="71">
        <v>20.309999999999999</v>
      </c>
      <c r="L36" s="71" t="s">
        <v>18</v>
      </c>
    </row>
    <row r="37" spans="2:12" ht="15.5" x14ac:dyDescent="0.35">
      <c r="B37" s="66" t="s">
        <v>107</v>
      </c>
      <c r="C37" s="67">
        <v>6</v>
      </c>
      <c r="D37" s="67" t="s">
        <v>86</v>
      </c>
      <c r="E37" s="62"/>
      <c r="F37" s="62"/>
      <c r="G37" s="62"/>
      <c r="H37" s="92"/>
      <c r="I37" s="92"/>
      <c r="J37" s="63"/>
      <c r="K37" s="62"/>
      <c r="L37" s="62"/>
    </row>
    <row r="38" spans="2:12" ht="15.5" x14ac:dyDescent="0.35">
      <c r="B38" s="66" t="s">
        <v>108</v>
      </c>
      <c r="C38" s="67">
        <v>687</v>
      </c>
      <c r="D38" s="67" t="s">
        <v>86</v>
      </c>
      <c r="E38" s="62"/>
      <c r="F38" s="62"/>
      <c r="G38" s="62"/>
      <c r="H38" s="92"/>
      <c r="I38" s="92"/>
      <c r="J38" s="63"/>
      <c r="K38" s="62"/>
      <c r="L38" s="62"/>
    </row>
    <row r="39" spans="2:12" ht="15.5" x14ac:dyDescent="0.35">
      <c r="B39" s="66" t="s">
        <v>109</v>
      </c>
      <c r="C39" s="67">
        <v>544</v>
      </c>
      <c r="D39" s="67" t="s">
        <v>86</v>
      </c>
      <c r="E39" s="62"/>
      <c r="F39" s="62"/>
      <c r="G39" s="62"/>
      <c r="H39" s="92"/>
      <c r="I39" s="92"/>
      <c r="J39" s="63"/>
      <c r="K39" s="62"/>
      <c r="L39" s="62"/>
    </row>
    <row r="40" spans="2:12" ht="15.5" x14ac:dyDescent="0.35">
      <c r="B40" s="66" t="s">
        <v>110</v>
      </c>
      <c r="C40" s="67">
        <v>143</v>
      </c>
      <c r="D40" s="67" t="s">
        <v>86</v>
      </c>
      <c r="E40" s="62"/>
      <c r="F40" s="62"/>
      <c r="G40" s="62"/>
      <c r="H40" s="92"/>
      <c r="I40" s="92"/>
      <c r="J40" s="63"/>
      <c r="K40" s="62"/>
      <c r="L40" s="62"/>
    </row>
    <row r="41" spans="2:12" ht="15.5" x14ac:dyDescent="0.35">
      <c r="B41" s="66" t="s">
        <v>111</v>
      </c>
      <c r="C41" s="67">
        <v>1000</v>
      </c>
      <c r="D41" s="67" t="s">
        <v>86</v>
      </c>
      <c r="E41" s="62"/>
      <c r="F41" s="62"/>
      <c r="G41" s="62"/>
      <c r="H41" s="92"/>
      <c r="I41" s="92"/>
      <c r="J41" s="63"/>
      <c r="K41" s="62"/>
      <c r="L41" s="62"/>
    </row>
  </sheetData>
  <mergeCells count="28">
    <mergeCell ref="H10:I10"/>
    <mergeCell ref="B2:L2"/>
    <mergeCell ref="I3:L3"/>
    <mergeCell ref="H7:I7"/>
    <mergeCell ref="H8:I8"/>
    <mergeCell ref="H9:I9"/>
    <mergeCell ref="H28:I28"/>
    <mergeCell ref="H11:I11"/>
    <mergeCell ref="B12:L12"/>
    <mergeCell ref="I13:L13"/>
    <mergeCell ref="H17:I17"/>
    <mergeCell ref="H18:I18"/>
    <mergeCell ref="H19:I19"/>
    <mergeCell ref="H20:I20"/>
    <mergeCell ref="H21:I21"/>
    <mergeCell ref="B22:L22"/>
    <mergeCell ref="I23:L23"/>
    <mergeCell ref="H27:I27"/>
    <mergeCell ref="H38:I38"/>
    <mergeCell ref="H39:I39"/>
    <mergeCell ref="H40:I40"/>
    <mergeCell ref="H41:I41"/>
    <mergeCell ref="H29:I29"/>
    <mergeCell ref="H30:I30"/>
    <mergeCell ref="H31:I31"/>
    <mergeCell ref="B32:L32"/>
    <mergeCell ref="I33:L33"/>
    <mergeCell ref="H37:I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BMW s1000rr</vt:lpstr>
      <vt:lpstr>KTM EXC_F 350</vt:lpstr>
      <vt:lpstr>Power-Torque-speed-Force</vt:lpstr>
      <vt:lpstr>Resistance to motion</vt:lpstr>
      <vt:lpstr>Inertia</vt:lpstr>
      <vt:lpstr>'Resistance to motion'!_Hlk122105933</vt:lpstr>
      <vt:lpstr>'Resistance to motion'!_Hlk122186604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Vale</dc:creator>
  <cp:lastModifiedBy>Timothy Vale</cp:lastModifiedBy>
  <dcterms:created xsi:type="dcterms:W3CDTF">2022-12-03T16:16:21Z</dcterms:created>
  <dcterms:modified xsi:type="dcterms:W3CDTF">2022-12-17T17:01:32Z</dcterms:modified>
</cp:coreProperties>
</file>