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F:\Uni BSc\Design Economics\Assignment\"/>
    </mc:Choice>
  </mc:AlternateContent>
  <xr:revisionPtr revIDLastSave="0" documentId="13_ncr:1_{33F2BBF7-EF7D-4396-AFDC-474DCD20A40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inal" sheetId="11" r:id="rId1"/>
  </sheets>
  <definedNames>
    <definedName name="_xlnm._FilterDatabase" localSheetId="0" hidden="1">Final!$A$15:$AE$91</definedName>
    <definedName name="_xlnm.Print_Area" localSheetId="0">Final!$B$2:$AE$91</definedName>
    <definedName name="_xlnm.Print_Titles" localSheetId="0">Final!$2:$15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5" i="11" l="1"/>
  <c r="G45" i="11"/>
  <c r="X24" i="11"/>
  <c r="I53" i="11"/>
  <c r="I51" i="11" s="1"/>
  <c r="G54" i="11"/>
  <c r="J54" i="11" s="1"/>
  <c r="W21" i="11"/>
  <c r="L54" i="11" l="1"/>
  <c r="J53" i="11"/>
  <c r="K54" i="11"/>
  <c r="F63" i="11" l="1"/>
  <c r="P67" i="11"/>
  <c r="K68" i="11"/>
  <c r="P68" i="11"/>
  <c r="S68" i="11"/>
  <c r="X68" i="11"/>
  <c r="AA68" i="11"/>
  <c r="G68" i="11"/>
  <c r="M68" i="11" s="1"/>
  <c r="G67" i="11"/>
  <c r="M67" i="11" s="1"/>
  <c r="G66" i="11"/>
  <c r="M66" i="11" s="1"/>
  <c r="F70" i="11"/>
  <c r="E70" i="11"/>
  <c r="G72" i="11"/>
  <c r="G16" i="11"/>
  <c r="E49" i="11"/>
  <c r="G49" i="11" s="1"/>
  <c r="AA49" i="11" s="1"/>
  <c r="E36" i="11"/>
  <c r="G24" i="11"/>
  <c r="Z32" i="11"/>
  <c r="I13" i="11"/>
  <c r="J13" i="11" s="1"/>
  <c r="K13" i="11" s="1"/>
  <c r="L13" i="11" s="1"/>
  <c r="M13" i="11" s="1"/>
  <c r="N13" i="11" s="1"/>
  <c r="O13" i="11" s="1"/>
  <c r="P13" i="11" s="1"/>
  <c r="Q13" i="11" s="1"/>
  <c r="R13" i="11" s="1"/>
  <c r="S13" i="11" s="1"/>
  <c r="T13" i="11" s="1"/>
  <c r="U13" i="11" s="1"/>
  <c r="V13" i="11" s="1"/>
  <c r="W13" i="11" s="1"/>
  <c r="X13" i="11" s="1"/>
  <c r="Y13" i="11" s="1"/>
  <c r="Z13" i="11" s="1"/>
  <c r="AA13" i="11" s="1"/>
  <c r="AB13" i="11" s="1"/>
  <c r="AC13" i="11" s="1"/>
  <c r="AB70" i="11"/>
  <c r="AA70" i="11"/>
  <c r="Z70" i="11"/>
  <c r="Y70" i="11"/>
  <c r="X70" i="11"/>
  <c r="W70" i="11"/>
  <c r="V70" i="11"/>
  <c r="U70" i="11"/>
  <c r="T70" i="11"/>
  <c r="S70" i="11"/>
  <c r="Y51" i="11"/>
  <c r="X51" i="11"/>
  <c r="W51" i="11"/>
  <c r="V51" i="11"/>
  <c r="U51" i="11"/>
  <c r="T51" i="11"/>
  <c r="S51" i="11"/>
  <c r="AB45" i="11"/>
  <c r="U45" i="11"/>
  <c r="T45" i="11"/>
  <c r="S45" i="11"/>
  <c r="AB38" i="11"/>
  <c r="Y38" i="11"/>
  <c r="W38" i="11"/>
  <c r="V38" i="11"/>
  <c r="U38" i="11"/>
  <c r="T38" i="11"/>
  <c r="S38" i="11"/>
  <c r="AB32" i="11"/>
  <c r="AA32" i="11"/>
  <c r="U32" i="11"/>
  <c r="T32" i="11"/>
  <c r="S32" i="11"/>
  <c r="AB21" i="11"/>
  <c r="AA21" i="11"/>
  <c r="Z21" i="11"/>
  <c r="S21" i="11"/>
  <c r="W68" i="11" l="1"/>
  <c r="O68" i="11"/>
  <c r="AB68" i="11"/>
  <c r="T68" i="11"/>
  <c r="L68" i="11"/>
  <c r="AB67" i="11"/>
  <c r="L67" i="11"/>
  <c r="I67" i="11"/>
  <c r="X67" i="11"/>
  <c r="T67" i="11"/>
  <c r="T66" i="11"/>
  <c r="AA67" i="11"/>
  <c r="S67" i="11"/>
  <c r="K67" i="11"/>
  <c r="W66" i="11"/>
  <c r="K66" i="11"/>
  <c r="E63" i="11"/>
  <c r="H68" i="11"/>
  <c r="Z68" i="11"/>
  <c r="V68" i="11"/>
  <c r="R68" i="11"/>
  <c r="N68" i="11"/>
  <c r="J68" i="11"/>
  <c r="Z67" i="11"/>
  <c r="V67" i="11"/>
  <c r="R67" i="11"/>
  <c r="N67" i="11"/>
  <c r="J67" i="11"/>
  <c r="Z66" i="11"/>
  <c r="V66" i="11"/>
  <c r="R66" i="11"/>
  <c r="N66" i="11"/>
  <c r="J66" i="11"/>
  <c r="H66" i="11"/>
  <c r="AB66" i="11"/>
  <c r="X66" i="11"/>
  <c r="P66" i="11"/>
  <c r="L66" i="11"/>
  <c r="H67" i="11"/>
  <c r="W67" i="11"/>
  <c r="O67" i="11"/>
  <c r="AA66" i="11"/>
  <c r="S66" i="11"/>
  <c r="O66" i="11"/>
  <c r="I68" i="11"/>
  <c r="I66" i="11"/>
  <c r="AC68" i="11"/>
  <c r="Y68" i="11"/>
  <c r="U68" i="11"/>
  <c r="Q68" i="11"/>
  <c r="AC67" i="11"/>
  <c r="Y67" i="11"/>
  <c r="U67" i="11"/>
  <c r="Q67" i="11"/>
  <c r="AC66" i="11"/>
  <c r="Y66" i="11"/>
  <c r="U66" i="11"/>
  <c r="Q66" i="11"/>
  <c r="W49" i="11"/>
  <c r="Y49" i="11"/>
  <c r="Z51" i="11"/>
  <c r="V24" i="11"/>
  <c r="T24" i="11"/>
  <c r="U24" i="11"/>
  <c r="W24" i="11"/>
  <c r="X49" i="11"/>
  <c r="G36" i="11" l="1"/>
  <c r="G30" i="11"/>
  <c r="W30" i="11" s="1"/>
  <c r="G29" i="11"/>
  <c r="W36" i="11" l="1"/>
  <c r="X36" i="11"/>
  <c r="Y29" i="11"/>
  <c r="Y21" i="11" s="1"/>
  <c r="X29" i="11"/>
  <c r="W29" i="11"/>
  <c r="AB51" i="11"/>
  <c r="AA51" i="11"/>
  <c r="I12" i="11"/>
  <c r="J12" i="11" s="1"/>
  <c r="K12" i="11" s="1"/>
  <c r="L12" i="11" s="1"/>
  <c r="M12" i="11" s="1"/>
  <c r="N12" i="11" s="1"/>
  <c r="O12" i="11" s="1"/>
  <c r="P12" i="11" s="1"/>
  <c r="Q12" i="11" s="1"/>
  <c r="R12" i="11" s="1"/>
  <c r="S12" i="11" s="1"/>
  <c r="T12" i="11" s="1"/>
  <c r="U12" i="11" s="1"/>
  <c r="V12" i="11" s="1"/>
  <c r="W12" i="11" s="1"/>
  <c r="X12" i="11" s="1"/>
  <c r="Y12" i="11" s="1"/>
  <c r="Z12" i="11" s="1"/>
  <c r="AA12" i="11" s="1"/>
  <c r="AB12" i="11" s="1"/>
  <c r="AC12" i="11" s="1"/>
  <c r="G71" i="11"/>
  <c r="G70" i="11" s="1"/>
  <c r="G65" i="11"/>
  <c r="G64" i="11"/>
  <c r="G61" i="11"/>
  <c r="G52" i="11"/>
  <c r="G48" i="11"/>
  <c r="G47" i="11"/>
  <c r="G46" i="11"/>
  <c r="G40" i="11"/>
  <c r="X40" i="11" s="1"/>
  <c r="X38" i="11" s="1"/>
  <c r="G39" i="11"/>
  <c r="G35" i="11"/>
  <c r="G34" i="11"/>
  <c r="G33" i="11"/>
  <c r="G28" i="11"/>
  <c r="G27" i="11"/>
  <c r="G26" i="11"/>
  <c r="G25" i="11"/>
  <c r="G23" i="11"/>
  <c r="G22" i="11"/>
  <c r="G32" i="11" l="1"/>
  <c r="M65" i="11"/>
  <c r="Q65" i="11"/>
  <c r="U65" i="11"/>
  <c r="U63" i="11" s="1"/>
  <c r="Y65" i="11"/>
  <c r="Y63" i="11" s="1"/>
  <c r="AC65" i="11"/>
  <c r="K65" i="11"/>
  <c r="S65" i="11"/>
  <c r="S63" i="11" s="1"/>
  <c r="AA65" i="11"/>
  <c r="AA63" i="11" s="1"/>
  <c r="I65" i="11"/>
  <c r="L65" i="11"/>
  <c r="P65" i="11"/>
  <c r="T65" i="11"/>
  <c r="T63" i="11" s="1"/>
  <c r="X65" i="11"/>
  <c r="X63" i="11" s="1"/>
  <c r="AB65" i="11"/>
  <c r="AB63" i="11" s="1"/>
  <c r="J65" i="11"/>
  <c r="N65" i="11"/>
  <c r="R65" i="11"/>
  <c r="V65" i="11"/>
  <c r="V63" i="11" s="1"/>
  <c r="Z65" i="11"/>
  <c r="Z63" i="11" s="1"/>
  <c r="H65" i="11"/>
  <c r="O65" i="11"/>
  <c r="W65" i="11"/>
  <c r="W63" i="11" s="1"/>
  <c r="AB74" i="11"/>
  <c r="AB75" i="11" s="1"/>
  <c r="AB76" i="11" s="1"/>
  <c r="W23" i="11"/>
  <c r="V23" i="11"/>
  <c r="U23" i="11"/>
  <c r="X23" i="11"/>
  <c r="W28" i="11"/>
  <c r="X28" i="11"/>
  <c r="V47" i="11"/>
  <c r="AA47" i="11"/>
  <c r="X47" i="11"/>
  <c r="W47" i="11"/>
  <c r="W27" i="11"/>
  <c r="V27" i="11"/>
  <c r="U27" i="11"/>
  <c r="X27" i="11"/>
  <c r="T27" i="11"/>
  <c r="Y35" i="11"/>
  <c r="Y32" i="11" s="1"/>
  <c r="W35" i="11"/>
  <c r="X35" i="11"/>
  <c r="W25" i="11"/>
  <c r="V25" i="11"/>
  <c r="X25" i="11"/>
  <c r="Z48" i="11"/>
  <c r="Z45" i="11" s="1"/>
  <c r="V48" i="11"/>
  <c r="Y48" i="11"/>
  <c r="Y45" i="11" s="1"/>
  <c r="X48" i="11"/>
  <c r="AA48" i="11"/>
  <c r="W48" i="11"/>
  <c r="X26" i="11"/>
  <c r="T26" i="11"/>
  <c r="W26" i="11"/>
  <c r="V26" i="11"/>
  <c r="U26" i="11"/>
  <c r="V34" i="11"/>
  <c r="V32" i="11" s="1"/>
  <c r="X34" i="11"/>
  <c r="W34" i="11"/>
  <c r="AA38" i="11"/>
  <c r="Z38" i="11"/>
  <c r="R51" i="11"/>
  <c r="R70" i="11"/>
  <c r="R45" i="11"/>
  <c r="R38" i="11"/>
  <c r="R32" i="11"/>
  <c r="R21" i="11"/>
  <c r="Y74" i="11" l="1"/>
  <c r="Y75" i="11" s="1"/>
  <c r="Y76" i="11" s="1"/>
  <c r="W32" i="11"/>
  <c r="X21" i="11"/>
  <c r="S74" i="11"/>
  <c r="S75" i="11" s="1"/>
  <c r="S76" i="11" s="1"/>
  <c r="Z74" i="11"/>
  <c r="Z75" i="11" s="1"/>
  <c r="Z76" i="11" s="1"/>
  <c r="X32" i="11"/>
  <c r="V45" i="11"/>
  <c r="U21" i="11"/>
  <c r="U74" i="11" s="1"/>
  <c r="T21" i="11"/>
  <c r="T74" i="11" s="1"/>
  <c r="T75" i="11" s="1"/>
  <c r="W45" i="11"/>
  <c r="V21" i="11"/>
  <c r="AA45" i="11"/>
  <c r="X45" i="11"/>
  <c r="R63" i="11"/>
  <c r="R74" i="11" s="1"/>
  <c r="X74" i="11" l="1"/>
  <c r="X75" i="11" s="1"/>
  <c r="X76" i="11" s="1"/>
  <c r="W74" i="11"/>
  <c r="W75" i="11" s="1"/>
  <c r="W76" i="11" s="1"/>
  <c r="U75" i="11"/>
  <c r="U76" i="11" s="1"/>
  <c r="V74" i="11"/>
  <c r="V75" i="11" s="1"/>
  <c r="V76" i="11" s="1"/>
  <c r="AA74" i="11"/>
  <c r="AA75" i="11" s="1"/>
  <c r="AA76" i="11" s="1"/>
  <c r="T76" i="11"/>
  <c r="Q70" i="11"/>
  <c r="P70" i="11"/>
  <c r="O70" i="11"/>
  <c r="N70" i="11"/>
  <c r="Q63" i="11"/>
  <c r="P63" i="11"/>
  <c r="O63" i="11"/>
  <c r="N63" i="11"/>
  <c r="Q51" i="11"/>
  <c r="P51" i="11"/>
  <c r="O51" i="11"/>
  <c r="N51" i="11"/>
  <c r="Q45" i="11"/>
  <c r="P45" i="11"/>
  <c r="O45" i="11"/>
  <c r="N45" i="11"/>
  <c r="Q38" i="11"/>
  <c r="P38" i="11"/>
  <c r="O38" i="11"/>
  <c r="N38" i="11"/>
  <c r="Q32" i="11"/>
  <c r="P32" i="11"/>
  <c r="O32" i="11"/>
  <c r="N32" i="11"/>
  <c r="Q21" i="11"/>
  <c r="P21" i="11"/>
  <c r="O21" i="11"/>
  <c r="N21" i="11"/>
  <c r="O74" i="11" l="1"/>
  <c r="P74" i="11"/>
  <c r="N74" i="11"/>
  <c r="Q74" i="11"/>
  <c r="M70" i="11"/>
  <c r="L70" i="11"/>
  <c r="K70" i="11"/>
  <c r="M63" i="11"/>
  <c r="L63" i="11"/>
  <c r="K63" i="11"/>
  <c r="M51" i="11"/>
  <c r="L51" i="11"/>
  <c r="K51" i="11"/>
  <c r="M45" i="11"/>
  <c r="L45" i="11"/>
  <c r="K45" i="11"/>
  <c r="M38" i="11"/>
  <c r="L38" i="11"/>
  <c r="K38" i="11"/>
  <c r="M32" i="11"/>
  <c r="L32" i="11"/>
  <c r="K32" i="11"/>
  <c r="M21" i="11"/>
  <c r="L21" i="11"/>
  <c r="K21" i="11"/>
  <c r="J70" i="11"/>
  <c r="J63" i="11"/>
  <c r="J51" i="11"/>
  <c r="J45" i="11"/>
  <c r="J38" i="11"/>
  <c r="J32" i="11"/>
  <c r="J21" i="11"/>
  <c r="J74" i="11" l="1"/>
  <c r="L74" i="11"/>
  <c r="K74" i="11"/>
  <c r="M74" i="11"/>
  <c r="I70" i="11"/>
  <c r="AC70" i="11"/>
  <c r="AD70" i="11"/>
  <c r="H63" i="11"/>
  <c r="I63" i="11"/>
  <c r="AC63" i="11"/>
  <c r="AD63" i="11"/>
  <c r="H51" i="11"/>
  <c r="H74" i="11" s="1"/>
  <c r="AC51" i="11"/>
  <c r="AD51" i="11"/>
  <c r="F45" i="11"/>
  <c r="H45" i="11"/>
  <c r="I45" i="11"/>
  <c r="AC45" i="11"/>
  <c r="AD45" i="11"/>
  <c r="H38" i="11"/>
  <c r="I38" i="11"/>
  <c r="AC38" i="11"/>
  <c r="AD38" i="11"/>
  <c r="H32" i="11"/>
  <c r="I32" i="11"/>
  <c r="AC32" i="11"/>
  <c r="AD32" i="11"/>
  <c r="H21" i="11"/>
  <c r="I21" i="11"/>
  <c r="AC21" i="11"/>
  <c r="AD21" i="11"/>
  <c r="I74" i="11" l="1"/>
  <c r="I75" i="11" s="1"/>
  <c r="AC74" i="11"/>
  <c r="K75" i="11"/>
  <c r="N75" i="11"/>
  <c r="M75" i="11"/>
  <c r="O75" i="11"/>
  <c r="J75" i="11"/>
  <c r="P75" i="11"/>
  <c r="R75" i="11" l="1"/>
  <c r="R76" i="11" s="1"/>
  <c r="N76" i="11"/>
  <c r="O76" i="11"/>
  <c r="K76" i="11"/>
  <c r="P76" i="11"/>
  <c r="M76" i="11"/>
  <c r="J76" i="11"/>
  <c r="I76" i="11"/>
  <c r="H70" i="11"/>
  <c r="H75" i="11" l="1"/>
  <c r="H76" i="11" l="1"/>
  <c r="Q75" i="11" l="1"/>
  <c r="G20" i="11"/>
  <c r="F21" i="11"/>
  <c r="G31" i="11"/>
  <c r="F32" i="11"/>
  <c r="G37" i="11"/>
  <c r="F38" i="11"/>
  <c r="G44" i="11"/>
  <c r="G50" i="11"/>
  <c r="F51" i="11"/>
  <c r="G62" i="11"/>
  <c r="F74" i="11" l="1"/>
  <c r="L75" i="11"/>
  <c r="Q76" i="11"/>
  <c r="G63" i="11"/>
  <c r="E32" i="11"/>
  <c r="E38" i="11"/>
  <c r="H77" i="11"/>
  <c r="E74" i="11" l="1"/>
  <c r="I77" i="11"/>
  <c r="J77" i="11" s="1"/>
  <c r="K77" i="11" s="1"/>
  <c r="L77" i="11" s="1"/>
  <c r="G38" i="11"/>
  <c r="G74" i="11" l="1"/>
  <c r="M77" i="11"/>
  <c r="N77" i="11" s="1"/>
  <c r="O77" i="11" s="1"/>
  <c r="P77" i="11" s="1"/>
  <c r="Q77" i="11" s="1"/>
  <c r="R77" i="11" s="1"/>
  <c r="S77" i="11" s="1"/>
  <c r="T77" i="11" s="1"/>
  <c r="U77" i="11" s="1"/>
  <c r="V77" i="11" s="1"/>
  <c r="W77" i="11" s="1"/>
  <c r="X77" i="11" s="1"/>
  <c r="Y77" i="11" s="1"/>
  <c r="Z77" i="11" s="1"/>
  <c r="AA77" i="11" s="1"/>
  <c r="AB77" i="11" s="1"/>
  <c r="AC77" i="11" s="1"/>
  <c r="L76" i="11"/>
  <c r="AC75" i="11" l="1"/>
  <c r="AC76" i="11" s="1"/>
</calcChain>
</file>

<file path=xl/sharedStrings.xml><?xml version="1.0" encoding="utf-8"?>
<sst xmlns="http://schemas.openxmlformats.org/spreadsheetml/2006/main" count="53" uniqueCount="53">
  <si>
    <t>TOTAL</t>
  </si>
  <si>
    <t>Client</t>
  </si>
  <si>
    <t>Contract</t>
  </si>
  <si>
    <t>Date</t>
  </si>
  <si>
    <t xml:space="preserve">PROV </t>
  </si>
  <si>
    <t>Revision</t>
  </si>
  <si>
    <t>ACTUAL</t>
  </si>
  <si>
    <t>NOTES:</t>
  </si>
  <si>
    <t xml:space="preserve">PRELIMINARY SCHEDULE OF VALUATIONS (MONTHLY EXPENDITURE ANALYSIS) </t>
  </si>
  <si>
    <t>Programme No</t>
  </si>
  <si>
    <t>ITEM</t>
  </si>
  <si>
    <t>TOTALS - MONTHLY GROSS APPLICATION</t>
  </si>
  <si>
    <t>Comments</t>
  </si>
  <si>
    <t>ELEMENT</t>
  </si>
  <si>
    <t>TOTALS - CUMULATIVE GROSS (Excl VAT)</t>
  </si>
  <si>
    <t xml:space="preserve">TOTALS - MONTHLY NETT APPLICATION </t>
  </si>
  <si>
    <t>SUPERSTRUCTURE</t>
  </si>
  <si>
    <t>FINISHES</t>
  </si>
  <si>
    <t>FIXTURES &amp; FITTINGS</t>
  </si>
  <si>
    <t>SERVICES</t>
  </si>
  <si>
    <t>Includes Contract Instructions as identified above</t>
  </si>
  <si>
    <t>Frame</t>
  </si>
  <si>
    <t>Upper Floors</t>
  </si>
  <si>
    <t>Roof</t>
  </si>
  <si>
    <t>Stairs</t>
  </si>
  <si>
    <t>External Walls</t>
  </si>
  <si>
    <t>Windows &amp; External Doors</t>
  </si>
  <si>
    <t>Internal Walls &amp; Partitions</t>
  </si>
  <si>
    <t>Internal Doors</t>
  </si>
  <si>
    <t>Wall Finishes</t>
  </si>
  <si>
    <t>Floor Finishes</t>
  </si>
  <si>
    <t>Ceiling Finishes</t>
  </si>
  <si>
    <t>EXTERNAL WORKS</t>
  </si>
  <si>
    <t>ACE Capital Project</t>
  </si>
  <si>
    <t>Plumbing, Heating and Ventilation Installations</t>
  </si>
  <si>
    <t>Electrical Installations</t>
  </si>
  <si>
    <t>25th April 2024</t>
  </si>
  <si>
    <t>Rev A</t>
  </si>
  <si>
    <t>TOTALS - RETENTION (5%)</t>
  </si>
  <si>
    <t>Risk Contingency</t>
  </si>
  <si>
    <t>Variations</t>
  </si>
  <si>
    <t>Design Contingency</t>
  </si>
  <si>
    <t>Construction Risk</t>
  </si>
  <si>
    <t>Employers Change</t>
  </si>
  <si>
    <t>Other Misc. Risks</t>
  </si>
  <si>
    <t>APEX CONSTRUCTION</t>
  </si>
  <si>
    <t>DALTON BROWN</t>
  </si>
  <si>
    <t xml:space="preserve">General Fixings </t>
  </si>
  <si>
    <t xml:space="preserve">Site Clearance - Cleaning and levelling of site </t>
  </si>
  <si>
    <t>New Road Layout</t>
  </si>
  <si>
    <t>799.500.000</t>
  </si>
  <si>
    <t>Phase 1: Riverside Health Centre</t>
  </si>
  <si>
    <t xml:space="preserve">Builders Comparison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</si>
</sst>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£&quot;#,##0.00;[Red]\-&quot;£&quot;#,##0.00"/>
    <numFmt numFmtId="44" formatCode="_-&quot;£&quot;* #,##0.00_-;\-&quot;£&quot;* #,##0.00_-;_-&quot;£&quot;* &quot;-&quot;??_-;_-@_-"/>
    <numFmt numFmtId="164" formatCode="&quot;£&quot;#,##0.00"/>
    <numFmt numFmtId="165" formatCode="#,##0_ ;\-#,##0\ "/>
    <numFmt numFmtId="166" formatCode="0.0"/>
  </numFmts>
  <fonts count="15" x14ac:knownFonts="1">
    <font>
      <sz val="8"/>
      <name val="Arial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sz val="8"/>
      <color indexed="10"/>
      <name val="Arial"/>
      <family val="2"/>
    </font>
    <font>
      <b/>
      <sz val="8"/>
      <color indexed="10"/>
      <name val="Arial"/>
      <family val="2"/>
    </font>
    <font>
      <b/>
      <sz val="8"/>
      <color indexed="18"/>
      <name val="Arial"/>
      <family val="2"/>
    </font>
    <font>
      <sz val="8"/>
      <color indexed="18"/>
      <name val="Arial"/>
      <family val="2"/>
    </font>
    <font>
      <b/>
      <sz val="12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b/>
      <sz val="26"/>
      <color indexed="18"/>
      <name val="Arial"/>
      <family val="2"/>
    </font>
    <font>
      <b/>
      <sz val="2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1" fillId="0" borderId="0"/>
  </cellStyleXfs>
  <cellXfs count="167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11" xfId="0" applyFont="1" applyBorder="1"/>
    <xf numFmtId="0" fontId="2" fillId="0" borderId="14" xfId="0" applyFont="1" applyBorder="1"/>
    <xf numFmtId="164" fontId="2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/>
    </xf>
    <xf numFmtId="0" fontId="3" fillId="0" borderId="18" xfId="0" applyFont="1" applyBorder="1" applyAlignment="1">
      <alignment horizontal="right"/>
    </xf>
    <xf numFmtId="164" fontId="5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right"/>
    </xf>
    <xf numFmtId="0" fontId="3" fillId="0" borderId="10" xfId="0" applyFont="1" applyBorder="1" applyAlignment="1">
      <alignment vertical="top"/>
    </xf>
    <xf numFmtId="0" fontId="3" fillId="0" borderId="0" xfId="0" applyFont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12" xfId="0" applyFont="1" applyBorder="1" applyAlignment="1">
      <alignment vertical="top"/>
    </xf>
    <xf numFmtId="0" fontId="3" fillId="0" borderId="13" xfId="0" applyFont="1" applyBorder="1" applyAlignment="1">
      <alignment vertical="top"/>
    </xf>
    <xf numFmtId="0" fontId="3" fillId="0" borderId="19" xfId="0" applyFont="1" applyBorder="1" applyAlignment="1">
      <alignment vertical="top"/>
    </xf>
    <xf numFmtId="0" fontId="2" fillId="0" borderId="10" xfId="0" applyFont="1" applyBorder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5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left" vertical="center"/>
    </xf>
    <xf numFmtId="164" fontId="3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2" fillId="0" borderId="0" xfId="0" applyNumberFormat="1" applyFont="1" applyAlignment="1">
      <alignment vertical="center"/>
    </xf>
    <xf numFmtId="0" fontId="10" fillId="0" borderId="5" xfId="0" applyFont="1" applyBorder="1" applyAlignment="1">
      <alignment horizontal="left" vertical="center"/>
    </xf>
    <xf numFmtId="0" fontId="10" fillId="0" borderId="4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3" fillId="0" borderId="23" xfId="0" applyFont="1" applyBorder="1" applyAlignment="1">
      <alignment vertical="center"/>
    </xf>
    <xf numFmtId="164" fontId="3" fillId="0" borderId="23" xfId="0" applyNumberFormat="1" applyFont="1" applyBorder="1" applyAlignment="1">
      <alignment horizontal="center" vertical="center"/>
    </xf>
    <xf numFmtId="164" fontId="3" fillId="0" borderId="26" xfId="0" applyNumberFormat="1" applyFont="1" applyBorder="1" applyAlignment="1">
      <alignment horizontal="center" vertical="center"/>
    </xf>
    <xf numFmtId="164" fontId="10" fillId="0" borderId="26" xfId="0" applyNumberFormat="1" applyFont="1" applyBorder="1" applyAlignment="1">
      <alignment horizontal="center" vertical="center"/>
    </xf>
    <xf numFmtId="4" fontId="3" fillId="0" borderId="30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2" fontId="3" fillId="0" borderId="27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" fillId="2" borderId="26" xfId="0" applyFont="1" applyFill="1" applyBorder="1" applyAlignment="1">
      <alignment horizontal="left" vertical="center" wrapText="1"/>
    </xf>
    <xf numFmtId="166" fontId="3" fillId="0" borderId="0" xfId="0" applyNumberFormat="1" applyFont="1" applyAlignment="1">
      <alignment vertical="center"/>
    </xf>
    <xf numFmtId="166" fontId="2" fillId="0" borderId="0" xfId="0" applyNumberFormat="1" applyFont="1" applyAlignment="1">
      <alignment horizontal="left" vertical="center"/>
    </xf>
    <xf numFmtId="166" fontId="2" fillId="0" borderId="0" xfId="0" quotePrefix="1" applyNumberFormat="1" applyFont="1" applyAlignment="1">
      <alignment horizontal="right" vertical="center"/>
    </xf>
    <xf numFmtId="0" fontId="2" fillId="0" borderId="10" xfId="0" applyFont="1" applyBorder="1"/>
    <xf numFmtId="0" fontId="3" fillId="0" borderId="6" xfId="0" applyFont="1" applyBorder="1" applyAlignment="1">
      <alignment horizontal="right"/>
    </xf>
    <xf numFmtId="0" fontId="3" fillId="0" borderId="6" xfId="0" applyFont="1" applyBorder="1" applyAlignment="1">
      <alignment vertical="top" wrapText="1"/>
    </xf>
    <xf numFmtId="0" fontId="4" fillId="0" borderId="0" xfId="0" applyFont="1" applyAlignment="1">
      <alignment horizontal="right"/>
    </xf>
    <xf numFmtId="165" fontId="2" fillId="0" borderId="0" xfId="1" applyNumberFormat="1" applyFont="1" applyFill="1" applyBorder="1" applyAlignment="1">
      <alignment horizontal="right" vertical="center"/>
    </xf>
    <xf numFmtId="166" fontId="2" fillId="0" borderId="0" xfId="1" applyNumberFormat="1" applyFont="1" applyFill="1" applyBorder="1" applyAlignment="1">
      <alignment horizontal="right" vertical="center"/>
    </xf>
    <xf numFmtId="0" fontId="2" fillId="0" borderId="46" xfId="0" applyFont="1" applyBorder="1" applyAlignment="1">
      <alignment horizontal="right" vertical="center"/>
    </xf>
    <xf numFmtId="17" fontId="2" fillId="0" borderId="46" xfId="0" applyNumberFormat="1" applyFont="1" applyBorder="1" applyAlignment="1">
      <alignment horizontal="right" vertical="center"/>
    </xf>
    <xf numFmtId="0" fontId="10" fillId="0" borderId="46" xfId="0" applyFont="1" applyBorder="1" applyAlignment="1">
      <alignment horizontal="right" vertical="center"/>
    </xf>
    <xf numFmtId="164" fontId="3" fillId="0" borderId="46" xfId="0" applyNumberFormat="1" applyFont="1" applyBorder="1" applyAlignment="1">
      <alignment horizontal="right" vertical="center"/>
    </xf>
    <xf numFmtId="8" fontId="2" fillId="2" borderId="26" xfId="0" applyNumberFormat="1" applyFont="1" applyFill="1" applyBorder="1" applyAlignment="1">
      <alignment horizontal="right" vertical="center"/>
    </xf>
    <xf numFmtId="8" fontId="2" fillId="0" borderId="3" xfId="0" applyNumberFormat="1" applyFont="1" applyBorder="1" applyAlignment="1">
      <alignment horizontal="right" vertical="center"/>
    </xf>
    <xf numFmtId="4" fontId="3" fillId="0" borderId="46" xfId="0" applyNumberFormat="1" applyFont="1" applyBorder="1" applyAlignment="1">
      <alignment horizontal="right" vertical="center"/>
    </xf>
    <xf numFmtId="4" fontId="7" fillId="0" borderId="46" xfId="0" applyNumberFormat="1" applyFont="1" applyBorder="1" applyAlignment="1">
      <alignment horizontal="right" vertical="center"/>
    </xf>
    <xf numFmtId="4" fontId="8" fillId="0" borderId="46" xfId="0" applyNumberFormat="1" applyFont="1" applyBorder="1" applyAlignment="1">
      <alignment horizontal="right" vertical="center"/>
    </xf>
    <xf numFmtId="0" fontId="7" fillId="0" borderId="44" xfId="0" applyFont="1" applyBorder="1" applyAlignment="1">
      <alignment horizontal="left" vertical="center"/>
    </xf>
    <xf numFmtId="0" fontId="7" fillId="0" borderId="45" xfId="0" applyFont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2" fontId="2" fillId="2" borderId="27" xfId="0" applyNumberFormat="1" applyFont="1" applyFill="1" applyBorder="1" applyAlignment="1">
      <alignment horizontal="center" vertical="center" wrapText="1"/>
    </xf>
    <xf numFmtId="164" fontId="2" fillId="0" borderId="46" xfId="0" applyNumberFormat="1" applyFont="1" applyBorder="1" applyAlignment="1">
      <alignment horizontal="right" vertical="center"/>
    </xf>
    <xf numFmtId="164" fontId="12" fillId="2" borderId="26" xfId="0" applyNumberFormat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6" xfId="3" applyFont="1" applyBorder="1" applyAlignment="1">
      <alignment horizontal="left" vertical="center" wrapText="1"/>
    </xf>
    <xf numFmtId="0" fontId="3" fillId="0" borderId="26" xfId="3" applyFont="1" applyBorder="1" applyAlignment="1">
      <alignment horizontal="left" vertical="center" wrapText="1" indent="1"/>
    </xf>
    <xf numFmtId="0" fontId="3" fillId="0" borderId="26" xfId="0" applyFont="1" applyBorder="1" applyAlignment="1">
      <alignment horizontal="left" vertical="center" wrapText="1" indent="1"/>
    </xf>
    <xf numFmtId="0" fontId="11" fillId="0" borderId="26" xfId="0" applyFont="1" applyBorder="1" applyAlignment="1">
      <alignment horizontal="left" vertical="center" wrapText="1" indent="1"/>
    </xf>
    <xf numFmtId="0" fontId="3" fillId="0" borderId="30" xfId="0" applyFont="1" applyBorder="1" applyAlignment="1">
      <alignment horizontal="left" vertical="center" indent="1"/>
    </xf>
    <xf numFmtId="0" fontId="3" fillId="0" borderId="26" xfId="3" applyFont="1" applyBorder="1" applyAlignment="1">
      <alignment horizontal="left" vertical="center" wrapText="1" indent="2"/>
    </xf>
    <xf numFmtId="0" fontId="3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15" fontId="2" fillId="0" borderId="4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 indent="1"/>
    </xf>
    <xf numFmtId="164" fontId="3" fillId="0" borderId="0" xfId="0" applyNumberFormat="1" applyFont="1" applyAlignment="1">
      <alignment horizontal="right" indent="1"/>
    </xf>
    <xf numFmtId="0" fontId="14" fillId="0" borderId="0" xfId="0" applyFont="1" applyAlignment="1">
      <alignment horizontal="right"/>
    </xf>
    <xf numFmtId="0" fontId="3" fillId="0" borderId="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4" fontId="2" fillId="2" borderId="43" xfId="0" applyNumberFormat="1" applyFont="1" applyFill="1" applyBorder="1" applyAlignment="1">
      <alignment horizontal="center" vertical="center"/>
    </xf>
    <xf numFmtId="44" fontId="2" fillId="2" borderId="26" xfId="0" applyNumberFormat="1" applyFont="1" applyFill="1" applyBorder="1" applyAlignment="1">
      <alignment horizontal="center" vertical="center"/>
    </xf>
    <xf numFmtId="44" fontId="2" fillId="2" borderId="27" xfId="0" applyNumberFormat="1" applyFont="1" applyFill="1" applyBorder="1" applyAlignment="1">
      <alignment horizontal="right" vertical="center"/>
    </xf>
    <xf numFmtId="44" fontId="2" fillId="2" borderId="43" xfId="0" applyNumberFormat="1" applyFont="1" applyFill="1" applyBorder="1" applyAlignment="1">
      <alignment horizontal="right" vertical="center"/>
    </xf>
    <xf numFmtId="44" fontId="3" fillId="0" borderId="27" xfId="0" applyNumberFormat="1" applyFont="1" applyBorder="1" applyAlignment="1">
      <alignment horizontal="center" vertical="center"/>
    </xf>
    <xf numFmtId="44" fontId="3" fillId="0" borderId="25" xfId="0" applyNumberFormat="1" applyFont="1" applyBorder="1" applyAlignment="1">
      <alignment horizontal="center" vertical="center"/>
    </xf>
    <xf numFmtId="44" fontId="3" fillId="0" borderId="26" xfId="0" applyNumberFormat="1" applyFont="1" applyBorder="1" applyAlignment="1">
      <alignment horizontal="center" vertical="center"/>
    </xf>
    <xf numFmtId="44" fontId="3" fillId="0" borderId="43" xfId="0" applyNumberFormat="1" applyFont="1" applyBorder="1" applyAlignment="1">
      <alignment horizontal="right" vertical="center"/>
    </xf>
    <xf numFmtId="44" fontId="3" fillId="0" borderId="25" xfId="0" applyNumberFormat="1" applyFont="1" applyBorder="1" applyAlignment="1">
      <alignment horizontal="right" vertical="center"/>
    </xf>
    <xf numFmtId="44" fontId="3" fillId="0" borderId="27" xfId="0" applyNumberFormat="1" applyFont="1" applyBorder="1" applyAlignment="1">
      <alignment horizontal="right" vertical="center"/>
    </xf>
    <xf numFmtId="44" fontId="3" fillId="0" borderId="27" xfId="0" applyNumberFormat="1" applyFont="1" applyBorder="1" applyAlignment="1">
      <alignment horizontal="center" vertical="center" wrapText="1"/>
    </xf>
    <xf numFmtId="44" fontId="2" fillId="2" borderId="27" xfId="0" applyNumberFormat="1" applyFont="1" applyFill="1" applyBorder="1" applyAlignment="1">
      <alignment horizontal="center" vertical="center"/>
    </xf>
    <xf numFmtId="44" fontId="3" fillId="0" borderId="28" xfId="0" applyNumberFormat="1" applyFont="1" applyBorder="1" applyAlignment="1">
      <alignment horizontal="center" vertical="center"/>
    </xf>
    <xf numFmtId="44" fontId="3" fillId="0" borderId="29" xfId="0" applyNumberFormat="1" applyFont="1" applyBorder="1" applyAlignment="1">
      <alignment horizontal="center" vertical="center"/>
    </xf>
    <xf numFmtId="44" fontId="3" fillId="0" borderId="30" xfId="0" applyNumberFormat="1" applyFont="1" applyBorder="1" applyAlignment="1">
      <alignment horizontal="center" vertical="center"/>
    </xf>
    <xf numFmtId="44" fontId="3" fillId="0" borderId="28" xfId="0" applyNumberFormat="1" applyFont="1" applyBorder="1" applyAlignment="1">
      <alignment horizontal="right" vertical="center"/>
    </xf>
    <xf numFmtId="44" fontId="3" fillId="0" borderId="29" xfId="0" applyNumberFormat="1" applyFont="1" applyBorder="1" applyAlignment="1">
      <alignment horizontal="right" vertical="center"/>
    </xf>
    <xf numFmtId="44" fontId="2" fillId="0" borderId="17" xfId="0" applyNumberFormat="1" applyFont="1" applyBorder="1" applyAlignment="1">
      <alignment horizontal="center" vertical="center"/>
    </xf>
    <xf numFmtId="44" fontId="2" fillId="0" borderId="16" xfId="0" applyNumberFormat="1" applyFont="1" applyBorder="1" applyAlignment="1">
      <alignment horizontal="center" vertical="center"/>
    </xf>
    <xf numFmtId="44" fontId="7" fillId="0" borderId="31" xfId="0" applyNumberFormat="1" applyFont="1" applyBorder="1" applyAlignment="1">
      <alignment horizontal="right" vertical="center"/>
    </xf>
    <xf numFmtId="44" fontId="7" fillId="0" borderId="41" xfId="0" applyNumberFormat="1" applyFont="1" applyBorder="1" applyAlignment="1">
      <alignment horizontal="right" vertical="center"/>
    </xf>
    <xf numFmtId="44" fontId="2" fillId="0" borderId="19" xfId="0" applyNumberFormat="1" applyFont="1" applyBorder="1" applyAlignment="1">
      <alignment horizontal="center" vertical="center"/>
    </xf>
    <xf numFmtId="44" fontId="2" fillId="0" borderId="21" xfId="0" applyNumberFormat="1" applyFont="1" applyBorder="1" applyAlignment="1">
      <alignment horizontal="center" vertical="center"/>
    </xf>
    <xf numFmtId="44" fontId="7" fillId="0" borderId="32" xfId="0" applyNumberFormat="1" applyFont="1" applyBorder="1" applyAlignment="1">
      <alignment horizontal="right" vertical="center"/>
    </xf>
    <xf numFmtId="44" fontId="7" fillId="0" borderId="20" xfId="0" applyNumberFormat="1" applyFont="1" applyBorder="1" applyAlignment="1">
      <alignment horizontal="right" vertical="center"/>
    </xf>
    <xf numFmtId="44" fontId="2" fillId="0" borderId="20" xfId="0" applyNumberFormat="1" applyFont="1" applyBorder="1" applyAlignment="1">
      <alignment horizontal="center" vertical="center"/>
    </xf>
    <xf numFmtId="44" fontId="3" fillId="0" borderId="33" xfId="0" applyNumberFormat="1" applyFont="1" applyBorder="1" applyAlignment="1">
      <alignment horizontal="center" vertical="center"/>
    </xf>
    <xf numFmtId="44" fontId="3" fillId="0" borderId="34" xfId="0" applyNumberFormat="1" applyFont="1" applyBorder="1" applyAlignment="1">
      <alignment horizontal="center" vertical="center"/>
    </xf>
    <xf numFmtId="44" fontId="3" fillId="0" borderId="35" xfId="0" applyNumberFormat="1" applyFont="1" applyBorder="1" applyAlignment="1">
      <alignment horizontal="center" vertical="center"/>
    </xf>
    <xf numFmtId="44" fontId="8" fillId="0" borderId="36" xfId="0" applyNumberFormat="1" applyFont="1" applyBorder="1" applyAlignment="1">
      <alignment horizontal="right" vertical="center"/>
    </xf>
    <xf numFmtId="44" fontId="8" fillId="0" borderId="34" xfId="0" applyNumberFormat="1" applyFont="1" applyBorder="1" applyAlignment="1">
      <alignment horizontal="right" vertical="center"/>
    </xf>
    <xf numFmtId="44" fontId="3" fillId="0" borderId="22" xfId="0" applyNumberFormat="1" applyFont="1" applyBorder="1" applyAlignment="1">
      <alignment horizontal="center" vertical="center"/>
    </xf>
    <xf numFmtId="44" fontId="3" fillId="0" borderId="24" xfId="0" applyNumberFormat="1" applyFont="1" applyBorder="1" applyAlignment="1">
      <alignment horizontal="center" vertical="center"/>
    </xf>
    <xf numFmtId="44" fontId="3" fillId="0" borderId="23" xfId="0" applyNumberFormat="1" applyFont="1" applyBorder="1" applyAlignment="1">
      <alignment horizontal="center" vertical="center"/>
    </xf>
    <xf numFmtId="44" fontId="12" fillId="0" borderId="32" xfId="0" applyNumberFormat="1" applyFont="1" applyBorder="1" applyAlignment="1">
      <alignment horizontal="right" vertical="center"/>
    </xf>
    <xf numFmtId="44" fontId="12" fillId="0" borderId="20" xfId="0" applyNumberFormat="1" applyFont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2" fontId="3" fillId="3" borderId="27" xfId="0" applyNumberFormat="1" applyFont="1" applyFill="1" applyBorder="1" applyAlignment="1">
      <alignment horizontal="center" vertical="center" wrapText="1"/>
    </xf>
    <xf numFmtId="0" fontId="3" fillId="3" borderId="26" xfId="3" applyFont="1" applyFill="1" applyBorder="1" applyAlignment="1">
      <alignment horizontal="left" vertical="center" wrapText="1" indent="1"/>
    </xf>
    <xf numFmtId="44" fontId="3" fillId="3" borderId="27" xfId="0" applyNumberFormat="1" applyFont="1" applyFill="1" applyBorder="1" applyAlignment="1">
      <alignment horizontal="center" vertical="center" wrapText="1"/>
    </xf>
    <xf numFmtId="44" fontId="3" fillId="3" borderId="25" xfId="0" applyNumberFormat="1" applyFont="1" applyFill="1" applyBorder="1" applyAlignment="1">
      <alignment horizontal="center" vertical="center"/>
    </xf>
    <xf numFmtId="44" fontId="3" fillId="3" borderId="26" xfId="0" applyNumberFormat="1" applyFont="1" applyFill="1" applyBorder="1" applyAlignment="1">
      <alignment horizontal="center" vertical="center"/>
    </xf>
    <xf numFmtId="44" fontId="3" fillId="3" borderId="43" xfId="0" applyNumberFormat="1" applyFont="1" applyFill="1" applyBorder="1" applyAlignment="1">
      <alignment horizontal="right" vertical="center"/>
    </xf>
    <xf numFmtId="44" fontId="3" fillId="3" borderId="25" xfId="0" applyNumberFormat="1" applyFont="1" applyFill="1" applyBorder="1" applyAlignment="1">
      <alignment horizontal="right" vertical="center"/>
    </xf>
    <xf numFmtId="164" fontId="3" fillId="3" borderId="26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Alignment="1">
      <alignment horizontal="right" vertical="center"/>
    </xf>
    <xf numFmtId="0" fontId="3" fillId="0" borderId="1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/>
    </xf>
    <xf numFmtId="0" fontId="9" fillId="0" borderId="39" xfId="0" applyFon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51" xfId="0" applyFont="1" applyBorder="1" applyAlignment="1">
      <alignment horizontal="left" vertical="center"/>
    </xf>
    <xf numFmtId="0" fontId="7" fillId="0" borderId="52" xfId="0" applyFont="1" applyBorder="1" applyAlignment="1">
      <alignment horizontal="left" vertical="center"/>
    </xf>
    <xf numFmtId="4" fontId="8" fillId="0" borderId="7" xfId="0" applyNumberFormat="1" applyFont="1" applyBorder="1" applyAlignment="1">
      <alignment horizontal="left" vertical="center" wrapText="1"/>
    </xf>
    <xf numFmtId="4" fontId="8" fillId="0" borderId="8" xfId="0" applyNumberFormat="1" applyFont="1" applyBorder="1" applyAlignment="1">
      <alignment horizontal="left" vertical="center" wrapText="1"/>
    </xf>
    <xf numFmtId="4" fontId="8" fillId="0" borderId="9" xfId="0" applyNumberFormat="1" applyFont="1" applyBorder="1" applyAlignment="1">
      <alignment horizontal="left" vertical="center" wrapText="1"/>
    </xf>
    <xf numFmtId="0" fontId="8" fillId="0" borderId="49" xfId="0" applyFont="1" applyBorder="1" applyAlignment="1">
      <alignment horizontal="left" vertical="center"/>
    </xf>
    <xf numFmtId="0" fontId="8" fillId="0" borderId="50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16" fontId="2" fillId="0" borderId="1" xfId="0" applyNumberFormat="1" applyFont="1" applyBorder="1" applyAlignment="1">
      <alignment horizontal="center" vertical="center"/>
    </xf>
    <xf numFmtId="16" fontId="2" fillId="0" borderId="3" xfId="0" applyNumberFormat="1" applyFont="1" applyBorder="1" applyAlignment="1">
      <alignment horizontal="center" vertical="center"/>
    </xf>
    <xf numFmtId="16" fontId="2" fillId="0" borderId="7" xfId="0" applyNumberFormat="1" applyFont="1" applyBorder="1" applyAlignment="1">
      <alignment horizontal="center" vertical="center"/>
    </xf>
    <xf numFmtId="16" fontId="2" fillId="0" borderId="8" xfId="0" applyNumberFormat="1" applyFont="1" applyBorder="1" applyAlignment="1">
      <alignment horizontal="center" vertical="center"/>
    </xf>
    <xf numFmtId="16" fontId="2" fillId="0" borderId="2" xfId="0" applyNumberFormat="1" applyFont="1" applyBorder="1" applyAlignment="1">
      <alignment horizontal="center" vertical="center"/>
    </xf>
    <xf numFmtId="16" fontId="2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15" fontId="3" fillId="0" borderId="0" xfId="0" applyNumberFormat="1" applyFont="1" applyAlignment="1">
      <alignment horizontal="left"/>
    </xf>
  </cellXfs>
  <cellStyles count="4">
    <cellStyle name="Currency" xfId="1" builtinId="4"/>
    <cellStyle name="Normal" xfId="0" builtinId="0"/>
    <cellStyle name="Normal 2" xfId="2" xr:uid="{00000000-0005-0000-0000-000002000000}"/>
    <cellStyle name="Normal 3" xfId="3" xr:uid="{00000000-0005-0000-0000-000003000000}"/>
  </cellStyles>
  <dxfs count="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762499219571609E-2"/>
          <c:y val="9.5079710006261461E-2"/>
          <c:w val="0.91566430470519267"/>
          <c:h val="0.65957583854687263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Final!$H$77:$AC$77</c:f>
              <c:numCache>
                <c:formatCode>_("£"* #,##0.00_);_("£"* \(#,##0.00\);_("£"* "-"??_);_(@_)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2D-41AC-9A85-656AC74E11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3324032"/>
        <c:axId val="161774912"/>
      </c:lineChart>
      <c:catAx>
        <c:axId val="6333240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 sz="1000"/>
                  <a:t>Interim</a:t>
                </a:r>
                <a:r>
                  <a:rPr lang="en-GB" sz="1000" baseline="0"/>
                  <a:t> Application Number</a:t>
                </a:r>
              </a:p>
            </c:rich>
          </c:tx>
          <c:layout>
            <c:manualLayout>
              <c:xMode val="edge"/>
              <c:yMode val="edge"/>
              <c:x val="0.46998943729359216"/>
              <c:y val="0.853054002431595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noFill/>
          <a:ln w="3175">
            <a:solidFill>
              <a:srgbClr val="000000"/>
            </a:solidFill>
            <a:prstDash val="solid"/>
          </a:ln>
          <a:effectLst/>
        </c:spPr>
        <c:txPr>
          <a:bodyPr rot="0" vert="horz" anchor="ctr" anchorCtr="0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177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7749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 sz="1000"/>
                  <a:t>Value</a:t>
                </a:r>
              </a:p>
            </c:rich>
          </c:tx>
          <c:layout>
            <c:manualLayout>
              <c:xMode val="edge"/>
              <c:yMode val="edge"/>
              <c:x val="2.8883795917436724E-2"/>
              <c:y val="0.32506542926985788"/>
            </c:manualLayout>
          </c:layout>
          <c:overlay val="0"/>
          <c:spPr>
            <a:noFill/>
            <a:ln w="25400">
              <a:noFill/>
            </a:ln>
            <a:effectLst/>
          </c:spPr>
        </c:title>
        <c:numFmt formatCode="_(&quot;£&quot;* #,##0.00_);_(&quot;£&quot;* \(#,##0.00\);_(&quot;£&quot;* &quot;-&quot;??_);_(@_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333240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/>
  </c:spPr>
  <c:txPr>
    <a:bodyPr/>
    <a:lstStyle/>
    <a:p>
      <a:pPr>
        <a:defRPr sz="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22" r="0.75000000000000022" t="1" header="0.5" footer="0.5"/>
    <c:pageSetup paperSize="9" orientation="landscape" horizontalDpi="1200" verticalDpi="12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457200</xdr:colOff>
      <xdr:row>77</xdr:row>
      <xdr:rowOff>140969</xdr:rowOff>
    </xdr:from>
    <xdr:to>
      <xdr:col>29</xdr:col>
      <xdr:colOff>238125</xdr:colOff>
      <xdr:row>89</xdr:row>
      <xdr:rowOff>142874</xdr:rowOff>
    </xdr:to>
    <xdr:graphicFrame macro="">
      <xdr:nvGraphicFramePr>
        <xdr:cNvPr id="2" name="Chart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Facet">
  <a:themeElements>
    <a:clrScheme name="Facet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">
      <a:majorFont>
        <a:latin typeface="Trebuchet MS" panose="020B0603020202020204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E91"/>
  <sheetViews>
    <sheetView showZeros="0" tabSelected="1" view="pageBreakPreview" topLeftCell="B1" zoomScaleSheetLayoutView="100" workbookViewId="0">
      <pane xSplit="6" ySplit="14" topLeftCell="H15" activePane="bottomRight" state="frozen"/>
      <selection activeCell="B1" sqref="B1"/>
      <selection pane="topRight" activeCell="H1" sqref="H1"/>
      <selection pane="bottomLeft" activeCell="B15" sqref="B15"/>
      <selection pane="bottomRight" activeCell="E65" sqref="E65"/>
    </sheetView>
  </sheetViews>
  <sheetFormatPr defaultColWidth="9.28515625" defaultRowHeight="10.199999999999999" outlineLevelRow="1" outlineLevelCol="1" x14ac:dyDescent="0.2"/>
  <cols>
    <col min="1" max="1" width="9.28515625" style="2"/>
    <col min="2" max="2" width="2.28515625" style="2" customWidth="1"/>
    <col min="3" max="3" width="10.85546875" style="1" customWidth="1"/>
    <col min="4" max="4" width="30.85546875" style="2" customWidth="1"/>
    <col min="5" max="6" width="16.42578125" style="7" customWidth="1"/>
    <col min="7" max="7" width="16.42578125" style="6" customWidth="1"/>
    <col min="8" max="8" width="18.7109375" style="6" customWidth="1" outlineLevel="1"/>
    <col min="9" max="29" width="15.85546875" style="7" customWidth="1" outlineLevel="1"/>
    <col min="30" max="30" width="25.85546875" style="7" customWidth="1"/>
    <col min="31" max="31" width="2.140625" style="7" customWidth="1"/>
    <col min="32" max="16384" width="9.28515625" style="2"/>
  </cols>
  <sheetData>
    <row r="2" spans="3:31" ht="4.2" customHeight="1" x14ac:dyDescent="0.2"/>
    <row r="3" spans="3:31" ht="33" x14ac:dyDescent="0.6">
      <c r="C3" s="142" t="s">
        <v>45</v>
      </c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4"/>
      <c r="AE3" s="80"/>
    </row>
    <row r="4" spans="3:31" ht="3" customHeight="1" x14ac:dyDescent="0.6">
      <c r="C4" s="81"/>
      <c r="D4" s="81"/>
      <c r="E4" s="90"/>
      <c r="F4" s="90"/>
      <c r="G4" s="9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</row>
    <row r="5" spans="3:31" ht="21" x14ac:dyDescent="0.4">
      <c r="C5" s="145" t="s">
        <v>8</v>
      </c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  <c r="AA5" s="146"/>
      <c r="AB5" s="146"/>
      <c r="AC5" s="146"/>
      <c r="AD5" s="147"/>
      <c r="AE5" s="54"/>
    </row>
    <row r="6" spans="3:31" ht="2.4" customHeight="1" x14ac:dyDescent="0.2"/>
    <row r="7" spans="3:31" s="23" customFormat="1" x14ac:dyDescent="0.2">
      <c r="C7" s="21" t="s">
        <v>1</v>
      </c>
      <c r="D7" s="22" t="s">
        <v>33</v>
      </c>
      <c r="F7" s="22"/>
      <c r="G7" s="22"/>
      <c r="H7" s="22"/>
      <c r="I7" s="24"/>
      <c r="J7" s="24"/>
      <c r="K7" s="82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89" t="s">
        <v>3</v>
      </c>
      <c r="AC7" s="166" t="s">
        <v>36</v>
      </c>
      <c r="AD7" s="166"/>
      <c r="AE7" s="28"/>
    </row>
    <row r="8" spans="3:31" s="23" customFormat="1" x14ac:dyDescent="0.2">
      <c r="C8" s="21" t="s">
        <v>2</v>
      </c>
      <c r="D8" s="22" t="s">
        <v>51</v>
      </c>
      <c r="F8" s="22"/>
      <c r="G8" s="22"/>
      <c r="H8" s="22"/>
      <c r="I8" s="22"/>
      <c r="J8" s="22"/>
      <c r="K8" s="82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89" t="s">
        <v>5</v>
      </c>
      <c r="AC8" s="165" t="s">
        <v>37</v>
      </c>
      <c r="AD8" s="165"/>
      <c r="AE8" s="25"/>
    </row>
    <row r="9" spans="3:31" s="23" customFormat="1" x14ac:dyDescent="0.2">
      <c r="D9" s="26"/>
      <c r="F9" s="26"/>
      <c r="G9" s="26"/>
      <c r="H9" s="26"/>
      <c r="I9" s="26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89" t="s">
        <v>9</v>
      </c>
      <c r="AC9" s="165" t="s">
        <v>46</v>
      </c>
      <c r="AD9" s="165"/>
      <c r="AE9" s="55"/>
    </row>
    <row r="10" spans="3:31" s="48" customFormat="1" x14ac:dyDescent="0.2">
      <c r="D10" s="49"/>
      <c r="F10" s="49"/>
      <c r="G10" s="49"/>
      <c r="H10" s="49"/>
      <c r="I10" s="49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50"/>
      <c r="AE10" s="56"/>
    </row>
    <row r="11" spans="3:31" s="23" customFormat="1" ht="3" customHeight="1" thickBot="1" x14ac:dyDescent="0.25">
      <c r="C11" s="24"/>
      <c r="D11" s="22"/>
      <c r="E11" s="27"/>
      <c r="F11" s="27"/>
      <c r="G11" s="28"/>
      <c r="H11" s="28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29"/>
      <c r="AE11" s="27"/>
    </row>
    <row r="12" spans="3:31" s="30" customFormat="1" x14ac:dyDescent="0.2">
      <c r="C12" s="159" t="s">
        <v>10</v>
      </c>
      <c r="D12" s="161" t="s">
        <v>13</v>
      </c>
      <c r="E12" s="159" t="s">
        <v>6</v>
      </c>
      <c r="F12" s="163" t="s">
        <v>4</v>
      </c>
      <c r="G12" s="161" t="s">
        <v>0</v>
      </c>
      <c r="H12" s="83">
        <v>1</v>
      </c>
      <c r="I12" s="84">
        <f>H12+1</f>
        <v>2</v>
      </c>
      <c r="J12" s="84">
        <f t="shared" ref="J12:AB12" si="0">I12+1</f>
        <v>3</v>
      </c>
      <c r="K12" s="84">
        <f t="shared" si="0"/>
        <v>4</v>
      </c>
      <c r="L12" s="84">
        <f t="shared" si="0"/>
        <v>5</v>
      </c>
      <c r="M12" s="84">
        <f t="shared" si="0"/>
        <v>6</v>
      </c>
      <c r="N12" s="84">
        <f t="shared" si="0"/>
        <v>7</v>
      </c>
      <c r="O12" s="84">
        <f t="shared" si="0"/>
        <v>8</v>
      </c>
      <c r="P12" s="84">
        <f t="shared" si="0"/>
        <v>9</v>
      </c>
      <c r="Q12" s="84">
        <f t="shared" si="0"/>
        <v>10</v>
      </c>
      <c r="R12" s="84">
        <f t="shared" si="0"/>
        <v>11</v>
      </c>
      <c r="S12" s="84">
        <f t="shared" si="0"/>
        <v>12</v>
      </c>
      <c r="T12" s="84">
        <f t="shared" si="0"/>
        <v>13</v>
      </c>
      <c r="U12" s="84">
        <f t="shared" si="0"/>
        <v>14</v>
      </c>
      <c r="V12" s="84">
        <f t="shared" si="0"/>
        <v>15</v>
      </c>
      <c r="W12" s="84">
        <f t="shared" si="0"/>
        <v>16</v>
      </c>
      <c r="X12" s="84">
        <f t="shared" si="0"/>
        <v>17</v>
      </c>
      <c r="Y12" s="84">
        <f t="shared" si="0"/>
        <v>18</v>
      </c>
      <c r="Z12" s="84">
        <f t="shared" si="0"/>
        <v>19</v>
      </c>
      <c r="AA12" s="84">
        <f t="shared" si="0"/>
        <v>20</v>
      </c>
      <c r="AB12" s="84">
        <f t="shared" si="0"/>
        <v>21</v>
      </c>
      <c r="AC12" s="84">
        <f>AB12+1</f>
        <v>22</v>
      </c>
      <c r="AD12" s="148" t="s">
        <v>12</v>
      </c>
      <c r="AE12" s="57"/>
    </row>
    <row r="13" spans="3:31" s="31" customFormat="1" x14ac:dyDescent="0.2">
      <c r="C13" s="160"/>
      <c r="D13" s="162"/>
      <c r="E13" s="160"/>
      <c r="F13" s="164"/>
      <c r="G13" s="162"/>
      <c r="H13" s="85">
        <v>45658</v>
      </c>
      <c r="I13" s="85">
        <f>H13+28</f>
        <v>45686</v>
      </c>
      <c r="J13" s="85">
        <f t="shared" ref="J13:AB13" si="1">I13+28</f>
        <v>45714</v>
      </c>
      <c r="K13" s="85">
        <f t="shared" si="1"/>
        <v>45742</v>
      </c>
      <c r="L13" s="85">
        <f t="shared" si="1"/>
        <v>45770</v>
      </c>
      <c r="M13" s="85">
        <f t="shared" si="1"/>
        <v>45798</v>
      </c>
      <c r="N13" s="85">
        <f t="shared" si="1"/>
        <v>45826</v>
      </c>
      <c r="O13" s="85">
        <f t="shared" si="1"/>
        <v>45854</v>
      </c>
      <c r="P13" s="85">
        <f t="shared" si="1"/>
        <v>45882</v>
      </c>
      <c r="Q13" s="85">
        <f t="shared" si="1"/>
        <v>45910</v>
      </c>
      <c r="R13" s="85">
        <f t="shared" si="1"/>
        <v>45938</v>
      </c>
      <c r="S13" s="85">
        <f t="shared" si="1"/>
        <v>45966</v>
      </c>
      <c r="T13" s="85">
        <f t="shared" si="1"/>
        <v>45994</v>
      </c>
      <c r="U13" s="85">
        <f t="shared" si="1"/>
        <v>46022</v>
      </c>
      <c r="V13" s="85">
        <f t="shared" si="1"/>
        <v>46050</v>
      </c>
      <c r="W13" s="85">
        <f t="shared" si="1"/>
        <v>46078</v>
      </c>
      <c r="X13" s="85">
        <f t="shared" si="1"/>
        <v>46106</v>
      </c>
      <c r="Y13" s="85">
        <f t="shared" si="1"/>
        <v>46134</v>
      </c>
      <c r="Z13" s="85">
        <f t="shared" si="1"/>
        <v>46162</v>
      </c>
      <c r="AA13" s="85">
        <f t="shared" si="1"/>
        <v>46190</v>
      </c>
      <c r="AB13" s="85">
        <f t="shared" si="1"/>
        <v>46218</v>
      </c>
      <c r="AC13" s="85">
        <f>AB13+28</f>
        <v>46246</v>
      </c>
      <c r="AD13" s="149"/>
      <c r="AE13" s="58"/>
    </row>
    <row r="14" spans="3:31" s="34" customFormat="1" ht="3" customHeight="1" thickBot="1" x14ac:dyDescent="0.25">
      <c r="C14" s="32"/>
      <c r="D14" s="33"/>
      <c r="E14" s="91"/>
      <c r="F14" s="92"/>
      <c r="G14" s="93"/>
      <c r="H14" s="86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149"/>
      <c r="AE14" s="59"/>
    </row>
    <row r="15" spans="3:31" s="23" customFormat="1" x14ac:dyDescent="0.2">
      <c r="C15" s="72"/>
      <c r="D15" s="35"/>
      <c r="E15" s="125"/>
      <c r="F15" s="126"/>
      <c r="G15" s="127"/>
      <c r="H15" s="125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36"/>
      <c r="AE15" s="60"/>
    </row>
    <row r="16" spans="3:31" s="23" customFormat="1" outlineLevel="1" x14ac:dyDescent="0.2">
      <c r="C16" s="42"/>
      <c r="D16" s="76"/>
      <c r="E16" s="98"/>
      <c r="F16" s="99"/>
      <c r="G16" s="100">
        <f t="shared" ref="G16" si="2">F16+E16</f>
        <v>0</v>
      </c>
      <c r="H16" s="103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37"/>
      <c r="AE16" s="60"/>
    </row>
    <row r="17" spans="2:31" s="68" customFormat="1" outlineLevel="1" x14ac:dyDescent="0.2">
      <c r="B17" s="22"/>
      <c r="C17" s="69"/>
      <c r="D17" s="47"/>
      <c r="E17" s="94"/>
      <c r="F17" s="94"/>
      <c r="G17" s="95"/>
      <c r="H17" s="96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71"/>
      <c r="AE17" s="70"/>
    </row>
    <row r="18" spans="2:31" s="23" customFormat="1" outlineLevel="1" x14ac:dyDescent="0.2">
      <c r="C18" s="42"/>
      <c r="D18" s="74"/>
      <c r="E18" s="98"/>
      <c r="F18" s="99"/>
      <c r="G18" s="100"/>
      <c r="H18" s="101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37"/>
      <c r="AE18" s="27"/>
    </row>
    <row r="19" spans="2:31" s="23" customFormat="1" outlineLevel="1" x14ac:dyDescent="0.2">
      <c r="C19" s="42"/>
      <c r="D19" s="74"/>
      <c r="E19" s="98"/>
      <c r="F19" s="99"/>
      <c r="G19" s="100"/>
      <c r="H19" s="101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37"/>
      <c r="AE19" s="27"/>
    </row>
    <row r="20" spans="2:31" s="23" customFormat="1" outlineLevel="1" x14ac:dyDescent="0.2">
      <c r="C20" s="42"/>
      <c r="D20" s="75"/>
      <c r="E20" s="98"/>
      <c r="F20" s="99"/>
      <c r="G20" s="100">
        <f t="shared" ref="G20" si="3">F20+E20</f>
        <v>0</v>
      </c>
      <c r="H20" s="103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38"/>
      <c r="AE20" s="60"/>
    </row>
    <row r="21" spans="2:31" s="68" customFormat="1" outlineLevel="1" x14ac:dyDescent="0.2">
      <c r="B21" s="22"/>
      <c r="C21" s="69">
        <v>3</v>
      </c>
      <c r="D21" s="47" t="s">
        <v>16</v>
      </c>
      <c r="E21" s="94">
        <v>4089793.08</v>
      </c>
      <c r="F21" s="94">
        <f t="shared" ref="F21:AD21" si="4">SUM(F22:F31)</f>
        <v>0</v>
      </c>
      <c r="G21" s="95">
        <v>4089793.08</v>
      </c>
      <c r="H21" s="96">
        <f t="shared" si="4"/>
        <v>0</v>
      </c>
      <c r="I21" s="97">
        <f t="shared" si="4"/>
        <v>0</v>
      </c>
      <c r="J21" s="97">
        <f t="shared" si="4"/>
        <v>0</v>
      </c>
      <c r="K21" s="97">
        <f t="shared" si="4"/>
        <v>0</v>
      </c>
      <c r="L21" s="97">
        <f t="shared" si="4"/>
        <v>0</v>
      </c>
      <c r="M21" s="97">
        <f t="shared" si="4"/>
        <v>0</v>
      </c>
      <c r="N21" s="97">
        <f t="shared" si="4"/>
        <v>0</v>
      </c>
      <c r="O21" s="97">
        <f t="shared" si="4"/>
        <v>0</v>
      </c>
      <c r="P21" s="97">
        <f t="shared" si="4"/>
        <v>0</v>
      </c>
      <c r="Q21" s="97">
        <f t="shared" si="4"/>
        <v>0</v>
      </c>
      <c r="R21" s="97">
        <f t="shared" si="4"/>
        <v>0</v>
      </c>
      <c r="S21" s="97">
        <f t="shared" ref="S21" si="5">SUM(S22:S31)</f>
        <v>0</v>
      </c>
      <c r="T21" s="97">
        <f t="shared" ref="T21" si="6">SUM(T22:T31)</f>
        <v>89322</v>
      </c>
      <c r="U21" s="97">
        <f t="shared" ref="U21" si="7">SUM(U22:U31)</f>
        <v>738800.28571428568</v>
      </c>
      <c r="V21" s="97">
        <f t="shared" ref="V21" si="8">SUM(V22:V31)</f>
        <v>1028302.2857142857</v>
      </c>
      <c r="W21" s="97">
        <f t="shared" ref="W21" si="9">SUM(W22:W31)</f>
        <v>1485455.3177142856</v>
      </c>
      <c r="X21" s="97">
        <f t="shared" ref="X21" si="10">SUM(X22:X31)</f>
        <v>725002.68285714288</v>
      </c>
      <c r="Y21" s="97">
        <f t="shared" ref="Y21" si="11">SUM(Y22:Y31)</f>
        <v>20660.507999999998</v>
      </c>
      <c r="Z21" s="97">
        <f t="shared" ref="Z21" si="12">SUM(Z22:Z31)</f>
        <v>0</v>
      </c>
      <c r="AA21" s="97">
        <f t="shared" ref="AA21" si="13">SUM(AA22:AA31)</f>
        <v>0</v>
      </c>
      <c r="AB21" s="97">
        <f t="shared" ref="AB21" si="14">SUM(AB22:AB31)</f>
        <v>0</v>
      </c>
      <c r="AC21" s="97">
        <f t="shared" si="4"/>
        <v>0</v>
      </c>
      <c r="AD21" s="61">
        <f t="shared" si="4"/>
        <v>0</v>
      </c>
      <c r="AE21" s="70"/>
    </row>
    <row r="22" spans="2:31" s="23" customFormat="1" outlineLevel="1" x14ac:dyDescent="0.2">
      <c r="C22" s="42"/>
      <c r="D22" s="73"/>
      <c r="E22" s="104"/>
      <c r="F22" s="99"/>
      <c r="G22" s="100">
        <f t="shared" ref="G22:G28" si="15">F22+E22</f>
        <v>0</v>
      </c>
      <c r="H22" s="101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37"/>
      <c r="AE22" s="27"/>
    </row>
    <row r="23" spans="2:31" s="130" customFormat="1" outlineLevel="1" x14ac:dyDescent="0.2">
      <c r="C23" s="131">
        <v>3.02</v>
      </c>
      <c r="D23" s="132" t="s">
        <v>21</v>
      </c>
      <c r="E23" s="133">
        <v>1751548</v>
      </c>
      <c r="F23" s="134"/>
      <c r="G23" s="135">
        <f t="shared" si="15"/>
        <v>1751548</v>
      </c>
      <c r="H23" s="136"/>
      <c r="I23" s="137"/>
      <c r="J23" s="137"/>
      <c r="K23" s="137"/>
      <c r="L23" s="137"/>
      <c r="M23" s="137"/>
      <c r="N23" s="137"/>
      <c r="O23" s="137"/>
      <c r="P23" s="137"/>
      <c r="Q23" s="137"/>
      <c r="R23" s="137"/>
      <c r="S23" s="137"/>
      <c r="T23" s="137"/>
      <c r="U23" s="137">
        <f>($G23/7)*2</f>
        <v>500442.28571428574</v>
      </c>
      <c r="V23" s="137">
        <f>($G23/7)*2</f>
        <v>500442.28571428574</v>
      </c>
      <c r="W23" s="137">
        <f>($G23/7)*2</f>
        <v>500442.28571428574</v>
      </c>
      <c r="X23" s="137">
        <f>($G23/7)*1</f>
        <v>250221.14285714287</v>
      </c>
      <c r="Y23" s="137"/>
      <c r="Z23" s="137"/>
      <c r="AA23" s="137"/>
      <c r="AB23" s="137"/>
      <c r="AC23" s="137"/>
      <c r="AD23" s="138"/>
      <c r="AE23" s="139"/>
    </row>
    <row r="24" spans="2:31" s="130" customFormat="1" outlineLevel="1" x14ac:dyDescent="0.2">
      <c r="C24" s="131">
        <v>3.03</v>
      </c>
      <c r="D24" s="132" t="s">
        <v>22</v>
      </c>
      <c r="E24" s="133">
        <v>426000</v>
      </c>
      <c r="F24" s="134"/>
      <c r="G24" s="135">
        <f>F24+E24</f>
        <v>426000</v>
      </c>
      <c r="H24" s="136"/>
      <c r="I24" s="137"/>
      <c r="J24" s="137"/>
      <c r="K24" s="137"/>
      <c r="L24" s="137"/>
      <c r="M24" s="137"/>
      <c r="N24" s="137"/>
      <c r="O24" s="137"/>
      <c r="P24" s="137"/>
      <c r="Q24" s="137"/>
      <c r="R24" s="137"/>
      <c r="S24" s="137"/>
      <c r="T24" s="137">
        <f>($G24/10)*1</f>
        <v>42600</v>
      </c>
      <c r="U24" s="137">
        <f>($G24/10)*2</f>
        <v>85200</v>
      </c>
      <c r="V24" s="137">
        <f>($G24/10)*3</f>
        <v>127800</v>
      </c>
      <c r="W24" s="137">
        <f>($G24/10)*3</f>
        <v>127800</v>
      </c>
      <c r="X24" s="137">
        <f>($G24/10)*1</f>
        <v>42600</v>
      </c>
      <c r="Y24" s="137"/>
      <c r="Z24" s="137"/>
      <c r="AA24" s="137"/>
      <c r="AB24" s="137"/>
      <c r="AC24" s="137"/>
      <c r="AD24" s="138"/>
      <c r="AE24" s="139"/>
    </row>
    <row r="25" spans="2:31" s="130" customFormat="1" outlineLevel="1" x14ac:dyDescent="0.2">
      <c r="C25" s="131">
        <v>3.04</v>
      </c>
      <c r="D25" s="132" t="s">
        <v>23</v>
      </c>
      <c r="E25" s="133">
        <v>689830</v>
      </c>
      <c r="F25" s="134"/>
      <c r="G25" s="135">
        <f t="shared" si="15"/>
        <v>689830</v>
      </c>
      <c r="H25" s="136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>
        <f>($G25/10)*2</f>
        <v>137966</v>
      </c>
      <c r="W25" s="137">
        <f>($G25/10)*7</f>
        <v>482881</v>
      </c>
      <c r="X25" s="137">
        <f>($G25/10)*1</f>
        <v>68983</v>
      </c>
      <c r="Y25" s="137"/>
      <c r="Z25" s="137"/>
      <c r="AA25" s="137"/>
      <c r="AB25" s="137"/>
      <c r="AC25" s="137"/>
      <c r="AD25" s="138"/>
      <c r="AE25" s="139"/>
    </row>
    <row r="26" spans="2:31" s="130" customFormat="1" outlineLevel="1" x14ac:dyDescent="0.2">
      <c r="C26" s="131">
        <v>3.05</v>
      </c>
      <c r="D26" s="132" t="s">
        <v>24</v>
      </c>
      <c r="E26" s="133">
        <v>129920</v>
      </c>
      <c r="F26" s="134"/>
      <c r="G26" s="135">
        <f t="shared" si="15"/>
        <v>129920</v>
      </c>
      <c r="H26" s="136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>
        <f>($G26/10)*1</f>
        <v>12992</v>
      </c>
      <c r="U26" s="137">
        <f>($G26/10)*4</f>
        <v>51968</v>
      </c>
      <c r="V26" s="137">
        <f>($G26/10)*2</f>
        <v>25984</v>
      </c>
      <c r="W26" s="137">
        <f>($G26/10)*2</f>
        <v>25984</v>
      </c>
      <c r="X26" s="137">
        <f>($G26/10)*1</f>
        <v>12992</v>
      </c>
      <c r="Y26" s="137"/>
      <c r="Z26" s="137"/>
      <c r="AA26" s="137"/>
      <c r="AB26" s="137"/>
      <c r="AC26" s="137"/>
      <c r="AD26" s="138"/>
      <c r="AE26" s="139"/>
    </row>
    <row r="27" spans="2:31" s="130" customFormat="1" outlineLevel="1" x14ac:dyDescent="0.2">
      <c r="C27" s="131">
        <v>3.06</v>
      </c>
      <c r="D27" s="132" t="s">
        <v>25</v>
      </c>
      <c r="E27" s="133">
        <v>674600</v>
      </c>
      <c r="F27" s="134"/>
      <c r="G27" s="135">
        <f t="shared" si="15"/>
        <v>674600</v>
      </c>
      <c r="H27" s="136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>
        <f>($G27/20)*1</f>
        <v>33730</v>
      </c>
      <c r="U27" s="137">
        <f>($G27/20)*3</f>
        <v>101190</v>
      </c>
      <c r="V27" s="137">
        <f>($G27/20)*7</f>
        <v>236110</v>
      </c>
      <c r="W27" s="137">
        <f>($G27/20)*5</f>
        <v>168650</v>
      </c>
      <c r="X27" s="137">
        <f>($G27/20)*4</f>
        <v>134920</v>
      </c>
      <c r="Y27" s="137"/>
      <c r="Z27" s="137"/>
      <c r="AA27" s="137"/>
      <c r="AB27" s="137"/>
      <c r="AC27" s="137"/>
      <c r="AD27" s="138"/>
      <c r="AE27" s="139"/>
    </row>
    <row r="28" spans="2:31" s="130" customFormat="1" outlineLevel="1" x14ac:dyDescent="0.2">
      <c r="C28" s="131">
        <v>3.07</v>
      </c>
      <c r="D28" s="132" t="s">
        <v>26</v>
      </c>
      <c r="E28" s="133">
        <v>186640</v>
      </c>
      <c r="F28" s="134"/>
      <c r="G28" s="135">
        <f t="shared" si="15"/>
        <v>186640</v>
      </c>
      <c r="H28" s="136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7"/>
      <c r="T28" s="137"/>
      <c r="U28" s="137"/>
      <c r="V28" s="137"/>
      <c r="W28" s="137">
        <f>($G28/5)*2</f>
        <v>74656</v>
      </c>
      <c r="X28" s="137">
        <f>($G28/5)*3</f>
        <v>111984</v>
      </c>
      <c r="Y28" s="137"/>
      <c r="Z28" s="137"/>
      <c r="AA28" s="137"/>
      <c r="AB28" s="137"/>
      <c r="AC28" s="137"/>
      <c r="AD28" s="138"/>
      <c r="AE28" s="139"/>
    </row>
    <row r="29" spans="2:31" s="130" customFormat="1" outlineLevel="1" x14ac:dyDescent="0.2">
      <c r="C29" s="131">
        <v>3.08</v>
      </c>
      <c r="D29" s="132" t="s">
        <v>27</v>
      </c>
      <c r="E29" s="133">
        <v>206605.08</v>
      </c>
      <c r="F29" s="134"/>
      <c r="G29" s="135">
        <f t="shared" ref="G29:G30" si="16">F29+E29</f>
        <v>206605.08</v>
      </c>
      <c r="H29" s="136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7"/>
      <c r="T29" s="137"/>
      <c r="U29" s="137"/>
      <c r="V29" s="137"/>
      <c r="W29" s="137">
        <f>($G29/10)*4</f>
        <v>82642.031999999992</v>
      </c>
      <c r="X29" s="137">
        <f>($G29/10)*5</f>
        <v>103302.54</v>
      </c>
      <c r="Y29" s="137">
        <f>($G29/10)*1</f>
        <v>20660.507999999998</v>
      </c>
      <c r="Z29" s="137"/>
      <c r="AA29" s="137"/>
      <c r="AB29" s="137"/>
      <c r="AC29" s="137"/>
      <c r="AD29" s="138"/>
      <c r="AE29" s="139"/>
    </row>
    <row r="30" spans="2:31" s="130" customFormat="1" outlineLevel="1" x14ac:dyDescent="0.2">
      <c r="C30" s="131">
        <v>3.09</v>
      </c>
      <c r="D30" s="132" t="s">
        <v>28</v>
      </c>
      <c r="E30" s="133">
        <v>22400</v>
      </c>
      <c r="F30" s="134"/>
      <c r="G30" s="135">
        <f t="shared" si="16"/>
        <v>22400</v>
      </c>
      <c r="H30" s="136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>
        <f>(G30)*1</f>
        <v>22400</v>
      </c>
      <c r="X30" s="137"/>
      <c r="Y30" s="137"/>
      <c r="Z30" s="137"/>
      <c r="AA30" s="137"/>
      <c r="AB30" s="137"/>
      <c r="AC30" s="137"/>
      <c r="AD30" s="138"/>
      <c r="AE30" s="139"/>
    </row>
    <row r="31" spans="2:31" s="23" customFormat="1" outlineLevel="1" x14ac:dyDescent="0.2">
      <c r="C31" s="42"/>
      <c r="D31" s="43"/>
      <c r="E31" s="98"/>
      <c r="F31" s="99"/>
      <c r="G31" s="100">
        <f t="shared" ref="G31:G71" si="17">F31+E31</f>
        <v>0</v>
      </c>
      <c r="H31" s="103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38"/>
      <c r="AE31" s="60"/>
    </row>
    <row r="32" spans="2:31" s="68" customFormat="1" outlineLevel="1" x14ac:dyDescent="0.2">
      <c r="B32" s="22"/>
      <c r="C32" s="69">
        <v>4</v>
      </c>
      <c r="D32" s="47" t="s">
        <v>17</v>
      </c>
      <c r="E32" s="94">
        <f t="shared" ref="E32:AD32" si="18">SUM(E33:E37)</f>
        <v>402142.41</v>
      </c>
      <c r="F32" s="94">
        <f t="shared" si="18"/>
        <v>0</v>
      </c>
      <c r="G32" s="95">
        <f>SUM(G33:G37)</f>
        <v>402142.41</v>
      </c>
      <c r="H32" s="96">
        <f t="shared" si="18"/>
        <v>0</v>
      </c>
      <c r="I32" s="97">
        <f t="shared" si="18"/>
        <v>0</v>
      </c>
      <c r="J32" s="97">
        <f t="shared" si="18"/>
        <v>0</v>
      </c>
      <c r="K32" s="97">
        <f t="shared" si="18"/>
        <v>0</v>
      </c>
      <c r="L32" s="97">
        <f t="shared" si="18"/>
        <v>0</v>
      </c>
      <c r="M32" s="97">
        <f t="shared" si="18"/>
        <v>0</v>
      </c>
      <c r="N32" s="97">
        <f t="shared" si="18"/>
        <v>0</v>
      </c>
      <c r="O32" s="97">
        <f t="shared" si="18"/>
        <v>0</v>
      </c>
      <c r="P32" s="97">
        <f t="shared" si="18"/>
        <v>0</v>
      </c>
      <c r="Q32" s="97">
        <f t="shared" si="18"/>
        <v>0</v>
      </c>
      <c r="R32" s="97">
        <f t="shared" si="18"/>
        <v>0</v>
      </c>
      <c r="S32" s="97">
        <f t="shared" si="18"/>
        <v>0</v>
      </c>
      <c r="T32" s="97">
        <f t="shared" si="18"/>
        <v>0</v>
      </c>
      <c r="U32" s="97">
        <f t="shared" si="18"/>
        <v>0</v>
      </c>
      <c r="V32" s="97">
        <f t="shared" si="18"/>
        <v>20870.400000000001</v>
      </c>
      <c r="W32" s="97">
        <f t="shared" si="18"/>
        <v>128654.48099999999</v>
      </c>
      <c r="X32" s="97">
        <f t="shared" si="18"/>
        <v>190636.005</v>
      </c>
      <c r="Y32" s="97">
        <f t="shared" si="18"/>
        <v>61981.52399999999</v>
      </c>
      <c r="Z32" s="97">
        <f t="shared" si="18"/>
        <v>0</v>
      </c>
      <c r="AA32" s="97">
        <f t="shared" si="18"/>
        <v>0</v>
      </c>
      <c r="AB32" s="97">
        <f t="shared" si="18"/>
        <v>0</v>
      </c>
      <c r="AC32" s="97">
        <f t="shared" si="18"/>
        <v>0</v>
      </c>
      <c r="AD32" s="61">
        <f t="shared" si="18"/>
        <v>0</v>
      </c>
      <c r="AE32" s="62"/>
    </row>
    <row r="33" spans="2:31" s="130" customFormat="1" outlineLevel="1" x14ac:dyDescent="0.2">
      <c r="C33" s="131"/>
      <c r="D33" s="132"/>
      <c r="E33" s="133"/>
      <c r="F33" s="134"/>
      <c r="G33" s="135">
        <f t="shared" ref="G33:G35" si="19">F33+E33</f>
        <v>0</v>
      </c>
      <c r="H33" s="136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7"/>
      <c r="T33" s="137"/>
      <c r="U33" s="137"/>
      <c r="V33" s="137"/>
      <c r="W33" s="137"/>
      <c r="X33" s="137"/>
      <c r="Y33" s="137"/>
      <c r="Z33" s="137"/>
      <c r="AA33" s="137"/>
      <c r="AB33" s="137"/>
      <c r="AC33" s="137"/>
      <c r="AD33" s="138"/>
      <c r="AE33" s="139"/>
    </row>
    <row r="34" spans="2:31" s="130" customFormat="1" outlineLevel="1" x14ac:dyDescent="0.2">
      <c r="C34" s="131">
        <v>4.01</v>
      </c>
      <c r="D34" s="132" t="s">
        <v>29</v>
      </c>
      <c r="E34" s="133">
        <v>104352</v>
      </c>
      <c r="F34" s="134"/>
      <c r="G34" s="135">
        <f t="shared" si="19"/>
        <v>104352</v>
      </c>
      <c r="H34" s="136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>
        <f>($G34/5)*1</f>
        <v>20870.400000000001</v>
      </c>
      <c r="W34" s="137">
        <f>($G34/5)*2</f>
        <v>41740.800000000003</v>
      </c>
      <c r="X34" s="137">
        <f>($G34/5)*2</f>
        <v>41740.800000000003</v>
      </c>
      <c r="Y34" s="137"/>
      <c r="Z34" s="137"/>
      <c r="AA34" s="137"/>
      <c r="AB34" s="137"/>
      <c r="AC34" s="137"/>
      <c r="AD34" s="138"/>
      <c r="AE34" s="139"/>
    </row>
    <row r="35" spans="2:31" s="130" customFormat="1" outlineLevel="1" x14ac:dyDescent="0.2">
      <c r="C35" s="131">
        <v>4.0199999999999996</v>
      </c>
      <c r="D35" s="132" t="s">
        <v>30</v>
      </c>
      <c r="E35" s="133">
        <v>206605.08</v>
      </c>
      <c r="F35" s="134"/>
      <c r="G35" s="135">
        <f t="shared" si="19"/>
        <v>206605.08</v>
      </c>
      <c r="H35" s="136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>
        <f>($G35/10)*2</f>
        <v>41321.015999999996</v>
      </c>
      <c r="X35" s="137">
        <f>($G35/10)*5</f>
        <v>103302.54</v>
      </c>
      <c r="Y35" s="137">
        <f>($G35/10)*3</f>
        <v>61981.52399999999</v>
      </c>
      <c r="Z35" s="137"/>
      <c r="AA35" s="137"/>
      <c r="AB35" s="137"/>
      <c r="AC35" s="137"/>
      <c r="AD35" s="138"/>
      <c r="AE35" s="139"/>
    </row>
    <row r="36" spans="2:31" s="130" customFormat="1" outlineLevel="1" x14ac:dyDescent="0.2">
      <c r="C36" s="131">
        <v>4.03</v>
      </c>
      <c r="D36" s="132" t="s">
        <v>31</v>
      </c>
      <c r="E36" s="133">
        <f>SUM(77385,13800.33)</f>
        <v>91185.33</v>
      </c>
      <c r="F36" s="134"/>
      <c r="G36" s="135">
        <f t="shared" ref="G36" si="20">F36+E36</f>
        <v>91185.33</v>
      </c>
      <c r="H36" s="136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>
        <f>($G36/10)*5</f>
        <v>45592.664999999994</v>
      </c>
      <c r="X36" s="137">
        <f>($G36/10)*5</f>
        <v>45592.664999999994</v>
      </c>
      <c r="Y36" s="137"/>
      <c r="Z36" s="137"/>
      <c r="AA36" s="137"/>
      <c r="AB36" s="137"/>
      <c r="AC36" s="137"/>
      <c r="AD36" s="138"/>
      <c r="AE36" s="139"/>
    </row>
    <row r="37" spans="2:31" s="23" customFormat="1" outlineLevel="1" x14ac:dyDescent="0.2">
      <c r="C37" s="42"/>
      <c r="D37" s="75"/>
      <c r="E37" s="98"/>
      <c r="F37" s="99"/>
      <c r="G37" s="100">
        <f t="shared" si="17"/>
        <v>0</v>
      </c>
      <c r="H37" s="103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38"/>
      <c r="AE37" s="60"/>
    </row>
    <row r="38" spans="2:31" s="68" customFormat="1" outlineLevel="1" x14ac:dyDescent="0.2">
      <c r="B38" s="22"/>
      <c r="C38" s="69">
        <v>5</v>
      </c>
      <c r="D38" s="47" t="s">
        <v>18</v>
      </c>
      <c r="E38" s="94">
        <f t="shared" ref="E38:AD38" si="21">SUM(E39:E44)</f>
        <v>80000</v>
      </c>
      <c r="F38" s="94">
        <f t="shared" si="21"/>
        <v>0</v>
      </c>
      <c r="G38" s="95">
        <f t="shared" si="21"/>
        <v>80000</v>
      </c>
      <c r="H38" s="96">
        <f t="shared" si="21"/>
        <v>0</v>
      </c>
      <c r="I38" s="97">
        <f t="shared" si="21"/>
        <v>0</v>
      </c>
      <c r="J38" s="97">
        <f t="shared" si="21"/>
        <v>0</v>
      </c>
      <c r="K38" s="97">
        <f t="shared" si="21"/>
        <v>0</v>
      </c>
      <c r="L38" s="97">
        <f t="shared" si="21"/>
        <v>0</v>
      </c>
      <c r="M38" s="97">
        <f t="shared" si="21"/>
        <v>0</v>
      </c>
      <c r="N38" s="97">
        <f t="shared" si="21"/>
        <v>0</v>
      </c>
      <c r="O38" s="97">
        <f t="shared" si="21"/>
        <v>0</v>
      </c>
      <c r="P38" s="97">
        <f t="shared" si="21"/>
        <v>0</v>
      </c>
      <c r="Q38" s="97">
        <f t="shared" si="21"/>
        <v>0</v>
      </c>
      <c r="R38" s="97">
        <f t="shared" si="21"/>
        <v>0</v>
      </c>
      <c r="S38" s="97">
        <f t="shared" si="21"/>
        <v>0</v>
      </c>
      <c r="T38" s="97">
        <f t="shared" si="21"/>
        <v>0</v>
      </c>
      <c r="U38" s="97">
        <f t="shared" si="21"/>
        <v>0</v>
      </c>
      <c r="V38" s="97">
        <f t="shared" si="21"/>
        <v>0</v>
      </c>
      <c r="W38" s="97">
        <f t="shared" si="21"/>
        <v>0</v>
      </c>
      <c r="X38" s="97">
        <f t="shared" si="21"/>
        <v>80000</v>
      </c>
      <c r="Y38" s="97">
        <f t="shared" si="21"/>
        <v>0</v>
      </c>
      <c r="Z38" s="97">
        <f t="shared" si="21"/>
        <v>0</v>
      </c>
      <c r="AA38" s="97">
        <f t="shared" si="21"/>
        <v>0</v>
      </c>
      <c r="AB38" s="97">
        <f t="shared" si="21"/>
        <v>0</v>
      </c>
      <c r="AC38" s="97">
        <f t="shared" si="21"/>
        <v>0</v>
      </c>
      <c r="AD38" s="61">
        <f t="shared" si="21"/>
        <v>0</v>
      </c>
      <c r="AE38" s="62"/>
    </row>
    <row r="39" spans="2:31" s="23" customFormat="1" outlineLevel="1" x14ac:dyDescent="0.2">
      <c r="C39" s="42"/>
      <c r="D39" s="74"/>
      <c r="E39" s="104"/>
      <c r="F39" s="99"/>
      <c r="G39" s="100">
        <f t="shared" ref="G39:G40" si="22">F39+E39</f>
        <v>0</v>
      </c>
      <c r="H39" s="101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37"/>
      <c r="AE39" s="27"/>
    </row>
    <row r="40" spans="2:31" s="130" customFormat="1" outlineLevel="1" x14ac:dyDescent="0.2">
      <c r="C40" s="131">
        <v>5.01</v>
      </c>
      <c r="D40" s="132" t="s">
        <v>47</v>
      </c>
      <c r="E40" s="133">
        <v>80000</v>
      </c>
      <c r="F40" s="134"/>
      <c r="G40" s="135">
        <f t="shared" si="22"/>
        <v>80000</v>
      </c>
      <c r="H40" s="136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7"/>
      <c r="T40" s="137"/>
      <c r="U40" s="137"/>
      <c r="V40" s="137"/>
      <c r="W40" s="137"/>
      <c r="X40" s="137">
        <f>($G40)</f>
        <v>80000</v>
      </c>
      <c r="Y40" s="137"/>
      <c r="Z40" s="137"/>
      <c r="AA40" s="137"/>
      <c r="AB40" s="137"/>
      <c r="AC40" s="137"/>
      <c r="AD40" s="138"/>
      <c r="AE40" s="139"/>
    </row>
    <row r="41" spans="2:31" s="23" customFormat="1" outlineLevel="1" x14ac:dyDescent="0.2">
      <c r="C41" s="42"/>
      <c r="D41" s="74"/>
      <c r="E41" s="104"/>
      <c r="F41" s="99"/>
      <c r="G41" s="100"/>
      <c r="H41" s="101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37"/>
      <c r="AE41" s="27"/>
    </row>
    <row r="42" spans="2:31" s="23" customFormat="1" outlineLevel="1" x14ac:dyDescent="0.2">
      <c r="C42" s="42"/>
      <c r="D42" s="74"/>
      <c r="E42" s="104"/>
      <c r="F42" s="99"/>
      <c r="G42" s="100"/>
      <c r="H42" s="101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37"/>
      <c r="AE42" s="27"/>
    </row>
    <row r="43" spans="2:31" s="23" customFormat="1" outlineLevel="1" x14ac:dyDescent="0.2">
      <c r="C43" s="42"/>
      <c r="D43" s="74"/>
      <c r="E43" s="104"/>
      <c r="F43" s="99"/>
      <c r="G43" s="100"/>
      <c r="H43" s="101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37"/>
      <c r="AE43" s="27"/>
    </row>
    <row r="44" spans="2:31" s="23" customFormat="1" outlineLevel="1" x14ac:dyDescent="0.2">
      <c r="C44" s="42"/>
      <c r="D44" s="75"/>
      <c r="E44" s="98"/>
      <c r="F44" s="99"/>
      <c r="G44" s="100">
        <f t="shared" si="17"/>
        <v>0</v>
      </c>
      <c r="H44" s="103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38"/>
      <c r="AE44" s="60"/>
    </row>
    <row r="45" spans="2:31" s="68" customFormat="1" outlineLevel="1" x14ac:dyDescent="0.2">
      <c r="B45" s="22"/>
      <c r="C45" s="69">
        <v>6</v>
      </c>
      <c r="D45" s="47" t="s">
        <v>19</v>
      </c>
      <c r="E45" s="105">
        <f t="shared" ref="E45:AD45" si="23">SUM(E46:E50)</f>
        <v>545828.5</v>
      </c>
      <c r="F45" s="94">
        <f t="shared" si="23"/>
        <v>0</v>
      </c>
      <c r="G45" s="95">
        <f t="shared" si="23"/>
        <v>545828.5</v>
      </c>
      <c r="H45" s="96">
        <f t="shared" si="23"/>
        <v>0</v>
      </c>
      <c r="I45" s="97">
        <f t="shared" si="23"/>
        <v>0</v>
      </c>
      <c r="J45" s="97">
        <f t="shared" si="23"/>
        <v>0</v>
      </c>
      <c r="K45" s="97">
        <f t="shared" si="23"/>
        <v>0</v>
      </c>
      <c r="L45" s="97">
        <f t="shared" si="23"/>
        <v>0</v>
      </c>
      <c r="M45" s="97">
        <f t="shared" si="23"/>
        <v>0</v>
      </c>
      <c r="N45" s="97">
        <f t="shared" si="23"/>
        <v>0</v>
      </c>
      <c r="O45" s="97">
        <f t="shared" si="23"/>
        <v>0</v>
      </c>
      <c r="P45" s="97">
        <f t="shared" si="23"/>
        <v>0</v>
      </c>
      <c r="Q45" s="97">
        <f t="shared" si="23"/>
        <v>0</v>
      </c>
      <c r="R45" s="97">
        <f t="shared" si="23"/>
        <v>0</v>
      </c>
      <c r="S45" s="97">
        <f t="shared" ref="S45" si="24">SUM(S46:S50)</f>
        <v>0</v>
      </c>
      <c r="T45" s="97">
        <f t="shared" ref="T45" si="25">SUM(T46:T50)</f>
        <v>0</v>
      </c>
      <c r="U45" s="97">
        <f t="shared" ref="U45" si="26">SUM(U46:U50)</f>
        <v>0</v>
      </c>
      <c r="V45" s="97">
        <f t="shared" ref="V45" si="27">SUM(V46:V50)</f>
        <v>54836.399999999994</v>
      </c>
      <c r="W45" s="97">
        <f t="shared" ref="W45" si="28">SUM(W46:W50)</f>
        <v>138139.15</v>
      </c>
      <c r="X45" s="97">
        <f t="shared" ref="X45" si="29">SUM(X46:X50)</f>
        <v>154980.45000000001</v>
      </c>
      <c r="Y45" s="97">
        <f t="shared" ref="Y45" si="30">SUM(Y46:Y50)</f>
        <v>130484.95000000001</v>
      </c>
      <c r="Z45" s="97">
        <f t="shared" ref="Z45" si="31">SUM(Z46:Z50)</f>
        <v>31454.799999999999</v>
      </c>
      <c r="AA45" s="97">
        <f t="shared" ref="AA45" si="32">SUM(AA46:AA50)</f>
        <v>35932.75</v>
      </c>
      <c r="AB45" s="97">
        <f t="shared" ref="AB45" si="33">SUM(AB46:AB50)</f>
        <v>0</v>
      </c>
      <c r="AC45" s="97">
        <f t="shared" si="23"/>
        <v>0</v>
      </c>
      <c r="AD45" s="61">
        <f t="shared" si="23"/>
        <v>0</v>
      </c>
      <c r="AE45" s="70"/>
    </row>
    <row r="46" spans="2:31" s="23" customFormat="1" outlineLevel="1" x14ac:dyDescent="0.2">
      <c r="C46" s="42"/>
      <c r="D46" s="74"/>
      <c r="E46" s="104"/>
      <c r="F46" s="99"/>
      <c r="G46" s="100">
        <f t="shared" ref="G46:G48" si="34">F46+E46</f>
        <v>0</v>
      </c>
      <c r="H46" s="101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  <c r="AB46" s="102"/>
      <c r="AC46" s="102"/>
      <c r="AD46" s="37"/>
      <c r="AE46" s="27"/>
    </row>
    <row r="47" spans="2:31" s="130" customFormat="1" ht="20.399999999999999" outlineLevel="1" x14ac:dyDescent="0.2">
      <c r="C47" s="131">
        <v>6.01</v>
      </c>
      <c r="D47" s="132" t="s">
        <v>34</v>
      </c>
      <c r="E47" s="133">
        <v>58454</v>
      </c>
      <c r="F47" s="134"/>
      <c r="G47" s="135">
        <f t="shared" si="34"/>
        <v>58454</v>
      </c>
      <c r="H47" s="136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>
        <f>($G47/20)*8</f>
        <v>23381.599999999999</v>
      </c>
      <c r="W47" s="137">
        <f>($G47/20)*8</f>
        <v>23381.599999999999</v>
      </c>
      <c r="X47" s="137">
        <f>($G47/20)*3</f>
        <v>8768.0999999999985</v>
      </c>
      <c r="Y47" s="137"/>
      <c r="Z47" s="137"/>
      <c r="AA47" s="137">
        <f>($G47/20)*1</f>
        <v>2922.7</v>
      </c>
      <c r="AB47" s="137"/>
      <c r="AC47" s="137"/>
      <c r="AD47" s="138"/>
      <c r="AE47" s="139"/>
    </row>
    <row r="48" spans="2:31" s="130" customFormat="1" outlineLevel="1" x14ac:dyDescent="0.2">
      <c r="C48" s="131">
        <v>6.02</v>
      </c>
      <c r="D48" s="132" t="s">
        <v>35</v>
      </c>
      <c r="E48" s="133">
        <v>314548</v>
      </c>
      <c r="F48" s="134"/>
      <c r="G48" s="135">
        <f t="shared" si="34"/>
        <v>314548</v>
      </c>
      <c r="H48" s="136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>
        <f>($G48/20)*2</f>
        <v>31454.799999999999</v>
      </c>
      <c r="W48" s="137">
        <f>($G48/20)*4</f>
        <v>62909.599999999999</v>
      </c>
      <c r="X48" s="137">
        <f>($G48/20)*6</f>
        <v>94364.4</v>
      </c>
      <c r="Y48" s="137">
        <f>($G48/20)*5</f>
        <v>78637</v>
      </c>
      <c r="Z48" s="137">
        <f>($G48/20)*2</f>
        <v>31454.799999999999</v>
      </c>
      <c r="AA48" s="137">
        <f>($G48/20)*1</f>
        <v>15727.4</v>
      </c>
      <c r="AB48" s="137"/>
      <c r="AC48" s="137"/>
      <c r="AD48" s="138"/>
      <c r="AE48" s="139"/>
    </row>
    <row r="49" spans="1:31" s="130" customFormat="1" outlineLevel="1" x14ac:dyDescent="0.2">
      <c r="C49" s="131">
        <v>6.03</v>
      </c>
      <c r="D49" s="132" t="s">
        <v>52</v>
      </c>
      <c r="E49" s="133">
        <f>SUM(11349.8,34565.3,39208.4,87703)</f>
        <v>172826.5</v>
      </c>
      <c r="F49" s="134"/>
      <c r="G49" s="135">
        <f t="shared" ref="G49" si="35">F49+E49</f>
        <v>172826.5</v>
      </c>
      <c r="H49" s="136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>
        <f>($G49/10)*3</f>
        <v>51847.950000000004</v>
      </c>
      <c r="X49" s="137">
        <f>($G49/10)*3</f>
        <v>51847.950000000004</v>
      </c>
      <c r="Y49" s="137">
        <f>($G49/10)*3</f>
        <v>51847.950000000004</v>
      </c>
      <c r="Z49" s="137"/>
      <c r="AA49" s="137">
        <f>($G49/10)*1</f>
        <v>17282.650000000001</v>
      </c>
      <c r="AB49" s="137"/>
      <c r="AC49" s="137"/>
      <c r="AD49" s="138"/>
      <c r="AE49" s="139"/>
    </row>
    <row r="50" spans="1:31" s="23" customFormat="1" outlineLevel="1" x14ac:dyDescent="0.2">
      <c r="C50" s="42"/>
      <c r="D50" s="75"/>
      <c r="E50" s="98"/>
      <c r="F50" s="99"/>
      <c r="G50" s="100">
        <f t="shared" si="17"/>
        <v>0</v>
      </c>
      <c r="H50" s="103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38"/>
      <c r="AE50" s="60"/>
    </row>
    <row r="51" spans="1:31" s="68" customFormat="1" outlineLevel="1" x14ac:dyDescent="0.2">
      <c r="B51" s="22"/>
      <c r="C51" s="69">
        <v>7</v>
      </c>
      <c r="D51" s="47" t="s">
        <v>32</v>
      </c>
      <c r="E51" s="105">
        <v>859340</v>
      </c>
      <c r="F51" s="94">
        <f t="shared" ref="F51:AD51" si="36">SUM(F52:F62)</f>
        <v>0</v>
      </c>
      <c r="G51" s="95">
        <v>859340</v>
      </c>
      <c r="H51" s="96">
        <f t="shared" si="36"/>
        <v>0</v>
      </c>
      <c r="I51" s="97">
        <f>SUM(I52:I62)</f>
        <v>479700</v>
      </c>
      <c r="J51" s="97">
        <f t="shared" si="36"/>
        <v>325784</v>
      </c>
      <c r="K51" s="97">
        <f t="shared" si="36"/>
        <v>35904</v>
      </c>
      <c r="L51" s="97">
        <f t="shared" si="36"/>
        <v>17952</v>
      </c>
      <c r="M51" s="97">
        <f t="shared" si="36"/>
        <v>0</v>
      </c>
      <c r="N51" s="97">
        <f t="shared" si="36"/>
        <v>0</v>
      </c>
      <c r="O51" s="97">
        <f t="shared" si="36"/>
        <v>0</v>
      </c>
      <c r="P51" s="97">
        <f t="shared" si="36"/>
        <v>0</v>
      </c>
      <c r="Q51" s="97">
        <f t="shared" si="36"/>
        <v>0</v>
      </c>
      <c r="R51" s="97">
        <f t="shared" si="36"/>
        <v>0</v>
      </c>
      <c r="S51" s="97">
        <f t="shared" si="36"/>
        <v>0</v>
      </c>
      <c r="T51" s="97">
        <f t="shared" si="36"/>
        <v>0</v>
      </c>
      <c r="U51" s="97">
        <f t="shared" si="36"/>
        <v>0</v>
      </c>
      <c r="V51" s="97">
        <f t="shared" si="36"/>
        <v>0</v>
      </c>
      <c r="W51" s="97">
        <f t="shared" si="36"/>
        <v>0</v>
      </c>
      <c r="X51" s="97">
        <f t="shared" si="36"/>
        <v>0</v>
      </c>
      <c r="Y51" s="97">
        <f t="shared" si="36"/>
        <v>0</v>
      </c>
      <c r="Z51" s="97">
        <f t="shared" si="36"/>
        <v>0</v>
      </c>
      <c r="AA51" s="97">
        <f t="shared" si="36"/>
        <v>0</v>
      </c>
      <c r="AB51" s="97">
        <f t="shared" si="36"/>
        <v>0</v>
      </c>
      <c r="AC51" s="97">
        <f t="shared" si="36"/>
        <v>0</v>
      </c>
      <c r="AD51" s="61">
        <f t="shared" si="36"/>
        <v>0</v>
      </c>
      <c r="AE51" s="70"/>
    </row>
    <row r="52" spans="1:31" s="23" customFormat="1" outlineLevel="1" x14ac:dyDescent="0.2">
      <c r="C52" s="42"/>
      <c r="D52" s="74"/>
      <c r="E52" s="104"/>
      <c r="F52" s="99"/>
      <c r="G52" s="100">
        <f t="shared" ref="G52:G61" si="37">F52+E52</f>
        <v>0</v>
      </c>
      <c r="H52" s="101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37"/>
      <c r="AE52" s="27"/>
    </row>
    <row r="53" spans="1:31" s="130" customFormat="1" ht="20.399999999999999" outlineLevel="1" x14ac:dyDescent="0.2">
      <c r="C53" s="131">
        <v>7.01</v>
      </c>
      <c r="D53" s="132" t="s">
        <v>48</v>
      </c>
      <c r="E53" s="133" t="s">
        <v>50</v>
      </c>
      <c r="F53" s="134"/>
      <c r="G53" s="135">
        <v>799500</v>
      </c>
      <c r="H53" s="136"/>
      <c r="I53" s="137">
        <f>($G53/5)*3</f>
        <v>479700</v>
      </c>
      <c r="J53" s="137">
        <f>($G53/5)*2</f>
        <v>319800</v>
      </c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8"/>
      <c r="AE53" s="139"/>
    </row>
    <row r="54" spans="1:31" s="130" customFormat="1" outlineLevel="1" x14ac:dyDescent="0.2">
      <c r="C54" s="131">
        <v>7.02</v>
      </c>
      <c r="D54" s="132" t="s">
        <v>49</v>
      </c>
      <c r="E54" s="133">
        <v>59840</v>
      </c>
      <c r="F54" s="134"/>
      <c r="G54" s="135">
        <f t="shared" si="37"/>
        <v>59840</v>
      </c>
      <c r="H54" s="136"/>
      <c r="I54" s="137"/>
      <c r="J54" s="137">
        <f>($G54/10)*1</f>
        <v>5984</v>
      </c>
      <c r="K54" s="137">
        <f>($G54/10)*6</f>
        <v>35904</v>
      </c>
      <c r="L54" s="137">
        <f>($G54/10)*3</f>
        <v>17952</v>
      </c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8"/>
      <c r="AE54" s="139"/>
    </row>
    <row r="55" spans="1:31" s="23" customFormat="1" outlineLevel="1" x14ac:dyDescent="0.2">
      <c r="C55" s="42"/>
      <c r="D55" s="74"/>
      <c r="E55" s="104"/>
      <c r="F55" s="99"/>
      <c r="G55" s="100"/>
      <c r="H55" s="101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37"/>
      <c r="AE55" s="27"/>
    </row>
    <row r="56" spans="1:31" s="23" customFormat="1" outlineLevel="1" x14ac:dyDescent="0.2">
      <c r="C56" s="42"/>
      <c r="D56" s="74"/>
      <c r="E56" s="104"/>
      <c r="F56" s="99"/>
      <c r="G56" s="100"/>
      <c r="H56" s="101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  <c r="AB56" s="102"/>
      <c r="AC56" s="102"/>
      <c r="AD56" s="37"/>
      <c r="AE56" s="27"/>
    </row>
    <row r="57" spans="1:31" s="23" customFormat="1" outlineLevel="1" x14ac:dyDescent="0.2">
      <c r="C57" s="42"/>
      <c r="D57" s="74"/>
      <c r="E57" s="104"/>
      <c r="F57" s="99"/>
      <c r="G57" s="100"/>
      <c r="H57" s="101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  <c r="AA57" s="102"/>
      <c r="AB57" s="102"/>
      <c r="AC57" s="102"/>
      <c r="AD57" s="37"/>
      <c r="AE57" s="27"/>
    </row>
    <row r="58" spans="1:31" s="23" customFormat="1" outlineLevel="1" x14ac:dyDescent="0.2">
      <c r="C58" s="42"/>
      <c r="D58" s="88"/>
      <c r="E58" s="104"/>
      <c r="F58" s="99"/>
      <c r="G58" s="100"/>
      <c r="H58" s="101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37"/>
      <c r="AE58" s="27"/>
    </row>
    <row r="59" spans="1:31" s="23" customFormat="1" outlineLevel="1" x14ac:dyDescent="0.2">
      <c r="C59" s="42"/>
      <c r="D59" s="74"/>
      <c r="E59" s="104"/>
      <c r="F59" s="99"/>
      <c r="G59" s="100"/>
      <c r="H59" s="101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/>
      <c r="AC59" s="102"/>
      <c r="AD59" s="37"/>
      <c r="AE59" s="27"/>
    </row>
    <row r="60" spans="1:31" s="23" customFormat="1" outlineLevel="1" x14ac:dyDescent="0.2">
      <c r="C60" s="42"/>
      <c r="D60" s="74"/>
      <c r="E60" s="104"/>
      <c r="F60" s="99"/>
      <c r="G60" s="100"/>
      <c r="H60" s="101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37"/>
      <c r="AE60" s="27"/>
    </row>
    <row r="61" spans="1:31" s="23" customFormat="1" outlineLevel="1" x14ac:dyDescent="0.2">
      <c r="C61" s="42"/>
      <c r="D61" s="74"/>
      <c r="E61" s="104"/>
      <c r="F61" s="99"/>
      <c r="G61" s="100">
        <f t="shared" si="37"/>
        <v>0</v>
      </c>
      <c r="H61" s="101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37"/>
      <c r="AE61" s="27"/>
    </row>
    <row r="62" spans="1:31" s="23" customFormat="1" outlineLevel="1" x14ac:dyDescent="0.2">
      <c r="C62" s="42"/>
      <c r="D62" s="43"/>
      <c r="E62" s="98"/>
      <c r="F62" s="99"/>
      <c r="G62" s="100">
        <f t="shared" ref="G62" si="38">F62+E62</f>
        <v>0</v>
      </c>
      <c r="H62" s="103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2"/>
      <c r="AB62" s="102"/>
      <c r="AC62" s="102"/>
      <c r="AD62" s="38"/>
      <c r="AE62" s="60"/>
    </row>
    <row r="63" spans="1:31" s="68" customFormat="1" outlineLevel="1" x14ac:dyDescent="0.2">
      <c r="B63" s="22"/>
      <c r="C63" s="69">
        <v>8</v>
      </c>
      <c r="D63" s="47" t="s">
        <v>39</v>
      </c>
      <c r="E63" s="105">
        <f t="shared" ref="E63:R63" si="39">SUM(E64:E69)</f>
        <v>799108.14999999991</v>
      </c>
      <c r="F63" s="94">
        <f t="shared" si="39"/>
        <v>0</v>
      </c>
      <c r="G63" s="95">
        <f t="shared" si="39"/>
        <v>799108.14999999991</v>
      </c>
      <c r="H63" s="96">
        <f t="shared" si="39"/>
        <v>36323.097727272732</v>
      </c>
      <c r="I63" s="97">
        <f t="shared" si="39"/>
        <v>36323.097727272732</v>
      </c>
      <c r="J63" s="97">
        <f t="shared" si="39"/>
        <v>36323.097727272732</v>
      </c>
      <c r="K63" s="97">
        <f t="shared" si="39"/>
        <v>36323.097727272732</v>
      </c>
      <c r="L63" s="97">
        <f t="shared" si="39"/>
        <v>36323.097727272732</v>
      </c>
      <c r="M63" s="97">
        <f t="shared" si="39"/>
        <v>36323.097727272732</v>
      </c>
      <c r="N63" s="97">
        <f t="shared" si="39"/>
        <v>36323.097727272732</v>
      </c>
      <c r="O63" s="97">
        <f t="shared" si="39"/>
        <v>36323.097727272732</v>
      </c>
      <c r="P63" s="97">
        <f t="shared" si="39"/>
        <v>36323.097727272732</v>
      </c>
      <c r="Q63" s="97">
        <f t="shared" si="39"/>
        <v>36323.097727272732</v>
      </c>
      <c r="R63" s="97">
        <f t="shared" si="39"/>
        <v>36323.097727272732</v>
      </c>
      <c r="S63" s="97">
        <f t="shared" ref="S63" si="40">SUM(S64:S69)</f>
        <v>36323.097727272732</v>
      </c>
      <c r="T63" s="97">
        <f t="shared" ref="T63" si="41">SUM(T64:T69)</f>
        <v>36323.097727272732</v>
      </c>
      <c r="U63" s="97">
        <f t="shared" ref="U63" si="42">SUM(U64:U69)</f>
        <v>36323.097727272732</v>
      </c>
      <c r="V63" s="97">
        <f t="shared" ref="V63" si="43">SUM(V64:V69)</f>
        <v>36323.097727272732</v>
      </c>
      <c r="W63" s="97">
        <f t="shared" ref="W63" si="44">SUM(W64:W69)</f>
        <v>36323.097727272732</v>
      </c>
      <c r="X63" s="97">
        <f t="shared" ref="X63" si="45">SUM(X64:X69)</f>
        <v>36323.097727272732</v>
      </c>
      <c r="Y63" s="97">
        <f t="shared" ref="Y63" si="46">SUM(Y64:Y69)</f>
        <v>36323.097727272732</v>
      </c>
      <c r="Z63" s="97">
        <f t="shared" ref="Z63" si="47">SUM(Z64:Z69)</f>
        <v>36323.097727272732</v>
      </c>
      <c r="AA63" s="97">
        <f t="shared" ref="AA63" si="48">SUM(AA64:AA69)</f>
        <v>36323.097727272732</v>
      </c>
      <c r="AB63" s="97">
        <f t="shared" ref="AB63" si="49">SUM(AB64:AB69)</f>
        <v>36323.097727272732</v>
      </c>
      <c r="AC63" s="97">
        <f>SUM(AC64:AC69)</f>
        <v>36323.097727272732</v>
      </c>
      <c r="AD63" s="61">
        <f>SUM(AD64:AD69)</f>
        <v>0</v>
      </c>
      <c r="AE63" s="70"/>
    </row>
    <row r="64" spans="1:31" s="23" customFormat="1" outlineLevel="1" x14ac:dyDescent="0.2">
      <c r="A64" s="46"/>
      <c r="C64" s="42"/>
      <c r="D64" s="74"/>
      <c r="E64" s="104"/>
      <c r="F64" s="99"/>
      <c r="G64" s="100">
        <f t="shared" ref="G64:G65" si="50">F64+E64</f>
        <v>0</v>
      </c>
      <c r="H64" s="101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  <c r="AA64" s="102"/>
      <c r="AB64" s="102"/>
      <c r="AC64" s="102"/>
      <c r="AD64" s="37"/>
      <c r="AE64" s="27"/>
    </row>
    <row r="65" spans="1:31" s="130" customFormat="1" outlineLevel="1" x14ac:dyDescent="0.2">
      <c r="C65" s="131">
        <v>8.01</v>
      </c>
      <c r="D65" s="132" t="s">
        <v>41</v>
      </c>
      <c r="E65" s="133">
        <v>232204.32</v>
      </c>
      <c r="F65" s="134"/>
      <c r="G65" s="135">
        <f t="shared" si="50"/>
        <v>232204.32</v>
      </c>
      <c r="H65" s="136">
        <f>($G65/22)*1</f>
        <v>10554.741818181819</v>
      </c>
      <c r="I65" s="137">
        <f>($G65/22)*1</f>
        <v>10554.741818181819</v>
      </c>
      <c r="J65" s="137">
        <f t="shared" ref="J65:AC68" si="51">($G65/22)*1</f>
        <v>10554.741818181819</v>
      </c>
      <c r="K65" s="137">
        <f t="shared" si="51"/>
        <v>10554.741818181819</v>
      </c>
      <c r="L65" s="137">
        <f t="shared" si="51"/>
        <v>10554.741818181819</v>
      </c>
      <c r="M65" s="137">
        <f t="shared" si="51"/>
        <v>10554.741818181819</v>
      </c>
      <c r="N65" s="137">
        <f t="shared" si="51"/>
        <v>10554.741818181819</v>
      </c>
      <c r="O65" s="137">
        <f t="shared" si="51"/>
        <v>10554.741818181819</v>
      </c>
      <c r="P65" s="137">
        <f t="shared" si="51"/>
        <v>10554.741818181819</v>
      </c>
      <c r="Q65" s="137">
        <f t="shared" si="51"/>
        <v>10554.741818181819</v>
      </c>
      <c r="R65" s="137">
        <f t="shared" si="51"/>
        <v>10554.741818181819</v>
      </c>
      <c r="S65" s="137">
        <f t="shared" si="51"/>
        <v>10554.741818181819</v>
      </c>
      <c r="T65" s="137">
        <f t="shared" si="51"/>
        <v>10554.741818181819</v>
      </c>
      <c r="U65" s="137">
        <f t="shared" si="51"/>
        <v>10554.741818181819</v>
      </c>
      <c r="V65" s="137">
        <f t="shared" si="51"/>
        <v>10554.741818181819</v>
      </c>
      <c r="W65" s="137">
        <f t="shared" si="51"/>
        <v>10554.741818181819</v>
      </c>
      <c r="X65" s="137">
        <f t="shared" si="51"/>
        <v>10554.741818181819</v>
      </c>
      <c r="Y65" s="137">
        <f t="shared" si="51"/>
        <v>10554.741818181819</v>
      </c>
      <c r="Z65" s="137">
        <f t="shared" si="51"/>
        <v>10554.741818181819</v>
      </c>
      <c r="AA65" s="137">
        <f t="shared" si="51"/>
        <v>10554.741818181819</v>
      </c>
      <c r="AB65" s="137">
        <f t="shared" si="51"/>
        <v>10554.741818181819</v>
      </c>
      <c r="AC65" s="137">
        <f t="shared" si="51"/>
        <v>10554.741818181819</v>
      </c>
      <c r="AD65" s="138"/>
      <c r="AE65" s="139"/>
    </row>
    <row r="66" spans="1:31" s="130" customFormat="1" outlineLevel="1" x14ac:dyDescent="0.2">
      <c r="C66" s="131">
        <v>8.01</v>
      </c>
      <c r="D66" s="132" t="s">
        <v>42</v>
      </c>
      <c r="E66" s="133">
        <v>232204.32</v>
      </c>
      <c r="F66" s="134"/>
      <c r="G66" s="135">
        <f t="shared" ref="G66:G67" si="52">F66+E66</f>
        <v>232204.32</v>
      </c>
      <c r="H66" s="136">
        <f>($G66/22)*1</f>
        <v>10554.741818181819</v>
      </c>
      <c r="I66" s="137">
        <f>($G66/22)*1</f>
        <v>10554.741818181819</v>
      </c>
      <c r="J66" s="137">
        <f t="shared" si="51"/>
        <v>10554.741818181819</v>
      </c>
      <c r="K66" s="137">
        <f t="shared" si="51"/>
        <v>10554.741818181819</v>
      </c>
      <c r="L66" s="137">
        <f t="shared" si="51"/>
        <v>10554.741818181819</v>
      </c>
      <c r="M66" s="137">
        <f t="shared" si="51"/>
        <v>10554.741818181819</v>
      </c>
      <c r="N66" s="137">
        <f t="shared" si="51"/>
        <v>10554.741818181819</v>
      </c>
      <c r="O66" s="137">
        <f t="shared" si="51"/>
        <v>10554.741818181819</v>
      </c>
      <c r="P66" s="137">
        <f t="shared" si="51"/>
        <v>10554.741818181819</v>
      </c>
      <c r="Q66" s="137">
        <f t="shared" si="51"/>
        <v>10554.741818181819</v>
      </c>
      <c r="R66" s="137">
        <f t="shared" si="51"/>
        <v>10554.741818181819</v>
      </c>
      <c r="S66" s="137">
        <f t="shared" si="51"/>
        <v>10554.741818181819</v>
      </c>
      <c r="T66" s="137">
        <f t="shared" si="51"/>
        <v>10554.741818181819</v>
      </c>
      <c r="U66" s="137">
        <f t="shared" si="51"/>
        <v>10554.741818181819</v>
      </c>
      <c r="V66" s="137">
        <f t="shared" si="51"/>
        <v>10554.741818181819</v>
      </c>
      <c r="W66" s="137">
        <f t="shared" si="51"/>
        <v>10554.741818181819</v>
      </c>
      <c r="X66" s="137">
        <f t="shared" si="51"/>
        <v>10554.741818181819</v>
      </c>
      <c r="Y66" s="137">
        <f t="shared" si="51"/>
        <v>10554.741818181819</v>
      </c>
      <c r="Z66" s="137">
        <f t="shared" si="51"/>
        <v>10554.741818181819</v>
      </c>
      <c r="AA66" s="137">
        <f t="shared" si="51"/>
        <v>10554.741818181819</v>
      </c>
      <c r="AB66" s="137">
        <f t="shared" si="51"/>
        <v>10554.741818181819</v>
      </c>
      <c r="AC66" s="137">
        <f t="shared" si="51"/>
        <v>10554.741818181819</v>
      </c>
      <c r="AD66" s="138"/>
      <c r="AE66" s="139"/>
    </row>
    <row r="67" spans="1:31" s="130" customFormat="1" outlineLevel="1" x14ac:dyDescent="0.2">
      <c r="C67" s="131">
        <v>8.01</v>
      </c>
      <c r="D67" s="132" t="s">
        <v>43</v>
      </c>
      <c r="E67" s="133">
        <v>232204.32</v>
      </c>
      <c r="F67" s="134"/>
      <c r="G67" s="135">
        <f t="shared" si="52"/>
        <v>232204.32</v>
      </c>
      <c r="H67" s="136">
        <f>($G67/22)*1</f>
        <v>10554.741818181819</v>
      </c>
      <c r="I67" s="137">
        <f t="shared" ref="I67:X68" si="53">($G67/22)*1</f>
        <v>10554.741818181819</v>
      </c>
      <c r="J67" s="137">
        <f t="shared" si="53"/>
        <v>10554.741818181819</v>
      </c>
      <c r="K67" s="137">
        <f t="shared" si="53"/>
        <v>10554.741818181819</v>
      </c>
      <c r="L67" s="137">
        <f t="shared" si="53"/>
        <v>10554.741818181819</v>
      </c>
      <c r="M67" s="137">
        <f t="shared" si="53"/>
        <v>10554.741818181819</v>
      </c>
      <c r="N67" s="137">
        <f t="shared" si="53"/>
        <v>10554.741818181819</v>
      </c>
      <c r="O67" s="137">
        <f t="shared" si="53"/>
        <v>10554.741818181819</v>
      </c>
      <c r="P67" s="137">
        <f t="shared" si="53"/>
        <v>10554.741818181819</v>
      </c>
      <c r="Q67" s="137">
        <f t="shared" si="53"/>
        <v>10554.741818181819</v>
      </c>
      <c r="R67" s="137">
        <f t="shared" si="53"/>
        <v>10554.741818181819</v>
      </c>
      <c r="S67" s="137">
        <f t="shared" si="53"/>
        <v>10554.741818181819</v>
      </c>
      <c r="T67" s="137">
        <f t="shared" si="53"/>
        <v>10554.741818181819</v>
      </c>
      <c r="U67" s="137">
        <f t="shared" si="53"/>
        <v>10554.741818181819</v>
      </c>
      <c r="V67" s="137">
        <f t="shared" si="53"/>
        <v>10554.741818181819</v>
      </c>
      <c r="W67" s="137">
        <f t="shared" si="53"/>
        <v>10554.741818181819</v>
      </c>
      <c r="X67" s="137">
        <f t="shared" si="53"/>
        <v>10554.741818181819</v>
      </c>
      <c r="Y67" s="137">
        <f t="shared" si="51"/>
        <v>10554.741818181819</v>
      </c>
      <c r="Z67" s="137">
        <f t="shared" si="51"/>
        <v>10554.741818181819</v>
      </c>
      <c r="AA67" s="137">
        <f t="shared" si="51"/>
        <v>10554.741818181819</v>
      </c>
      <c r="AB67" s="137">
        <f t="shared" si="51"/>
        <v>10554.741818181819</v>
      </c>
      <c r="AC67" s="137">
        <f t="shared" si="51"/>
        <v>10554.741818181819</v>
      </c>
      <c r="AD67" s="138"/>
      <c r="AE67" s="139"/>
    </row>
    <row r="68" spans="1:31" s="130" customFormat="1" outlineLevel="1" x14ac:dyDescent="0.2">
      <c r="C68" s="131">
        <v>8.01</v>
      </c>
      <c r="D68" s="132" t="s">
        <v>44</v>
      </c>
      <c r="E68" s="133">
        <v>102495.19</v>
      </c>
      <c r="F68" s="134"/>
      <c r="G68" s="135">
        <f t="shared" ref="G68" si="54">F68+E68</f>
        <v>102495.19</v>
      </c>
      <c r="H68" s="136">
        <f>($G68/22)*1</f>
        <v>4658.8722727272725</v>
      </c>
      <c r="I68" s="137">
        <f t="shared" si="53"/>
        <v>4658.8722727272725</v>
      </c>
      <c r="J68" s="137">
        <f t="shared" si="51"/>
        <v>4658.8722727272725</v>
      </c>
      <c r="K68" s="137">
        <f t="shared" si="51"/>
        <v>4658.8722727272725</v>
      </c>
      <c r="L68" s="137">
        <f t="shared" si="51"/>
        <v>4658.8722727272725</v>
      </c>
      <c r="M68" s="137">
        <f t="shared" si="51"/>
        <v>4658.8722727272725</v>
      </c>
      <c r="N68" s="137">
        <f t="shared" si="51"/>
        <v>4658.8722727272725</v>
      </c>
      <c r="O68" s="137">
        <f t="shared" si="51"/>
        <v>4658.8722727272725</v>
      </c>
      <c r="P68" s="137">
        <f t="shared" si="51"/>
        <v>4658.8722727272725</v>
      </c>
      <c r="Q68" s="137">
        <f t="shared" si="51"/>
        <v>4658.8722727272725</v>
      </c>
      <c r="R68" s="137">
        <f t="shared" si="51"/>
        <v>4658.8722727272725</v>
      </c>
      <c r="S68" s="137">
        <f t="shared" si="51"/>
        <v>4658.8722727272725</v>
      </c>
      <c r="T68" s="137">
        <f t="shared" si="51"/>
        <v>4658.8722727272725</v>
      </c>
      <c r="U68" s="137">
        <f t="shared" si="51"/>
        <v>4658.8722727272725</v>
      </c>
      <c r="V68" s="137">
        <f t="shared" si="51"/>
        <v>4658.8722727272725</v>
      </c>
      <c r="W68" s="137">
        <f t="shared" si="51"/>
        <v>4658.8722727272725</v>
      </c>
      <c r="X68" s="137">
        <f t="shared" si="51"/>
        <v>4658.8722727272725</v>
      </c>
      <c r="Y68" s="137">
        <f t="shared" si="51"/>
        <v>4658.8722727272725</v>
      </c>
      <c r="Z68" s="137">
        <f t="shared" si="51"/>
        <v>4658.8722727272725</v>
      </c>
      <c r="AA68" s="137">
        <f t="shared" si="51"/>
        <v>4658.8722727272725</v>
      </c>
      <c r="AB68" s="137">
        <f t="shared" si="51"/>
        <v>4658.8722727272725</v>
      </c>
      <c r="AC68" s="137">
        <f t="shared" si="51"/>
        <v>4658.8722727272725</v>
      </c>
      <c r="AD68" s="138"/>
      <c r="AE68" s="139"/>
    </row>
    <row r="69" spans="1:31" s="23" customFormat="1" outlineLevel="1" x14ac:dyDescent="0.2">
      <c r="C69" s="42"/>
      <c r="D69" s="75"/>
      <c r="E69" s="98"/>
      <c r="F69" s="99"/>
      <c r="G69" s="100"/>
      <c r="H69" s="103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1"/>
      <c r="Z69" s="101"/>
      <c r="AA69" s="101"/>
      <c r="AB69" s="101"/>
      <c r="AC69" s="101"/>
      <c r="AD69" s="38"/>
      <c r="AE69" s="60"/>
    </row>
    <row r="70" spans="1:31" s="68" customFormat="1" outlineLevel="1" x14ac:dyDescent="0.2">
      <c r="B70" s="22"/>
      <c r="C70" s="69">
        <v>9</v>
      </c>
      <c r="D70" s="47" t="s">
        <v>40</v>
      </c>
      <c r="E70" s="105">
        <f>SUM(E71:E73)</f>
        <v>0</v>
      </c>
      <c r="F70" s="94">
        <f t="shared" ref="F70:G70" si="55">SUM(F71:F73)</f>
        <v>0</v>
      </c>
      <c r="G70" s="95">
        <f t="shared" si="55"/>
        <v>0</v>
      </c>
      <c r="H70" s="96">
        <f>SUM(H71)</f>
        <v>0</v>
      </c>
      <c r="I70" s="97">
        <f t="shared" ref="I70:AD70" si="56">SUM(I71)</f>
        <v>0</v>
      </c>
      <c r="J70" s="97">
        <f t="shared" si="56"/>
        <v>0</v>
      </c>
      <c r="K70" s="97">
        <f t="shared" si="56"/>
        <v>0</v>
      </c>
      <c r="L70" s="97">
        <f t="shared" si="56"/>
        <v>0</v>
      </c>
      <c r="M70" s="97">
        <f t="shared" si="56"/>
        <v>0</v>
      </c>
      <c r="N70" s="97">
        <f t="shared" si="56"/>
        <v>0</v>
      </c>
      <c r="O70" s="97">
        <f t="shared" si="56"/>
        <v>0</v>
      </c>
      <c r="P70" s="97">
        <f t="shared" si="56"/>
        <v>0</v>
      </c>
      <c r="Q70" s="97">
        <f t="shared" si="56"/>
        <v>0</v>
      </c>
      <c r="R70" s="97">
        <f t="shared" si="56"/>
        <v>0</v>
      </c>
      <c r="S70" s="97">
        <f t="shared" si="56"/>
        <v>0</v>
      </c>
      <c r="T70" s="97">
        <f t="shared" si="56"/>
        <v>0</v>
      </c>
      <c r="U70" s="97">
        <f t="shared" si="56"/>
        <v>0</v>
      </c>
      <c r="V70" s="97">
        <f t="shared" si="56"/>
        <v>0</v>
      </c>
      <c r="W70" s="97">
        <f t="shared" si="56"/>
        <v>0</v>
      </c>
      <c r="X70" s="97">
        <f t="shared" si="56"/>
        <v>0</v>
      </c>
      <c r="Y70" s="97">
        <f t="shared" si="56"/>
        <v>0</v>
      </c>
      <c r="Z70" s="97">
        <f t="shared" si="56"/>
        <v>0</v>
      </c>
      <c r="AA70" s="97">
        <f t="shared" si="56"/>
        <v>0</v>
      </c>
      <c r="AB70" s="97">
        <f t="shared" si="56"/>
        <v>0</v>
      </c>
      <c r="AC70" s="97">
        <f t="shared" si="56"/>
        <v>0</v>
      </c>
      <c r="AD70" s="61">
        <f t="shared" si="56"/>
        <v>0</v>
      </c>
      <c r="AE70" s="70"/>
    </row>
    <row r="71" spans="1:31" s="23" customFormat="1" outlineLevel="1" x14ac:dyDescent="0.2">
      <c r="C71" s="42"/>
      <c r="D71" s="78"/>
      <c r="E71" s="104"/>
      <c r="F71" s="99"/>
      <c r="G71" s="100">
        <f t="shared" si="17"/>
        <v>0</v>
      </c>
      <c r="H71" s="101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  <c r="AA71" s="102"/>
      <c r="AB71" s="102"/>
      <c r="AC71" s="102"/>
      <c r="AD71" s="37"/>
      <c r="AE71" s="27"/>
    </row>
    <row r="72" spans="1:31" s="23" customFormat="1" outlineLevel="1" x14ac:dyDescent="0.2">
      <c r="C72" s="42"/>
      <c r="D72" s="78"/>
      <c r="E72" s="104"/>
      <c r="F72" s="99"/>
      <c r="G72" s="100">
        <f t="shared" ref="G72" si="57">F72+E72</f>
        <v>0</v>
      </c>
      <c r="H72" s="101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  <c r="AA72" s="102"/>
      <c r="AB72" s="102"/>
      <c r="AC72" s="102"/>
      <c r="AD72" s="37"/>
      <c r="AE72" s="27"/>
    </row>
    <row r="73" spans="1:31" s="23" customFormat="1" ht="10.8" thickBot="1" x14ac:dyDescent="0.25">
      <c r="C73" s="79"/>
      <c r="D73" s="77"/>
      <c r="E73" s="106"/>
      <c r="F73" s="107"/>
      <c r="G73" s="108"/>
      <c r="H73" s="109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39"/>
      <c r="AE73" s="63"/>
    </row>
    <row r="74" spans="1:31" s="40" customFormat="1" x14ac:dyDescent="0.2">
      <c r="A74" s="23"/>
      <c r="C74" s="150" t="s">
        <v>11</v>
      </c>
      <c r="D74" s="151"/>
      <c r="E74" s="111" t="e">
        <f>E70+E63+E51+E45+E38+E32+E21+E17+#REF!+#REF!</f>
        <v>#REF!</v>
      </c>
      <c r="F74" s="111" t="e">
        <f>F70+F63+F51+F45+F38+F32+F21+F17+#REF!+#REF!+#REF!+#REF!</f>
        <v>#REF!</v>
      </c>
      <c r="G74" s="112" t="e">
        <f>G70+G63+G51+G45+G38+G32+G21+G17+#REF!+#REF!</f>
        <v>#REF!</v>
      </c>
      <c r="H74" s="113" t="e">
        <f>SUM(H70+H63+H51+H45+H38+H32+H21+H17+#REF!+#REF!)</f>
        <v>#REF!</v>
      </c>
      <c r="I74" s="114" t="e">
        <f>SUM(I70+I63+I51+I45+I38+I32+I21+I17+#REF!+#REF!)</f>
        <v>#REF!</v>
      </c>
      <c r="J74" s="114" t="e">
        <f>SUM(J70+J63+J51+J45+J38+J32+J21+J17+#REF!+#REF!)</f>
        <v>#REF!</v>
      </c>
      <c r="K74" s="114" t="e">
        <f>SUM(K70+K63+K51+K45+K38+K32+K21+K17+#REF!+#REF!)</f>
        <v>#REF!</v>
      </c>
      <c r="L74" s="114" t="e">
        <f>SUM(L70+L63+L51+L45+L38+L32+L21+L17+#REF!+#REF!)</f>
        <v>#REF!</v>
      </c>
      <c r="M74" s="114" t="e">
        <f>SUM(M70+M63+M51+M45+M38+M32+M21+M17+#REF!+#REF!)</f>
        <v>#REF!</v>
      </c>
      <c r="N74" s="114" t="e">
        <f>SUM(N70+N63+N51+N45+N38+N32+N21+N17+#REF!+#REF!)</f>
        <v>#REF!</v>
      </c>
      <c r="O74" s="114" t="e">
        <f>SUM(O70+O63+O51+O45+O38+O32+O21+O17+#REF!+#REF!)</f>
        <v>#REF!</v>
      </c>
      <c r="P74" s="114" t="e">
        <f>SUM(P70+P63+P51+P45+P38+P32+P21+P17+#REF!+#REF!)</f>
        <v>#REF!</v>
      </c>
      <c r="Q74" s="114" t="e">
        <f>SUM(Q70+Q63+Q51+Q45+Q38+Q32+Q21+Q17+#REF!+#REF!)</f>
        <v>#REF!</v>
      </c>
      <c r="R74" s="114" t="e">
        <f>SUM(R70+R63+R51+R45+R38+R32+R21+R17+#REF!+#REF!)</f>
        <v>#REF!</v>
      </c>
      <c r="S74" s="114" t="e">
        <f>SUM(S70+S63+S51+S45+S38+S32+S21+S17+#REF!+#REF!)</f>
        <v>#REF!</v>
      </c>
      <c r="T74" s="114" t="e">
        <f>SUM(T70+T63+T51+T45+T38+T32+T21+T17+#REF!+#REF!)</f>
        <v>#REF!</v>
      </c>
      <c r="U74" s="114" t="e">
        <f>SUM(U70+U63+U51+U45+U38+U32+U21+U17+#REF!+#REF!)</f>
        <v>#REF!</v>
      </c>
      <c r="V74" s="114" t="e">
        <f>SUM(V70+V63+V51+V45+V38+V32+V21+V17+#REF!+#REF!)</f>
        <v>#REF!</v>
      </c>
      <c r="W74" s="114" t="e">
        <f>SUM(W70+W63+W51+W45+W38+W32+W21+W17+#REF!+#REF!)</f>
        <v>#REF!</v>
      </c>
      <c r="X74" s="114" t="e">
        <f>SUM(X70+X63+X51+X45+X38+X32+X21+X17+#REF!+#REF!)</f>
        <v>#REF!</v>
      </c>
      <c r="Y74" s="114" t="e">
        <f>SUM(Y70+Y63+Y51+Y45+Y38+Y32+Y21+Y17+#REF!+#REF!)</f>
        <v>#REF!</v>
      </c>
      <c r="Z74" s="114" t="e">
        <f>SUM(Z70+Z63+Z51+Z45+Z38+Z32+Z21+Z17+#REF!+#REF!)</f>
        <v>#REF!</v>
      </c>
      <c r="AA74" s="114" t="e">
        <f>SUM(AA70+AA63+AA51+AA45+AA38+AA32+AA21+AA17+#REF!+#REF!)</f>
        <v>#REF!</v>
      </c>
      <c r="AB74" s="114" t="e">
        <f>SUM(AB70+AB63+AB51+AB45+AB38+AB32+AB21+AB17+#REF!+#REF!)</f>
        <v>#REF!</v>
      </c>
      <c r="AC74" s="114" t="e">
        <f>SUM(AC70+AC63+AC51+AC45+AC38+AC32+AC21+AC17+#REF!+#REF!)</f>
        <v>#REF!</v>
      </c>
      <c r="AD74" s="152"/>
      <c r="AE74" s="64"/>
    </row>
    <row r="75" spans="1:31" s="40" customFormat="1" x14ac:dyDescent="0.2">
      <c r="A75" s="23"/>
      <c r="C75" s="157" t="s">
        <v>38</v>
      </c>
      <c r="D75" s="158"/>
      <c r="E75" s="115"/>
      <c r="F75" s="115"/>
      <c r="G75" s="116"/>
      <c r="H75" s="128" t="e">
        <f>-H74*0.03</f>
        <v>#REF!</v>
      </c>
      <c r="I75" s="129" t="e">
        <f>-I74*0.05</f>
        <v>#REF!</v>
      </c>
      <c r="J75" s="129" t="e">
        <f t="shared" ref="J75:AB75" si="58">-J74*0.05</f>
        <v>#REF!</v>
      </c>
      <c r="K75" s="129" t="e">
        <f t="shared" si="58"/>
        <v>#REF!</v>
      </c>
      <c r="L75" s="129" t="e">
        <f t="shared" si="58"/>
        <v>#REF!</v>
      </c>
      <c r="M75" s="129" t="e">
        <f t="shared" si="58"/>
        <v>#REF!</v>
      </c>
      <c r="N75" s="129" t="e">
        <f t="shared" si="58"/>
        <v>#REF!</v>
      </c>
      <c r="O75" s="129" t="e">
        <f t="shared" si="58"/>
        <v>#REF!</v>
      </c>
      <c r="P75" s="129" t="e">
        <f t="shared" si="58"/>
        <v>#REF!</v>
      </c>
      <c r="Q75" s="129" t="e">
        <f t="shared" si="58"/>
        <v>#REF!</v>
      </c>
      <c r="R75" s="129" t="e">
        <f t="shared" si="58"/>
        <v>#REF!</v>
      </c>
      <c r="S75" s="129" t="e">
        <f t="shared" si="58"/>
        <v>#REF!</v>
      </c>
      <c r="T75" s="129" t="e">
        <f t="shared" si="58"/>
        <v>#REF!</v>
      </c>
      <c r="U75" s="129" t="e">
        <f t="shared" si="58"/>
        <v>#REF!</v>
      </c>
      <c r="V75" s="129" t="e">
        <f t="shared" si="58"/>
        <v>#REF!</v>
      </c>
      <c r="W75" s="129" t="e">
        <f t="shared" si="58"/>
        <v>#REF!</v>
      </c>
      <c r="X75" s="129" t="e">
        <f t="shared" si="58"/>
        <v>#REF!</v>
      </c>
      <c r="Y75" s="129" t="e">
        <f t="shared" si="58"/>
        <v>#REF!</v>
      </c>
      <c r="Z75" s="129" t="e">
        <f t="shared" si="58"/>
        <v>#REF!</v>
      </c>
      <c r="AA75" s="129" t="e">
        <f t="shared" si="58"/>
        <v>#REF!</v>
      </c>
      <c r="AB75" s="129" t="e">
        <f t="shared" si="58"/>
        <v>#REF!</v>
      </c>
      <c r="AC75" s="129" t="e">
        <f>-AC74*0.03</f>
        <v>#REF!</v>
      </c>
      <c r="AD75" s="153"/>
      <c r="AE75" s="64"/>
    </row>
    <row r="76" spans="1:31" s="40" customFormat="1" x14ac:dyDescent="0.2">
      <c r="A76" s="23"/>
      <c r="C76" s="66" t="s">
        <v>15</v>
      </c>
      <c r="D76" s="67"/>
      <c r="E76" s="115"/>
      <c r="F76" s="119"/>
      <c r="G76" s="116"/>
      <c r="H76" s="117" t="e">
        <f>H74+H75</f>
        <v>#REF!</v>
      </c>
      <c r="I76" s="118" t="e">
        <f t="shared" ref="I76" si="59">I74+I75</f>
        <v>#REF!</v>
      </c>
      <c r="J76" s="118" t="e">
        <f t="shared" ref="J76" si="60">J74+J75</f>
        <v>#REF!</v>
      </c>
      <c r="K76" s="118" t="e">
        <f t="shared" ref="K76" si="61">K74+K75</f>
        <v>#REF!</v>
      </c>
      <c r="L76" s="118" t="e">
        <f t="shared" ref="L76" si="62">L74+L75</f>
        <v>#REF!</v>
      </c>
      <c r="M76" s="118" t="e">
        <f t="shared" ref="M76" si="63">M74+M75</f>
        <v>#REF!</v>
      </c>
      <c r="N76" s="118" t="e">
        <f t="shared" ref="N76" si="64">N74+N75</f>
        <v>#REF!</v>
      </c>
      <c r="O76" s="118" t="e">
        <f t="shared" ref="O76" si="65">O74+O75</f>
        <v>#REF!</v>
      </c>
      <c r="P76" s="118" t="e">
        <f t="shared" ref="P76" si="66">P74+P75</f>
        <v>#REF!</v>
      </c>
      <c r="Q76" s="118" t="e">
        <f t="shared" ref="Q76" si="67">Q74+Q75</f>
        <v>#REF!</v>
      </c>
      <c r="R76" s="118" t="e">
        <f t="shared" ref="R76" si="68">R74+R75</f>
        <v>#REF!</v>
      </c>
      <c r="S76" s="118" t="e">
        <f t="shared" ref="S76:AC76" si="69">S74+S75</f>
        <v>#REF!</v>
      </c>
      <c r="T76" s="118" t="e">
        <f t="shared" si="69"/>
        <v>#REF!</v>
      </c>
      <c r="U76" s="118" t="e">
        <f t="shared" si="69"/>
        <v>#REF!</v>
      </c>
      <c r="V76" s="118" t="e">
        <f t="shared" si="69"/>
        <v>#REF!</v>
      </c>
      <c r="W76" s="118" t="e">
        <f t="shared" si="69"/>
        <v>#REF!</v>
      </c>
      <c r="X76" s="118" t="e">
        <f t="shared" si="69"/>
        <v>#REF!</v>
      </c>
      <c r="Y76" s="118" t="e">
        <f t="shared" si="69"/>
        <v>#REF!</v>
      </c>
      <c r="Z76" s="118" t="e">
        <f t="shared" si="69"/>
        <v>#REF!</v>
      </c>
      <c r="AA76" s="118" t="e">
        <f t="shared" si="69"/>
        <v>#REF!</v>
      </c>
      <c r="AB76" s="118" t="e">
        <f t="shared" si="69"/>
        <v>#REF!</v>
      </c>
      <c r="AC76" s="118" t="e">
        <f t="shared" si="69"/>
        <v>#REF!</v>
      </c>
      <c r="AD76" s="153"/>
      <c r="AE76" s="64"/>
    </row>
    <row r="77" spans="1:31" s="41" customFormat="1" ht="10.8" thickBot="1" x14ac:dyDescent="0.25">
      <c r="A77" s="23"/>
      <c r="C77" s="155" t="s">
        <v>14</v>
      </c>
      <c r="D77" s="156"/>
      <c r="E77" s="120"/>
      <c r="F77" s="121"/>
      <c r="G77" s="122"/>
      <c r="H77" s="123" t="e">
        <f>H74</f>
        <v>#REF!</v>
      </c>
      <c r="I77" s="124" t="e">
        <f>I74+H77</f>
        <v>#REF!</v>
      </c>
      <c r="J77" s="124" t="e">
        <f t="shared" ref="J77:Q77" si="70">J74+I77</f>
        <v>#REF!</v>
      </c>
      <c r="K77" s="124" t="e">
        <f t="shared" si="70"/>
        <v>#REF!</v>
      </c>
      <c r="L77" s="124" t="e">
        <f t="shared" si="70"/>
        <v>#REF!</v>
      </c>
      <c r="M77" s="124" t="e">
        <f t="shared" si="70"/>
        <v>#REF!</v>
      </c>
      <c r="N77" s="124" t="e">
        <f t="shared" si="70"/>
        <v>#REF!</v>
      </c>
      <c r="O77" s="124" t="e">
        <f t="shared" si="70"/>
        <v>#REF!</v>
      </c>
      <c r="P77" s="124" t="e">
        <f t="shared" si="70"/>
        <v>#REF!</v>
      </c>
      <c r="Q77" s="124" t="e">
        <f t="shared" si="70"/>
        <v>#REF!</v>
      </c>
      <c r="R77" s="124" t="e">
        <f>R74+Q77</f>
        <v>#REF!</v>
      </c>
      <c r="S77" s="124" t="e">
        <f t="shared" ref="S77:AB77" si="71">S74+R77</f>
        <v>#REF!</v>
      </c>
      <c r="T77" s="124" t="e">
        <f t="shared" si="71"/>
        <v>#REF!</v>
      </c>
      <c r="U77" s="124" t="e">
        <f t="shared" si="71"/>
        <v>#REF!</v>
      </c>
      <c r="V77" s="124" t="e">
        <f t="shared" si="71"/>
        <v>#REF!</v>
      </c>
      <c r="W77" s="124" t="e">
        <f t="shared" si="71"/>
        <v>#REF!</v>
      </c>
      <c r="X77" s="124" t="e">
        <f t="shared" si="71"/>
        <v>#REF!</v>
      </c>
      <c r="Y77" s="124" t="e">
        <f t="shared" si="71"/>
        <v>#REF!</v>
      </c>
      <c r="Z77" s="124" t="e">
        <f t="shared" si="71"/>
        <v>#REF!</v>
      </c>
      <c r="AA77" s="124" t="e">
        <f t="shared" si="71"/>
        <v>#REF!</v>
      </c>
      <c r="AB77" s="124" t="e">
        <f t="shared" si="71"/>
        <v>#REF!</v>
      </c>
      <c r="AC77" s="124" t="e">
        <f>AC74+AB77</f>
        <v>#REF!</v>
      </c>
      <c r="AD77" s="154"/>
      <c r="AE77" s="65"/>
    </row>
    <row r="78" spans="1:31" x14ac:dyDescent="0.2">
      <c r="A78" s="23"/>
      <c r="C78" s="3"/>
      <c r="D78" s="3"/>
      <c r="G78" s="7"/>
      <c r="H78" s="7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</row>
    <row r="79" spans="1:31" x14ac:dyDescent="0.2">
      <c r="A79" s="23"/>
      <c r="C79" s="5" t="s">
        <v>7</v>
      </c>
      <c r="D79" s="4"/>
      <c r="E79" s="11"/>
      <c r="G79" s="7"/>
      <c r="H79" s="12"/>
      <c r="I79" s="8"/>
      <c r="J79" s="8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8"/>
    </row>
    <row r="80" spans="1:31" x14ac:dyDescent="0.2">
      <c r="A80" s="23"/>
      <c r="C80" s="51"/>
      <c r="E80" s="52"/>
      <c r="G80" s="7"/>
      <c r="H80" s="12"/>
      <c r="I80" s="8"/>
      <c r="J80" s="8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8"/>
    </row>
    <row r="81" spans="1:31" ht="24.9" customHeight="1" x14ac:dyDescent="0.2">
      <c r="A81" s="23"/>
      <c r="C81" s="140" t="s">
        <v>20</v>
      </c>
      <c r="D81" s="141"/>
      <c r="E81" s="16"/>
      <c r="H81" s="13"/>
      <c r="I81" s="8"/>
      <c r="J81" s="8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8"/>
    </row>
    <row r="82" spans="1:31" x14ac:dyDescent="0.2">
      <c r="A82" s="23"/>
      <c r="C82" s="14"/>
      <c r="D82" s="15"/>
      <c r="E82" s="16"/>
    </row>
    <row r="83" spans="1:31" x14ac:dyDescent="0.2">
      <c r="A83" s="23"/>
      <c r="C83" s="14"/>
      <c r="D83" s="15"/>
      <c r="E83" s="53"/>
    </row>
    <row r="84" spans="1:31" x14ac:dyDescent="0.2">
      <c r="A84" s="23"/>
      <c r="C84" s="14"/>
      <c r="D84" s="15"/>
      <c r="E84" s="16"/>
    </row>
    <row r="85" spans="1:31" x14ac:dyDescent="0.2">
      <c r="A85" s="23"/>
      <c r="C85" s="14"/>
      <c r="D85" s="15"/>
      <c r="E85" s="53"/>
    </row>
    <row r="86" spans="1:31" x14ac:dyDescent="0.2">
      <c r="A86" s="23"/>
      <c r="C86" s="20"/>
      <c r="D86" s="15"/>
      <c r="E86" s="16"/>
    </row>
    <row r="87" spans="1:31" s="7" customFormat="1" x14ac:dyDescent="0.2">
      <c r="A87" s="23"/>
      <c r="B87" s="2"/>
      <c r="C87" s="14"/>
      <c r="D87" s="15"/>
      <c r="E87" s="16"/>
      <c r="G87" s="6"/>
      <c r="H87" s="6"/>
    </row>
    <row r="88" spans="1:31" s="7" customFormat="1" x14ac:dyDescent="0.2">
      <c r="A88" s="23"/>
      <c r="B88" s="2"/>
      <c r="C88" s="14"/>
      <c r="D88" s="15"/>
      <c r="E88" s="16"/>
      <c r="G88" s="6"/>
      <c r="H88" s="6"/>
    </row>
    <row r="89" spans="1:31" s="7" customFormat="1" x14ac:dyDescent="0.2">
      <c r="A89" s="23"/>
      <c r="B89" s="2"/>
      <c r="C89" s="14"/>
      <c r="D89" s="15"/>
      <c r="E89" s="16"/>
      <c r="G89" s="6"/>
      <c r="H89" s="6"/>
    </row>
    <row r="90" spans="1:31" s="7" customFormat="1" x14ac:dyDescent="0.2">
      <c r="A90" s="23"/>
      <c r="B90" s="2"/>
      <c r="C90" s="17"/>
      <c r="D90" s="18"/>
      <c r="E90" s="19"/>
      <c r="G90" s="6"/>
      <c r="H90" s="6"/>
    </row>
    <row r="91" spans="1:31" x14ac:dyDescent="0.2">
      <c r="A91" s="23"/>
    </row>
  </sheetData>
  <autoFilter ref="A15:AE91" xr:uid="{33F53C3D-C57A-4D78-A045-05ED6B1A1944}"/>
  <sortState xmlns:xlrd2="http://schemas.microsoft.com/office/spreadsheetml/2017/richdata2" ref="A16:AE196">
    <sortCondition ref="A16:A196"/>
  </sortState>
  <mergeCells count="16">
    <mergeCell ref="C81:D81"/>
    <mergeCell ref="C3:AD3"/>
    <mergeCell ref="C5:AD5"/>
    <mergeCell ref="AD12:AD14"/>
    <mergeCell ref="C74:D74"/>
    <mergeCell ref="AD74:AD77"/>
    <mergeCell ref="C77:D77"/>
    <mergeCell ref="C75:D75"/>
    <mergeCell ref="C12:C13"/>
    <mergeCell ref="D12:D13"/>
    <mergeCell ref="E12:E13"/>
    <mergeCell ref="F12:F13"/>
    <mergeCell ref="G12:G13"/>
    <mergeCell ref="AC9:AD9"/>
    <mergeCell ref="AC8:AD8"/>
    <mergeCell ref="AC7:AD7"/>
  </mergeCells>
  <conditionalFormatting sqref="E70:AD70">
    <cfRule type="cellIs" dxfId="5" priority="1" stopIfTrue="1" operator="equal">
      <formula>0</formula>
    </cfRule>
  </conditionalFormatting>
  <conditionalFormatting sqref="G16:H16 E17:AC17 E21:AD21 E32:AE32 G33:H37 E38:AE38 G39:H44 E45:AD45 E51:AD51 G52:H62 E63:AD63">
    <cfRule type="cellIs" dxfId="4" priority="73" stopIfTrue="1" operator="equal">
      <formula>0</formula>
    </cfRule>
  </conditionalFormatting>
  <conditionalFormatting sqref="G18:H20">
    <cfRule type="cellIs" dxfId="3" priority="13" stopIfTrue="1" operator="equal">
      <formula>0</formula>
    </cfRule>
  </conditionalFormatting>
  <conditionalFormatting sqref="G22:H31">
    <cfRule type="cellIs" dxfId="2" priority="5" stopIfTrue="1" operator="equal">
      <formula>0</formula>
    </cfRule>
  </conditionalFormatting>
  <conditionalFormatting sqref="G46:H50">
    <cfRule type="cellIs" dxfId="1" priority="16" stopIfTrue="1" operator="equal">
      <formula>0</formula>
    </cfRule>
  </conditionalFormatting>
  <conditionalFormatting sqref="G64:H69 G71:H73">
    <cfRule type="cellIs" dxfId="0" priority="14" stopIfTrue="1" operator="equal">
      <formula>0</formula>
    </cfRule>
  </conditionalFormatting>
  <printOptions horizontalCentered="1"/>
  <pageMargins left="0.35433070866141736" right="0.15748031496062992" top="0.11811023622047245" bottom="0.11811023622047245" header="0" footer="0"/>
  <pageSetup paperSize="8" scale="5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Final</vt:lpstr>
      <vt:lpstr>Final!Print_Area</vt:lpstr>
      <vt:lpstr>Final!Print_Titles</vt:lpstr>
    </vt:vector>
  </TitlesOfParts>
  <Company>WRW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Bowen</dc:creator>
  <cp:lastModifiedBy>Dalton Brown</cp:lastModifiedBy>
  <cp:lastPrinted>2024-04-30T10:23:09Z</cp:lastPrinted>
  <dcterms:created xsi:type="dcterms:W3CDTF">2002-10-02T11:37:06Z</dcterms:created>
  <dcterms:modified xsi:type="dcterms:W3CDTF">2024-05-01T09:18:58Z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-181570868</vt:i4>
  </property>
  <property fmtid="{D5CDD505-2E9C-101B-9397-08002B2CF9AE}" pid="3" name="_EmailSubject">
    <vt:lpwstr>QINETIQ: ABERPORTH: REFURB FOR TCS TEAM: </vt:lpwstr>
  </property>
  <property fmtid="{D5CDD505-2E9C-101B-9397-08002B2CF9AE}" pid="4" name="_AuthorEmail">
    <vt:lpwstr>sheriden.sleap@fgould.com</vt:lpwstr>
  </property>
  <property fmtid="{D5CDD505-2E9C-101B-9397-08002B2CF9AE}" pid="5" name="_AuthorEmailDisplayName">
    <vt:lpwstr>Sleap, Sheriden S</vt:lpwstr>
  </property>
  <property fmtid="{D5CDD505-2E9C-101B-9397-08002B2CF9AE}" pid="6" name="_ReviewingToolsShownOnce">
    <vt:lpwstr/>
  </property>
</Properties>
</file>