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ophi\Documents\Documents\University\BSc\Design Economics\Assignment\"/>
    </mc:Choice>
  </mc:AlternateContent>
  <xr:revisionPtr revIDLastSave="0" documentId="13_ncr:1_{AB6DD879-2ED6-4AD0-9988-509B02F23EB8}" xr6:coauthVersionLast="47" xr6:coauthVersionMax="47" xr10:uidLastSave="{00000000-0000-0000-0000-000000000000}"/>
  <bookViews>
    <workbookView xWindow="-108" yWindow="-108" windowWidth="23256" windowHeight="12576" tabRatio="682" xr2:uid="{00000000-000D-0000-FFFF-FFFF00000000}"/>
  </bookViews>
  <sheets>
    <sheet name="Cover" sheetId="34" r:id="rId1"/>
    <sheet name="Form of Tender" sheetId="38" r:id="rId2"/>
    <sheet name="Summary" sheetId="35" r:id="rId3"/>
    <sheet name="Preliminaries" sheetId="39" r:id="rId4"/>
    <sheet name="Measured Works" sheetId="33" r:id="rId5"/>
    <sheet name="Risks" sheetId="40" r:id="rId6"/>
    <sheet name="Dayworks" sheetId="41" r:id="rId7"/>
    <sheet name="Take Off" sheetId="36" r:id="rId8"/>
  </sheets>
  <externalReferences>
    <externalReference r:id="rId9"/>
    <externalReference r:id="rId10"/>
    <externalReference r:id="rId11"/>
  </externalReferences>
  <definedNames>
    <definedName name="_xlnm._FilterDatabase" localSheetId="6" hidden="1">Dayworks!$A$1:$D$9</definedName>
    <definedName name="_xlnm._FilterDatabase" localSheetId="4" hidden="1">'Measured Works'!$A$1:$D$400</definedName>
    <definedName name="_xlnm._FilterDatabase" localSheetId="3" hidden="1">Preliminaries!$A$1:$D$35</definedName>
    <definedName name="_xlnm._FilterDatabase" localSheetId="5" hidden="1">Risks!$A$1:$D$26</definedName>
    <definedName name="_xlnm.Print_Area" localSheetId="0">Cover!#REF!</definedName>
    <definedName name="Resource" localSheetId="0">'[1]Data Validation'!$A$2:$A$6</definedName>
    <definedName name="Resource" localSheetId="1">'[2]Data Validation'!$A$2:$A$6</definedName>
    <definedName name="Resource" localSheetId="7">'[2]Data Validation'!$A$2:$A$6</definedName>
    <definedName name="Resource">'[3]Data Validation'!$A$2:$A$6</definedName>
    <definedName name="Unit" localSheetId="0">'[1]Data Validation'!$H$2:$H$9</definedName>
    <definedName name="Unit" localSheetId="1">'[2]Data Validation'!$H$2:$H$9</definedName>
    <definedName name="Unit" localSheetId="7">'[2]Data Validation'!$H$2:$H$9</definedName>
    <definedName name="Unit">'[3]Data Validation'!$H$2:$H$9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35" l="1"/>
  <c r="C21" i="35"/>
  <c r="F8" i="41"/>
  <c r="F6" i="41"/>
  <c r="E4" i="41"/>
  <c r="F192" i="33"/>
  <c r="C19" i="40"/>
  <c r="C16" i="40"/>
  <c r="C12" i="40"/>
  <c r="C9" i="40"/>
  <c r="C19" i="35"/>
  <c r="C18" i="35"/>
  <c r="C17" i="35"/>
  <c r="C16" i="35"/>
  <c r="C15" i="35"/>
  <c r="C14" i="35"/>
  <c r="C13" i="35"/>
  <c r="C12" i="35"/>
  <c r="C10" i="35"/>
  <c r="C9" i="35"/>
  <c r="C7" i="35"/>
  <c r="C6" i="35"/>
  <c r="C341" i="33"/>
  <c r="C411" i="36"/>
  <c r="C339" i="33"/>
  <c r="C406" i="36"/>
  <c r="C335" i="33"/>
  <c r="C402" i="36"/>
  <c r="C320" i="33"/>
  <c r="G384" i="36"/>
  <c r="G378" i="36"/>
  <c r="C313" i="33" s="1"/>
  <c r="F313" i="33" s="1"/>
  <c r="G370" i="36"/>
  <c r="G366" i="36"/>
  <c r="C298" i="33"/>
  <c r="G361" i="36"/>
  <c r="G359" i="36"/>
  <c r="G356" i="36"/>
  <c r="C289" i="33"/>
  <c r="G351" i="36"/>
  <c r="C285" i="33"/>
  <c r="G346" i="36"/>
  <c r="C280" i="33"/>
  <c r="C387" i="36"/>
  <c r="C275" i="33"/>
  <c r="C271" i="33"/>
  <c r="C383" i="36"/>
  <c r="C381" i="36"/>
  <c r="C378" i="36"/>
  <c r="C374" i="36"/>
  <c r="B373" i="36"/>
  <c r="B372" i="36"/>
  <c r="C268" i="33"/>
  <c r="F268" i="33" s="1"/>
  <c r="C264" i="33"/>
  <c r="C369" i="36"/>
  <c r="C255" i="33"/>
  <c r="C363" i="36"/>
  <c r="C250" i="33"/>
  <c r="C358" i="36"/>
  <c r="C166" i="33"/>
  <c r="C163" i="33"/>
  <c r="F163" i="33" s="1"/>
  <c r="C353" i="36"/>
  <c r="C351" i="36"/>
  <c r="C349" i="36"/>
  <c r="C345" i="36"/>
  <c r="G340" i="36"/>
  <c r="G335" i="36"/>
  <c r="G331" i="36"/>
  <c r="F325" i="36"/>
  <c r="F324" i="36"/>
  <c r="G325" i="36" s="1"/>
  <c r="C158" i="33" s="1"/>
  <c r="F158" i="33" s="1"/>
  <c r="G318" i="36"/>
  <c r="G320" i="36" s="1"/>
  <c r="C156" i="33" s="1"/>
  <c r="F156" i="33" s="1"/>
  <c r="G316" i="36"/>
  <c r="F306" i="36"/>
  <c r="F305" i="36"/>
  <c r="G306" i="36" s="1"/>
  <c r="F303" i="36"/>
  <c r="G303" i="36" s="1"/>
  <c r="F302" i="36"/>
  <c r="G300" i="36"/>
  <c r="F300" i="36"/>
  <c r="F299" i="36"/>
  <c r="F296" i="36"/>
  <c r="F295" i="36"/>
  <c r="G296" i="36" s="1"/>
  <c r="B341" i="36"/>
  <c r="B340" i="36"/>
  <c r="C341" i="36" s="1"/>
  <c r="C332" i="36"/>
  <c r="C329" i="36"/>
  <c r="C326" i="36"/>
  <c r="C323" i="36"/>
  <c r="C319" i="36"/>
  <c r="F288" i="36"/>
  <c r="G280" i="36"/>
  <c r="F282" i="36" s="1"/>
  <c r="G282" i="36" s="1"/>
  <c r="G290" i="36" s="1"/>
  <c r="F261" i="36"/>
  <c r="G261" i="36" s="1"/>
  <c r="F263" i="36" s="1"/>
  <c r="G264" i="36" s="1"/>
  <c r="B293" i="36"/>
  <c r="B292" i="36"/>
  <c r="B289" i="36"/>
  <c r="B288" i="36"/>
  <c r="C289" i="36" s="1"/>
  <c r="C249" i="36"/>
  <c r="C316" i="36"/>
  <c r="C334" i="36" s="1"/>
  <c r="C149" i="33" s="1"/>
  <c r="F149" i="33" s="1"/>
  <c r="C310" i="36"/>
  <c r="C308" i="36"/>
  <c r="C305" i="36"/>
  <c r="G288" i="36"/>
  <c r="G291" i="36" s="1"/>
  <c r="G286" i="36"/>
  <c r="G276" i="36"/>
  <c r="G273" i="36"/>
  <c r="G270" i="36"/>
  <c r="G259" i="36"/>
  <c r="G255" i="36"/>
  <c r="G252" i="36"/>
  <c r="B274" i="36"/>
  <c r="C274" i="36" s="1"/>
  <c r="C277" i="36" s="1"/>
  <c r="C272" i="36"/>
  <c r="C266" i="36"/>
  <c r="B268" i="36" s="1"/>
  <c r="C268" i="36" s="1"/>
  <c r="C276" i="36" s="1"/>
  <c r="C255" i="36"/>
  <c r="B257" i="36" s="1"/>
  <c r="C257" i="36" s="1"/>
  <c r="B259" i="36" s="1"/>
  <c r="C261" i="36" s="1"/>
  <c r="G244" i="36"/>
  <c r="C248" i="36" s="1"/>
  <c r="G239" i="36"/>
  <c r="C247" i="36" s="1"/>
  <c r="C114" i="33"/>
  <c r="G230" i="36"/>
  <c r="G226" i="36"/>
  <c r="G222" i="36"/>
  <c r="G232" i="36" s="1"/>
  <c r="C117" i="33" s="1"/>
  <c r="F117" i="33" s="1"/>
  <c r="G217" i="36"/>
  <c r="E109" i="33"/>
  <c r="E141" i="33" s="1"/>
  <c r="G211" i="36"/>
  <c r="C109" i="33" s="1"/>
  <c r="G209" i="36"/>
  <c r="G206" i="36"/>
  <c r="G203" i="36"/>
  <c r="C245" i="36"/>
  <c r="C242" i="36"/>
  <c r="C238" i="36"/>
  <c r="C235" i="36"/>
  <c r="G199" i="36" s="1"/>
  <c r="C106" i="33" s="1"/>
  <c r="F106" i="33" s="1"/>
  <c r="C228" i="36"/>
  <c r="C226" i="36"/>
  <c r="C230" i="36" s="1"/>
  <c r="B222" i="36"/>
  <c r="B221" i="36"/>
  <c r="C222" i="36" s="1"/>
  <c r="C94" i="33" s="1"/>
  <c r="F94" i="33" s="1"/>
  <c r="C219" i="36"/>
  <c r="C215" i="36"/>
  <c r="C209" i="36"/>
  <c r="C91" i="33" s="1"/>
  <c r="F91" i="33" s="1"/>
  <c r="C203" i="36"/>
  <c r="C201" i="36"/>
  <c r="C204" i="36" s="1"/>
  <c r="G196" i="36"/>
  <c r="G191" i="36"/>
  <c r="C87" i="33" s="1"/>
  <c r="C98" i="33" s="1"/>
  <c r="F98" i="33" s="1"/>
  <c r="G185" i="36"/>
  <c r="G183" i="36"/>
  <c r="G179" i="36"/>
  <c r="G174" i="36"/>
  <c r="G170" i="36"/>
  <c r="G165" i="36"/>
  <c r="G160" i="36"/>
  <c r="G151" i="36"/>
  <c r="C197" i="36"/>
  <c r="C192" i="36"/>
  <c r="C188" i="36"/>
  <c r="C183" i="36"/>
  <c r="G153" i="36" s="1"/>
  <c r="C178" i="36"/>
  <c r="C172" i="36"/>
  <c r="C168" i="36"/>
  <c r="C164" i="36"/>
  <c r="C153" i="36"/>
  <c r="C150" i="36"/>
  <c r="G145" i="36"/>
  <c r="G142" i="36"/>
  <c r="G139" i="36"/>
  <c r="G136" i="36"/>
  <c r="G133" i="36"/>
  <c r="G130" i="36"/>
  <c r="C155" i="36" s="1"/>
  <c r="G122" i="36"/>
  <c r="G125" i="36" s="1"/>
  <c r="G119" i="36"/>
  <c r="G124" i="36" s="1"/>
  <c r="G111" i="36"/>
  <c r="G108" i="36"/>
  <c r="G105" i="36"/>
  <c r="G102" i="36"/>
  <c r="G113" i="36" s="1"/>
  <c r="F115" i="36" s="1"/>
  <c r="G115" i="36" s="1"/>
  <c r="C133" i="36"/>
  <c r="C120" i="36"/>
  <c r="C100" i="36"/>
  <c r="C140" i="36"/>
  <c r="C143" i="36" s="1"/>
  <c r="C137" i="36"/>
  <c r="C142" i="36" s="1"/>
  <c r="C127" i="36"/>
  <c r="C130" i="36" s="1"/>
  <c r="C124" i="36"/>
  <c r="C129" i="36" s="1"/>
  <c r="C118" i="36"/>
  <c r="C9" i="36"/>
  <c r="C37" i="33"/>
  <c r="F37" i="33" s="1"/>
  <c r="C54" i="33"/>
  <c r="F54" i="33" s="1"/>
  <c r="C109" i="36"/>
  <c r="C110" i="36" s="1"/>
  <c r="B105" i="36"/>
  <c r="B104" i="36"/>
  <c r="G93" i="36"/>
  <c r="G95" i="36" s="1"/>
  <c r="G97" i="36" s="1"/>
  <c r="F89" i="36"/>
  <c r="F88" i="36"/>
  <c r="F85" i="36"/>
  <c r="F84" i="36"/>
  <c r="F81" i="36"/>
  <c r="F80" i="36"/>
  <c r="G68" i="36"/>
  <c r="F70" i="36" s="1"/>
  <c r="G72" i="36" s="1"/>
  <c r="C94" i="36"/>
  <c r="C97" i="36" s="1"/>
  <c r="C90" i="36"/>
  <c r="C96" i="36" s="1"/>
  <c r="C84" i="36"/>
  <c r="C74" i="36"/>
  <c r="C79" i="36" s="1"/>
  <c r="C66" i="36"/>
  <c r="C77" i="36" s="1"/>
  <c r="C70" i="36"/>
  <c r="C78" i="36" s="1"/>
  <c r="C62" i="36"/>
  <c r="C76" i="36" s="1"/>
  <c r="C58" i="36"/>
  <c r="G48" i="36"/>
  <c r="C53" i="36" s="1"/>
  <c r="G44" i="36"/>
  <c r="C52" i="36" s="1"/>
  <c r="G30" i="36"/>
  <c r="G33" i="36" s="1"/>
  <c r="G26" i="36"/>
  <c r="G32" i="36" s="1"/>
  <c r="G38" i="36"/>
  <c r="G20" i="36"/>
  <c r="G16" i="36"/>
  <c r="G13" i="36"/>
  <c r="C49" i="36"/>
  <c r="C44" i="36"/>
  <c r="C38" i="36"/>
  <c r="C30" i="36"/>
  <c r="C23" i="36"/>
  <c r="C16" i="36"/>
  <c r="C5" i="36"/>
  <c r="C12" i="33"/>
  <c r="F12" i="33" s="1"/>
  <c r="C9" i="33"/>
  <c r="F9" i="33" s="1"/>
  <c r="C3" i="35"/>
  <c r="E7" i="39"/>
  <c r="F21" i="39"/>
  <c r="F17" i="39"/>
  <c r="F19" i="39"/>
  <c r="F15" i="39"/>
  <c r="E9" i="39"/>
  <c r="F9" i="39" s="1"/>
  <c r="F7" i="39"/>
  <c r="F38" i="39" s="1"/>
  <c r="F11" i="39"/>
  <c r="F13" i="39"/>
  <c r="F4" i="41"/>
  <c r="F22" i="40"/>
  <c r="F19" i="40"/>
  <c r="F16" i="40"/>
  <c r="F12" i="40"/>
  <c r="F9" i="40"/>
  <c r="F35" i="39"/>
  <c r="F31" i="39"/>
  <c r="F29" i="39"/>
  <c r="E27" i="39"/>
  <c r="F27" i="39" s="1"/>
  <c r="E25" i="39"/>
  <c r="F25" i="39" s="1"/>
  <c r="F15" i="33"/>
  <c r="F26" i="33"/>
  <c r="F30" i="33"/>
  <c r="F33" i="33"/>
  <c r="F43" i="33"/>
  <c r="F47" i="33"/>
  <c r="F50" i="33"/>
  <c r="F59" i="33"/>
  <c r="F60" i="33"/>
  <c r="F64" i="33"/>
  <c r="F69" i="33"/>
  <c r="F73" i="33"/>
  <c r="F76" i="33"/>
  <c r="F81" i="33"/>
  <c r="F103" i="33"/>
  <c r="F120" i="33"/>
  <c r="F166" i="33"/>
  <c r="F169" i="33"/>
  <c r="F175" i="33"/>
  <c r="F176" i="33"/>
  <c r="F177" i="33"/>
  <c r="F178" i="33"/>
  <c r="F179" i="33"/>
  <c r="F180" i="33"/>
  <c r="F184" i="33"/>
  <c r="F188" i="33"/>
  <c r="F191" i="33"/>
  <c r="F198" i="33"/>
  <c r="F199" i="33"/>
  <c r="F200" i="33"/>
  <c r="F204" i="33"/>
  <c r="F210" i="33"/>
  <c r="F211" i="33"/>
  <c r="F212" i="33"/>
  <c r="F213" i="33"/>
  <c r="F214" i="33"/>
  <c r="F215" i="33"/>
  <c r="F216" i="33"/>
  <c r="F219" i="33"/>
  <c r="F220" i="33"/>
  <c r="F221" i="33"/>
  <c r="F225" i="33"/>
  <c r="F226" i="33"/>
  <c r="F230" i="33"/>
  <c r="F231" i="33"/>
  <c r="F237" i="33"/>
  <c r="F238" i="33"/>
  <c r="F239" i="33"/>
  <c r="F240" i="33"/>
  <c r="F241" i="33"/>
  <c r="F245" i="33"/>
  <c r="F250" i="33"/>
  <c r="F252" i="33"/>
  <c r="F255" i="33"/>
  <c r="F258" i="33"/>
  <c r="F264" i="33"/>
  <c r="F271" i="33"/>
  <c r="F275" i="33"/>
  <c r="F280" i="33"/>
  <c r="F285" i="33"/>
  <c r="F289" i="33"/>
  <c r="F292" i="33"/>
  <c r="F298" i="33"/>
  <c r="F306" i="33"/>
  <c r="F310" i="33"/>
  <c r="F318" i="33"/>
  <c r="F320" i="33"/>
  <c r="F325" i="33"/>
  <c r="F330" i="33"/>
  <c r="F335" i="33"/>
  <c r="F339" i="33"/>
  <c r="F341" i="33"/>
  <c r="F344" i="33"/>
  <c r="F347" i="33"/>
  <c r="F351" i="33"/>
  <c r="F354" i="33"/>
  <c r="F358" i="33"/>
  <c r="F25" i="40" l="1"/>
  <c r="F362" i="33"/>
  <c r="C8" i="35"/>
  <c r="G372" i="36"/>
  <c r="C303" i="33" s="1"/>
  <c r="F303" i="33" s="1"/>
  <c r="C298" i="36"/>
  <c r="C205" i="36"/>
  <c r="G266" i="36"/>
  <c r="G308" i="36"/>
  <c r="C154" i="33" s="1"/>
  <c r="F154" i="33" s="1"/>
  <c r="C312" i="36"/>
  <c r="C146" i="33" s="1"/>
  <c r="F146" i="33" s="1"/>
  <c r="F109" i="33"/>
  <c r="G292" i="36"/>
  <c r="B295" i="36" s="1"/>
  <c r="C296" i="36" s="1"/>
  <c r="C300" i="36"/>
  <c r="C141" i="33" s="1"/>
  <c r="F141" i="33" s="1"/>
  <c r="C293" i="36"/>
  <c r="C278" i="36"/>
  <c r="B280" i="36" s="1"/>
  <c r="C282" i="36" s="1"/>
  <c r="C284" i="36" s="1"/>
  <c r="C130" i="33" s="1"/>
  <c r="F130" i="33" s="1"/>
  <c r="C126" i="33"/>
  <c r="C137" i="33" s="1"/>
  <c r="F137" i="33" s="1"/>
  <c r="C11" i="35" s="1"/>
  <c r="F87" i="33"/>
  <c r="F114" i="33"/>
  <c r="G126" i="36"/>
  <c r="C159" i="36" s="1"/>
  <c r="C144" i="36"/>
  <c r="B147" i="36" s="1"/>
  <c r="C147" i="36" s="1"/>
  <c r="C157" i="36" s="1"/>
  <c r="C131" i="36"/>
  <c r="C105" i="36"/>
  <c r="G4" i="36"/>
  <c r="G34" i="36"/>
  <c r="C80" i="36"/>
  <c r="C98" i="36"/>
  <c r="F51" i="36" s="1"/>
  <c r="G53" i="36" s="1"/>
  <c r="G74" i="36" s="1"/>
  <c r="G81" i="36"/>
  <c r="C54" i="36"/>
  <c r="G85" i="36"/>
  <c r="C19" i="33"/>
  <c r="C22" i="33" s="1"/>
  <c r="F22" i="33" s="1"/>
  <c r="G89" i="36"/>
  <c r="C25" i="35" l="1"/>
  <c r="G247" i="36"/>
  <c r="C133" i="33" s="1"/>
  <c r="F133" i="33" s="1"/>
  <c r="F126" i="33"/>
  <c r="C112" i="36"/>
  <c r="F19" i="33"/>
</calcChain>
</file>

<file path=xl/sharedStrings.xml><?xml version="1.0" encoding="utf-8"?>
<sst xmlns="http://schemas.openxmlformats.org/spreadsheetml/2006/main" count="962" uniqueCount="430">
  <si>
    <t>Description</t>
  </si>
  <si>
    <t>Unit</t>
  </si>
  <si>
    <t>Rate</t>
  </si>
  <si>
    <t>Value</t>
  </si>
  <si>
    <t>All works based on scope in the following documents issued on DD MMM YYYY:</t>
  </si>
  <si>
    <t>Qty</t>
  </si>
  <si>
    <t>Bill of Quantities</t>
  </si>
  <si>
    <t>Ref.</t>
  </si>
  <si>
    <t>TOTAL</t>
  </si>
  <si>
    <t>Y Fforwm Substructure</t>
  </si>
  <si>
    <t>DESCRIPTION</t>
  </si>
  <si>
    <t>SQ</t>
  </si>
  <si>
    <t>DIM</t>
  </si>
  <si>
    <t>TIM</t>
  </si>
  <si>
    <t>PILING</t>
  </si>
  <si>
    <t>EXCAVATION AND FILLING</t>
  </si>
  <si>
    <t xml:space="preserve">Filling to excavation with imported materials </t>
  </si>
  <si>
    <t>MOT Type 1</t>
  </si>
  <si>
    <t>m3</t>
  </si>
  <si>
    <t>Surface treatments</t>
  </si>
  <si>
    <t>Surface compaction of filling</t>
  </si>
  <si>
    <t>m2</t>
  </si>
  <si>
    <t>Machine excavation</t>
  </si>
  <si>
    <t>Excavation to remove piling mat, depth not exceeding:</t>
  </si>
  <si>
    <t>1.00m</t>
  </si>
  <si>
    <t>Off-site disposal of piling mat</t>
  </si>
  <si>
    <t>Removed, including providing a suitable tip:</t>
  </si>
  <si>
    <t>Machine loading</t>
  </si>
  <si>
    <t>Provision of 1nr pile rig; including bringing to and removing from site;</t>
  </si>
  <si>
    <t xml:space="preserve">Maintenance, erection and dismantling at each pile position </t>
  </si>
  <si>
    <t>item</t>
  </si>
  <si>
    <t>Nr</t>
  </si>
  <si>
    <t>Pile testing</t>
  </si>
  <si>
    <t>Integrity testing; minimum 20 per visit</t>
  </si>
  <si>
    <t>GROUNDBEAMS</t>
  </si>
  <si>
    <t>Working space allowance to excavations; by machine</t>
  </si>
  <si>
    <t>Excavating for working space, by machine, additional earthwork support, compacting in layers; backfilling with excavated material:</t>
  </si>
  <si>
    <t>Off site disposal of material arising from earthworks</t>
  </si>
  <si>
    <t>Compacting bottoms of excavations</t>
  </si>
  <si>
    <t>IN SITU CONCRETE</t>
  </si>
  <si>
    <t>Plain in situ concrete; mix GEN1</t>
  </si>
  <si>
    <t>Ground beams; poured on or against earth or unblinded hardcore:</t>
  </si>
  <si>
    <t>Blinding; thickness 50mm</t>
  </si>
  <si>
    <t>Ground beams; poured against formwork</t>
  </si>
  <si>
    <t>FORMWORK FOR IN SITU CONCRETE</t>
  </si>
  <si>
    <t>Formwork to general finish</t>
  </si>
  <si>
    <t>m</t>
  </si>
  <si>
    <t>REINFORCEMENT FOR IN SITU CONCRETE</t>
  </si>
  <si>
    <t>tonne</t>
  </si>
  <si>
    <t>PILE CAPS</t>
  </si>
  <si>
    <t>EXCAVATING AND FILLING</t>
  </si>
  <si>
    <t>Pit excavation to receive foundation bases, depth not exceeding:</t>
  </si>
  <si>
    <t>2.00m</t>
  </si>
  <si>
    <t>Compacting bottoms of foundation bases</t>
  </si>
  <si>
    <t>Pile caps; poured on or against earth or unblinded hardcore:</t>
  </si>
  <si>
    <t>Pile caps; poured against formwork</t>
  </si>
  <si>
    <t>Sides of pile caps:</t>
  </si>
  <si>
    <t>Level and compact bottom of pit</t>
  </si>
  <si>
    <t>Beds; poured against formwork</t>
  </si>
  <si>
    <t>Walls</t>
  </si>
  <si>
    <t>Sides of groundbeams:</t>
  </si>
  <si>
    <t>Edges of beds:</t>
  </si>
  <si>
    <t>Walls:</t>
  </si>
  <si>
    <t>Vertical surfaces</t>
  </si>
  <si>
    <t>Steel fabric reinforcement, delivered to site in standard sheets</t>
  </si>
  <si>
    <t>MASTIC ASPHALT TANKING AND DAMP PROOF MEMBRANES</t>
  </si>
  <si>
    <t>GRP lift pit liner; as specialist manufacturers details</t>
  </si>
  <si>
    <t>GF SLAB</t>
  </si>
  <si>
    <t>Level and compact surface</t>
  </si>
  <si>
    <t>Membranes and compounds</t>
  </si>
  <si>
    <t>Horizontal; over 300mm wide - taped joints</t>
  </si>
  <si>
    <t>Vertical; 150mm high</t>
  </si>
  <si>
    <t>FOUL RUNS</t>
  </si>
  <si>
    <t>DRAINAGE BELOW GROUND</t>
  </si>
  <si>
    <t>Excavation of trenches; by machine; for drainage pipes, including disposal and filling and earthwork support as required; cart away suprlus material off site; machine loading</t>
  </si>
  <si>
    <t>Trenches to suit pipes not exceeding 200mm diameter; average depth:</t>
  </si>
  <si>
    <t>0.75 - 1.00m</t>
  </si>
  <si>
    <t>1.25 - 1.50m</t>
  </si>
  <si>
    <t>1.50 - 1.75m</t>
  </si>
  <si>
    <t>1.00 - 1.25m</t>
  </si>
  <si>
    <t>1.75 - 2.00m</t>
  </si>
  <si>
    <t>2.00 - 2.25m</t>
  </si>
  <si>
    <t>Beds and coverings for drainage pipes</t>
  </si>
  <si>
    <t>plastic pipes:</t>
  </si>
  <si>
    <t>Drainage pipes</t>
  </si>
  <si>
    <t>Drainage fittings</t>
  </si>
  <si>
    <t>FOUL MANHOLES</t>
  </si>
  <si>
    <t>PVC inspection chamber, inc cover and frame:</t>
  </si>
  <si>
    <t>Construct inspection chamber complete; excavation; disposal; earthwork support; 150mm thick plain concrete bed; 600mm diameter PPIC; suitable cover and frame; depth to invert;</t>
  </si>
  <si>
    <t>1.25 - 1.50m; B125 manhole cover</t>
  </si>
  <si>
    <t>1.50 - 1.75m; B125 manhole cover</t>
  </si>
  <si>
    <t>2.00 - 2.25m; B125 manhole cover</t>
  </si>
  <si>
    <t>Connections to existing drains</t>
  </si>
  <si>
    <t>Break into existing manhole; alter/adapt benching to suit; allow for new branch bend as required; depth</t>
  </si>
  <si>
    <t>2.43m to invert; for 150mm connection</t>
  </si>
  <si>
    <t>STORM RUNS</t>
  </si>
  <si>
    <t xml:space="preserve">Exacavtion of trenches; by machine; for drainage pipes, including disposal and filling with excavated material and earthwork support as required; cart away surplus material off site; machine loading; </t>
  </si>
  <si>
    <t>0.50 - 0.75m</t>
  </si>
  <si>
    <t xml:space="preserve">1.75 - 2.00m </t>
  </si>
  <si>
    <t>2.25 - 2.50m</t>
  </si>
  <si>
    <t>2.50 - 2.75m</t>
  </si>
  <si>
    <t>Trenches to suit pipes not exceeding 225mm diameter; average depth;</t>
  </si>
  <si>
    <t>Beds and coverings for draiange pipes</t>
  </si>
  <si>
    <t>150mm bed and 150mm covering to pipes</t>
  </si>
  <si>
    <t>150mm diameter; pipe bedding</t>
  </si>
  <si>
    <t>225mm diameter; pipe bedding</t>
  </si>
  <si>
    <t>Plastic pipes:</t>
  </si>
  <si>
    <t>150mm diameter</t>
  </si>
  <si>
    <t>225mm diameter</t>
  </si>
  <si>
    <t>STORM MANHOLES</t>
  </si>
  <si>
    <t>PVC inspecton chamber; incl cover and frame</t>
  </si>
  <si>
    <t>Polypropylene inspection chambers; granular bed and surround; 100mm Supersleve: 450mm diameter base, raising piece, cover and frame;</t>
  </si>
  <si>
    <t>1.00 - 1.50m deep</t>
  </si>
  <si>
    <t>1.50 - 2.00m deep</t>
  </si>
  <si>
    <t>2.00 - 2.50m deep</t>
  </si>
  <si>
    <t>2.50 - 3.00m deep</t>
  </si>
  <si>
    <t>Private road gullys - assume 450mm deep</t>
  </si>
  <si>
    <t>INCOMING SERVICES</t>
  </si>
  <si>
    <t>ELECTRICITY NEW SUPPLY</t>
  </si>
  <si>
    <t>Service trench - excavate trench for electricity, inlcuding sand bed, and backfilling with excavated material</t>
  </si>
  <si>
    <t>PILING MAT</t>
  </si>
  <si>
    <t>Sophie Morgan</t>
  </si>
  <si>
    <t>Allowance for testing of the subgrade strength</t>
  </si>
  <si>
    <t>CBR testing</t>
  </si>
  <si>
    <t>Allowance for testing the concrete strength</t>
  </si>
  <si>
    <t>Concrete cube testing</t>
  </si>
  <si>
    <t xml:space="preserve">Reinforced water resistant in situ concrete; mix RC32/40 TOPPROOF </t>
  </si>
  <si>
    <t>COMBINED SERVICE TRENCH</t>
  </si>
  <si>
    <t>Service Entries</t>
  </si>
  <si>
    <t xml:space="preserve">Service entries into building, duct and slow bend </t>
  </si>
  <si>
    <t>DAMP PROOF MEMBRANES</t>
  </si>
  <si>
    <t>Sides of GF Slab:</t>
  </si>
  <si>
    <t>A393 mesh</t>
  </si>
  <si>
    <t>Ground floor slab; poured on or against earth or unblinded hardcore:</t>
  </si>
  <si>
    <t>Ground floor slabs; poured against formwork</t>
  </si>
  <si>
    <t>Generally, thickness 150mm</t>
  </si>
  <si>
    <t xml:space="preserve">Allowance for a power floated finish to the concrete </t>
  </si>
  <si>
    <t>Concrete finish</t>
  </si>
  <si>
    <t>Excavate for working space, by machine, additional earthwork support, compacting in layers; backfilling with excavated material</t>
  </si>
  <si>
    <t>Removed, including providing a suitable tip</t>
  </si>
  <si>
    <t>Steel tube piles</t>
  </si>
  <si>
    <t>Supply and install steel tube piles; including a minimum of 1.5m concrete infill at the top of the pile, with the remaining 4.5m being a gravel infill; cart away inactive spoil; 6m in length; approximately 7m deep</t>
  </si>
  <si>
    <t>H16 bars 1400mm long</t>
  </si>
  <si>
    <t>Bar reinforcment, high yield steel bars, delivered to site cut, bent and labelled; minimum 650mm into cap; 3 bars per pile:</t>
  </si>
  <si>
    <t>Reinforced in situ concrete; grade RC32/40</t>
  </si>
  <si>
    <t xml:space="preserve">Thickness 750-1200mm </t>
  </si>
  <si>
    <t>300mm thick</t>
  </si>
  <si>
    <t>Trenches to suit pipes not exceeding 150mm diameter; average depth:</t>
  </si>
  <si>
    <t>Trench excavation to receive ground beams depth not exceeding:</t>
  </si>
  <si>
    <t xml:space="preserve">1.00m; average depth of 0.450mm </t>
  </si>
  <si>
    <t>Grounde beams</t>
  </si>
  <si>
    <t>Generally, thickness 450mm</t>
  </si>
  <si>
    <t>150mm thick</t>
  </si>
  <si>
    <t>150-200mm high</t>
  </si>
  <si>
    <t xml:space="preserve">150mm thick upstand all around perimeter of building </t>
  </si>
  <si>
    <t>LIFT PITS (2 NR)</t>
  </si>
  <si>
    <t>STAIRS</t>
  </si>
  <si>
    <t>REINFORCEMENT</t>
  </si>
  <si>
    <t xml:space="preserve">900mm long </t>
  </si>
  <si>
    <t xml:space="preserve">R20 Dowel bars @ 300 centres in top of pile caps </t>
  </si>
  <si>
    <t>DEEP PITS (2 NR)</t>
  </si>
  <si>
    <t>200mm high</t>
  </si>
  <si>
    <t>300mm high</t>
  </si>
  <si>
    <t>Reinforced in situ concrete; mix RC32/40</t>
  </si>
  <si>
    <t>200mm thick</t>
  </si>
  <si>
    <t>DAMP PROOF MEMBRANE</t>
  </si>
  <si>
    <t>Thickness 200mm</t>
  </si>
  <si>
    <t>RC SHEAR WALLS</t>
  </si>
  <si>
    <t xml:space="preserve">Vertical surface </t>
  </si>
  <si>
    <t>In situ concrete; grade RC32/40</t>
  </si>
  <si>
    <t>RC shear walls; poured against formwork</t>
  </si>
  <si>
    <t>Generally, thickness 250mm</t>
  </si>
  <si>
    <t xml:space="preserve">Fabric reinforcement with spacers and tying wire, laid horizontally with 1 layer of mesh to all faces top and bottom </t>
  </si>
  <si>
    <t xml:space="preserve">Checker plate; 75mm overlap </t>
  </si>
  <si>
    <t>Visqueen dpm 2000g; 150mm side and end laps:</t>
  </si>
  <si>
    <t xml:space="preserve">Visqueen dpm 2000g; complete coverage to all sides and bottom of pits; 150mm lap to be tied in with ground floor dpm </t>
  </si>
  <si>
    <t>Lay type 1 stonedust; well compacted in layers:</t>
  </si>
  <si>
    <t>EXPANSION JOINT</t>
  </si>
  <si>
    <t>Thickness 25mm</t>
  </si>
  <si>
    <t xml:space="preserve">Compressible fillerboard; sealed with polysulphide sealant </t>
  </si>
  <si>
    <t>One layer of fabric reinforcement with spacers and tying wire, laid horizontally and discontinued at expansion joint:</t>
  </si>
  <si>
    <t>Expandafoam to fill saw cut joint; sealed with polysulphide sealant</t>
  </si>
  <si>
    <t>Reinforcement</t>
  </si>
  <si>
    <t>12 diameter dowel in centre of slab at 600 centres; debonded over two thirds of the length</t>
  </si>
  <si>
    <t>900mm long</t>
  </si>
  <si>
    <t>Excavation to remove 1.8m of hazardous waste; depth not exceeding:</t>
  </si>
  <si>
    <t>6F5</t>
  </si>
  <si>
    <t>Filled into oversite; by machine; compacting in layers; 300mm thick</t>
  </si>
  <si>
    <t>Filled into oversite; by machine; compacting in layers; 1500mm thick</t>
  </si>
  <si>
    <t>Site Manager</t>
  </si>
  <si>
    <t>Engineer</t>
  </si>
  <si>
    <t>Security</t>
  </si>
  <si>
    <t>Heras fencing</t>
  </si>
  <si>
    <t>wk</t>
  </si>
  <si>
    <t>Roadsweeping</t>
  </si>
  <si>
    <t>day</t>
  </si>
  <si>
    <t>2000mm wide</t>
  </si>
  <si>
    <t>Combined service trench - excavate trench for gas, water and BT, including sand bed, and backfilling with excavated material:</t>
  </si>
  <si>
    <t>450mm high</t>
  </si>
  <si>
    <t xml:space="preserve">RC shear walls from the top of the pile caps to a 150mm upstand </t>
  </si>
  <si>
    <t>Saw-cut joint</t>
  </si>
  <si>
    <t>Allowances/Assumptions</t>
  </si>
  <si>
    <t xml:space="preserve">Drawings </t>
  </si>
  <si>
    <t>Site supervisor</t>
  </si>
  <si>
    <t>Preliminaries</t>
  </si>
  <si>
    <t>Measured Works:</t>
  </si>
  <si>
    <t>Piling Mat</t>
  </si>
  <si>
    <t>Piling</t>
  </si>
  <si>
    <t>Pile Caps</t>
  </si>
  <si>
    <t>Lift Pits</t>
  </si>
  <si>
    <t>Deep Pits</t>
  </si>
  <si>
    <t>Ground Beams</t>
  </si>
  <si>
    <t>Stairs</t>
  </si>
  <si>
    <t>Foul Runs</t>
  </si>
  <si>
    <t>Foul Manholes</t>
  </si>
  <si>
    <t>Incoming Services</t>
  </si>
  <si>
    <t>RC Shear Walls</t>
  </si>
  <si>
    <t>Ground Floor Slab</t>
  </si>
  <si>
    <t>Risks</t>
  </si>
  <si>
    <t>Dayworks (Provisional)</t>
  </si>
  <si>
    <t>Total Sum</t>
  </si>
  <si>
    <t>9. MAIN CONTRACTOR'S PRELIMINARIES</t>
  </si>
  <si>
    <t xml:space="preserve">9.2.2 Site Establishment </t>
  </si>
  <si>
    <t>Signs and notices</t>
  </si>
  <si>
    <t>2 No Safestore - 20ft x 8ft (15m2)</t>
  </si>
  <si>
    <t>Fire extinguishers</t>
  </si>
  <si>
    <t>Kitchen with cooker, fridge, sink, water heater; 32ft x 10ft</t>
  </si>
  <si>
    <t>Mess room with wash basin, water heater, setaing; 16ft x 7ft</t>
  </si>
  <si>
    <t>Toilets - fitted to mains; three pan unit</t>
  </si>
  <si>
    <t>Haulage to and from site; site office, storage sheds, toilets</t>
  </si>
  <si>
    <t>Labour Costs</t>
  </si>
  <si>
    <t>Fencing</t>
  </si>
  <si>
    <t>Office Cabin - 32ft x 10ft (30m2)</t>
  </si>
  <si>
    <t>RISKS</t>
  </si>
  <si>
    <t>SITE CLEARANCE - HAZARDOUS WASTE</t>
  </si>
  <si>
    <t>1.1.2 Specialist Foundations</t>
  </si>
  <si>
    <t>Enabling Works</t>
  </si>
  <si>
    <t xml:space="preserve">Supply and lay imported hardcore into oversite to form piling mat; by machine; compacting in layers; average 150mm thick </t>
  </si>
  <si>
    <t>Piling Mat - 1,128m2</t>
  </si>
  <si>
    <t>Area of MOT Type 1</t>
  </si>
  <si>
    <t>Max 63kg/m; 250/244mm dia. Steel tube piles</t>
  </si>
  <si>
    <t>Single Pile Caps</t>
  </si>
  <si>
    <t>4/</t>
  </si>
  <si>
    <t>Single Pile Caps - 750x750x750</t>
  </si>
  <si>
    <t>Exacavtion</t>
  </si>
  <si>
    <t xml:space="preserve">750mm depth + 50mm blinding </t>
  </si>
  <si>
    <t xml:space="preserve">Double Pile Caps (Standard) </t>
  </si>
  <si>
    <t>1300x750x750</t>
  </si>
  <si>
    <t>750mm depth + 50mm blinding</t>
  </si>
  <si>
    <t>8/</t>
  </si>
  <si>
    <t>Double Pile Caps (Type A)</t>
  </si>
  <si>
    <t>1300x1100x750</t>
  </si>
  <si>
    <t>11/</t>
  </si>
  <si>
    <t>10/</t>
  </si>
  <si>
    <t xml:space="preserve">Area </t>
  </si>
  <si>
    <t>((0.341+1.3)/2)*0.802 = 0.658041</t>
  </si>
  <si>
    <t>0.448 x 1.3 = 0.5824</t>
  </si>
  <si>
    <t>Total area of each triple = 1.24m2</t>
  </si>
  <si>
    <t>Triple Pile Caps - 1.24m2 x 0.75mm</t>
  </si>
  <si>
    <t>Pile Cap Under Lift Pits</t>
  </si>
  <si>
    <t>7900x6580x1200</t>
  </si>
  <si>
    <t>Pile Cap Under Deep Pits</t>
  </si>
  <si>
    <t xml:space="preserve">69.56m2 x 1.2m </t>
  </si>
  <si>
    <t>Total Pile Cap Excavation</t>
  </si>
  <si>
    <t xml:space="preserve">m3 </t>
  </si>
  <si>
    <t xml:space="preserve">Working Space </t>
  </si>
  <si>
    <t>500mm</t>
  </si>
  <si>
    <t xml:space="preserve">m each side </t>
  </si>
  <si>
    <t>m total</t>
  </si>
  <si>
    <t xml:space="preserve">m2 </t>
  </si>
  <si>
    <t>2/</t>
  </si>
  <si>
    <t>Triple Pile Caps</t>
  </si>
  <si>
    <t xml:space="preserve">500-700mm </t>
  </si>
  <si>
    <t xml:space="preserve">m </t>
  </si>
  <si>
    <t>m3  Total Working Space</t>
  </si>
  <si>
    <t xml:space="preserve">Compaction </t>
  </si>
  <si>
    <t>Single Pile Caps with Working S.</t>
  </si>
  <si>
    <t xml:space="preserve">m2 working space </t>
  </si>
  <si>
    <t>m2 per triple pile caps</t>
  </si>
  <si>
    <t xml:space="preserve">m2 Total Compaction </t>
  </si>
  <si>
    <t xml:space="preserve">Excavate working space for pile caps, backfilling with excavated materiall; </t>
  </si>
  <si>
    <t>Off site disposal of material arising from piling works</t>
  </si>
  <si>
    <t xml:space="preserve">PILING </t>
  </si>
  <si>
    <t>Disposal of excavated material</t>
  </si>
  <si>
    <r>
      <t>3.14*0.25</t>
    </r>
    <r>
      <rPr>
        <sz val="11"/>
        <color theme="1"/>
        <rFont val="Calibri"/>
        <family val="2"/>
      </rPr>
      <t>²*6 = 1.18m3 per pile</t>
    </r>
  </si>
  <si>
    <t xml:space="preserve">Formwork </t>
  </si>
  <si>
    <t xml:space="preserve"> </t>
  </si>
  <si>
    <t>m2 per single pile cap</t>
  </si>
  <si>
    <t>Double Pile Caps (Standard)</t>
  </si>
  <si>
    <t>m2 per double standard pile cap</t>
  </si>
  <si>
    <t>m2 per double type A pile cap</t>
  </si>
  <si>
    <t>m2 per triple pile cap</t>
  </si>
  <si>
    <t>m2 pile cap under deep pit</t>
  </si>
  <si>
    <t xml:space="preserve">m2 total 800mm formwork </t>
  </si>
  <si>
    <t>m2 total 1250mm formwork</t>
  </si>
  <si>
    <t>800mm high</t>
  </si>
  <si>
    <t>1250mm high (lift pits)</t>
  </si>
  <si>
    <t>3 No H16 bars per each pile</t>
  </si>
  <si>
    <t xml:space="preserve">H16 bars 1400mm long </t>
  </si>
  <si>
    <t xml:space="preserve">H16 bars 1.58kg/m </t>
  </si>
  <si>
    <t xml:space="preserve">kg total </t>
  </si>
  <si>
    <t>Blinding</t>
  </si>
  <si>
    <t>Double Standard Pile Caps</t>
  </si>
  <si>
    <t>Double Type A Pile Caps</t>
  </si>
  <si>
    <t>Pile Cap Under Deep Pit</t>
  </si>
  <si>
    <t>m3 Total Blinding</t>
  </si>
  <si>
    <t xml:space="preserve">Concrete </t>
  </si>
  <si>
    <t>m3 Total Concrete</t>
  </si>
  <si>
    <t>Excavation</t>
  </si>
  <si>
    <t>LIFT PITS - 2.85x3.9x1.3</t>
  </si>
  <si>
    <t xml:space="preserve">(300mm base was included in </t>
  </si>
  <si>
    <t>pile cap excavation)</t>
  </si>
  <si>
    <t>Working Space - 700mm</t>
  </si>
  <si>
    <t xml:space="preserve">Pits 700mm </t>
  </si>
  <si>
    <t xml:space="preserve">m3 total working space </t>
  </si>
  <si>
    <t>m2 total compaction</t>
  </si>
  <si>
    <t>Formwork to general finish; with timber earthwork support</t>
  </si>
  <si>
    <t>Formwork</t>
  </si>
  <si>
    <t>Perimeter of lift pits</t>
  </si>
  <si>
    <t xml:space="preserve">2/ </t>
  </si>
  <si>
    <t>m to edges of beds</t>
  </si>
  <si>
    <t xml:space="preserve">To external walls </t>
  </si>
  <si>
    <t xml:space="preserve">To internal walls </t>
  </si>
  <si>
    <t xml:space="preserve">4/ </t>
  </si>
  <si>
    <t>m2 total formwork to lift pits</t>
  </si>
  <si>
    <t xml:space="preserve">Lift Pit Liner </t>
  </si>
  <si>
    <t>m2 total liner</t>
  </si>
  <si>
    <t>Bed</t>
  </si>
  <si>
    <t>Dividng wall</t>
  </si>
  <si>
    <t xml:space="preserve">Thickness 200 - 250mm </t>
  </si>
  <si>
    <t xml:space="preserve">m3 total concrete walls </t>
  </si>
  <si>
    <t xml:space="preserve">Excavation </t>
  </si>
  <si>
    <t>m3 total excavation</t>
  </si>
  <si>
    <t>m total perimeter</t>
  </si>
  <si>
    <t xml:space="preserve">Working Space - 700mm </t>
  </si>
  <si>
    <t>m3 total working space</t>
  </si>
  <si>
    <t>Compaction</t>
  </si>
  <si>
    <t xml:space="preserve">Pit One </t>
  </si>
  <si>
    <t>Pit Two</t>
  </si>
  <si>
    <t xml:space="preserve">m2 total compaction </t>
  </si>
  <si>
    <t>Formwork to general finish; including timber earthwork support</t>
  </si>
  <si>
    <t>Damp proof membranes</t>
  </si>
  <si>
    <t>Pit One</t>
  </si>
  <si>
    <t>150mm lap</t>
  </si>
  <si>
    <t>m2 DPM Pit one</t>
  </si>
  <si>
    <t>150mm overlap</t>
  </si>
  <si>
    <t>m2 DPM pit two</t>
  </si>
  <si>
    <t xml:space="preserve">m2 total DPM </t>
  </si>
  <si>
    <t>Bed perimeter</t>
  </si>
  <si>
    <t>m total formwork to beds</t>
  </si>
  <si>
    <t>Pit One - 1300x1300x1100</t>
  </si>
  <si>
    <t>Pit Two - 1900x1300x1100</t>
  </si>
  <si>
    <t>m2 overlap</t>
  </si>
  <si>
    <t>m2 total formwork</t>
  </si>
  <si>
    <t xml:space="preserve">50mm coverage </t>
  </si>
  <si>
    <t xml:space="preserve">2 layers A393 mesh  </t>
  </si>
  <si>
    <t>m2 total reinforcement</t>
  </si>
  <si>
    <t>Sheet A393 - 2.4x4.8m</t>
  </si>
  <si>
    <t>20% overlap and wastage</t>
  </si>
  <si>
    <t>9.216m2 per sheet</t>
  </si>
  <si>
    <t xml:space="preserve">3 sheets required </t>
  </si>
  <si>
    <t>Galvanised angle</t>
  </si>
  <si>
    <t>m total length</t>
  </si>
  <si>
    <t xml:space="preserve">100x100 Galvanised angle 6mm with fish tangs all around </t>
  </si>
  <si>
    <t>Checker Plate</t>
  </si>
  <si>
    <t>75mm overlap</t>
  </si>
  <si>
    <t>Concrete</t>
  </si>
  <si>
    <t xml:space="preserve"> m3 total beds</t>
  </si>
  <si>
    <t>m3 total walls</t>
  </si>
  <si>
    <t>150mm granular bed and 150mm coverings to pipes:</t>
  </si>
  <si>
    <t xml:space="preserve">UPVC connectors </t>
  </si>
  <si>
    <t>UPVC junctions</t>
  </si>
  <si>
    <t>200mm diameter</t>
  </si>
  <si>
    <t>200mm diameter; pipe bedding</t>
  </si>
  <si>
    <t>Ducting 110mm</t>
  </si>
  <si>
    <t>Electric</t>
  </si>
  <si>
    <t xml:space="preserve">123.61m </t>
  </si>
  <si>
    <t xml:space="preserve">Working space - 700mm </t>
  </si>
  <si>
    <t xml:space="preserve">Blinding </t>
  </si>
  <si>
    <t>m3 total concrete</t>
  </si>
  <si>
    <t>Type 1</t>
  </si>
  <si>
    <t>DPM</t>
  </si>
  <si>
    <t>1022.24m2</t>
  </si>
  <si>
    <t>150.15m perimeter</t>
  </si>
  <si>
    <t>One layer of A393 mesh</t>
  </si>
  <si>
    <t xml:space="preserve">111 sheets required </t>
  </si>
  <si>
    <t>Upstand</t>
  </si>
  <si>
    <t>Perimeter</t>
  </si>
  <si>
    <t>TOTAL SUM</t>
  </si>
  <si>
    <t>Storm Runs</t>
  </si>
  <si>
    <t>Storm Manholes</t>
  </si>
  <si>
    <t>Disposal of materials arising</t>
  </si>
  <si>
    <t xml:space="preserve">Wheel washing </t>
  </si>
  <si>
    <t>days</t>
  </si>
  <si>
    <t>Allowed for a piling mat 150mm thick</t>
  </si>
  <si>
    <t>Allowed for CBR testing of the piling mat</t>
  </si>
  <si>
    <t>Allowed for off-site disposal within 5km of the site</t>
  </si>
  <si>
    <t>Assumed the FFL is the same as the existing ground level (7.200m)</t>
  </si>
  <si>
    <t>Allowed for entry points into the building</t>
  </si>
  <si>
    <t>Allowed for 130m of ducting</t>
  </si>
  <si>
    <t>Allowed for 64m of new electircity supply</t>
  </si>
  <si>
    <t>Allowed for concrete cube testing</t>
  </si>
  <si>
    <t>Allowed for a power floated finish to the GF Slab</t>
  </si>
  <si>
    <t>Allowed for a GRP lift pit liner</t>
  </si>
  <si>
    <t>Assumed the staircase have a width of 900mm</t>
  </si>
  <si>
    <t>Allowed for DPM to the GF Slab</t>
  </si>
  <si>
    <t>Allowed for DPM to the deep pits</t>
  </si>
  <si>
    <t>Allowed for 150mm upstand of the RC shear walls</t>
  </si>
  <si>
    <t xml:space="preserve">Assumed for 50mm coverage of the steel </t>
  </si>
  <si>
    <t>Assumed for 6mm galvanised angle to the deep pit</t>
  </si>
  <si>
    <t>Assumed spec and diameter of all drainage</t>
  </si>
  <si>
    <t>Allowed for 72m of foul runs</t>
  </si>
  <si>
    <t>Allowed for 141m of storm runs</t>
  </si>
  <si>
    <t>Allowed for 3 Nr foul manholes</t>
  </si>
  <si>
    <t>Allowed for 4 Nr storm manholes</t>
  </si>
  <si>
    <t>Assumed depth of all drainage</t>
  </si>
  <si>
    <t>Allowed for 4m of a door opening, where the ground floor slab increases to 200mm with 2 layers of A393 mesh</t>
  </si>
  <si>
    <t>Allowed for a risk allowance of hazardous waste. Given the ground conditions and location</t>
  </si>
  <si>
    <t>Allowed for steel tube piles 6m in depth</t>
  </si>
  <si>
    <t>Allowed for pile testing of each of the piles</t>
  </si>
  <si>
    <t>Allowed for RC32/40 TOPPROOF waterproof concrete for the lift pits</t>
  </si>
  <si>
    <t xml:space="preserve">Allowed for a 75mm overlap of the checker plate </t>
  </si>
  <si>
    <t>Allowed for a 3mm checker plater</t>
  </si>
  <si>
    <t>Allowed for a 150mm bed and covering to all drainage pipes</t>
  </si>
  <si>
    <t>Library Building Ground Floor Layout rev C5</t>
  </si>
  <si>
    <t>Library Building Sub-structure Section Rev C6</t>
  </si>
  <si>
    <t>Library Building Foundation Layout Rev C7</t>
  </si>
  <si>
    <t>CG1000</t>
  </si>
  <si>
    <t>Existing and Proposed Drainage</t>
  </si>
  <si>
    <t>Library Building Piling Layout Rev 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</si>
</sst>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.00"/>
  </numFmts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sz val="11"/>
      <color theme="1"/>
      <name val="Arial"/>
      <family val="2"/>
    </font>
    <font>
      <b/>
      <sz val="48"/>
      <color theme="1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u/>
      <sz val="10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51">
    <xf numFmtId="0" fontId="0" fillId="0" borderId="0" xfId="0"/>
    <xf numFmtId="0" fontId="1" fillId="0" borderId="0" xfId="1" applyFont="1"/>
    <xf numFmtId="0" fontId="3" fillId="0" borderId="2" xfId="1" applyFont="1" applyBorder="1" applyAlignment="1">
      <alignment horizontal="center" wrapText="1"/>
    </xf>
    <xf numFmtId="0" fontId="3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0" fillId="0" borderId="0" xfId="0"/>
    <xf numFmtId="0" fontId="2" fillId="0" borderId="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44" fontId="3" fillId="0" borderId="3" xfId="1" applyNumberFormat="1" applyFont="1" applyBorder="1" applyAlignment="1">
      <alignment horizontal="center" vertical="center" wrapText="1"/>
    </xf>
    <xf numFmtId="44" fontId="1" fillId="0" borderId="0" xfId="1" applyNumberFormat="1" applyFont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wrapText="1"/>
    </xf>
    <xf numFmtId="0" fontId="3" fillId="0" borderId="5" xfId="1" applyFont="1" applyBorder="1" applyAlignment="1">
      <alignment horizontal="center" vertical="center" wrapText="1"/>
    </xf>
    <xf numFmtId="44" fontId="3" fillId="0" borderId="6" xfId="1" applyNumberFormat="1" applyFont="1" applyBorder="1" applyAlignment="1">
      <alignment horizontal="center" vertical="center" wrapText="1"/>
    </xf>
    <xf numFmtId="0" fontId="0" fillId="0" borderId="0" xfId="0"/>
    <xf numFmtId="0" fontId="2" fillId="0" borderId="5" xfId="1" applyFont="1" applyFill="1" applyBorder="1" applyAlignment="1">
      <alignment vertical="top" wrapText="1"/>
    </xf>
    <xf numFmtId="0" fontId="2" fillId="0" borderId="5" xfId="0" applyFont="1" applyFill="1" applyBorder="1" applyAlignment="1">
      <alignment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44" fontId="3" fillId="0" borderId="6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/>
    </xf>
    <xf numFmtId="44" fontId="3" fillId="0" borderId="9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wrapText="1"/>
    </xf>
    <xf numFmtId="0" fontId="4" fillId="0" borderId="5" xfId="1" quotePrefix="1" applyFont="1" applyFill="1" applyBorder="1" applyAlignment="1">
      <alignment vertical="top" wrapText="1"/>
    </xf>
    <xf numFmtId="44" fontId="2" fillId="0" borderId="6" xfId="0" applyNumberFormat="1" applyFont="1" applyFill="1" applyBorder="1" applyAlignment="1">
      <alignment horizontal="right" vertical="center"/>
    </xf>
    <xf numFmtId="0" fontId="2" fillId="0" borderId="5" xfId="1" quotePrefix="1" applyFont="1" applyFill="1" applyBorder="1" applyAlignment="1">
      <alignment vertical="top" wrapText="1"/>
    </xf>
    <xf numFmtId="2" fontId="2" fillId="0" borderId="5" xfId="1" applyNumberFormat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44" fontId="3" fillId="0" borderId="10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left" wrapText="1"/>
    </xf>
    <xf numFmtId="44" fontId="2" fillId="0" borderId="5" xfId="0" applyNumberFormat="1" applyFont="1" applyBorder="1"/>
    <xf numFmtId="0" fontId="2" fillId="0" borderId="5" xfId="0" applyFont="1" applyBorder="1" applyAlignment="1">
      <alignment horizontal="left" wrapText="1"/>
    </xf>
    <xf numFmtId="44" fontId="2" fillId="0" borderId="5" xfId="0" applyNumberFormat="1" applyFont="1" applyBorder="1" applyAlignment="1">
      <alignment vertical="top"/>
    </xf>
    <xf numFmtId="0" fontId="11" fillId="0" borderId="10" xfId="0" applyFont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44" fontId="11" fillId="0" borderId="10" xfId="0" applyNumberFormat="1" applyFont="1" applyBorder="1" applyAlignment="1">
      <alignment vertical="top" wrapText="1"/>
    </xf>
    <xf numFmtId="0" fontId="0" fillId="0" borderId="10" xfId="0" applyBorder="1"/>
    <xf numFmtId="0" fontId="5" fillId="0" borderId="10" xfId="0" applyFont="1" applyBorder="1" applyAlignment="1">
      <alignment wrapText="1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6" xfId="0" applyBorder="1" applyAlignment="1">
      <alignment vertical="center"/>
    </xf>
    <xf numFmtId="0" fontId="5" fillId="0" borderId="0" xfId="0" applyFont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15" fillId="0" borderId="5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16" fillId="0" borderId="5" xfId="1" applyFont="1" applyFill="1" applyBorder="1" applyAlignment="1">
      <alignment vertical="top" wrapText="1"/>
    </xf>
    <xf numFmtId="0" fontId="16" fillId="0" borderId="5" xfId="1" quotePrefix="1" applyFont="1" applyFill="1" applyBorder="1" applyAlignment="1">
      <alignment vertical="top" wrapText="1"/>
    </xf>
    <xf numFmtId="0" fontId="3" fillId="0" borderId="5" xfId="1" applyFont="1" applyFill="1" applyBorder="1" applyAlignment="1">
      <alignment vertical="top" wrapText="1"/>
    </xf>
    <xf numFmtId="0" fontId="15" fillId="0" borderId="5" xfId="1" quotePrefix="1" applyFont="1" applyFill="1" applyBorder="1" applyAlignment="1">
      <alignment vertical="top" wrapText="1"/>
    </xf>
    <xf numFmtId="0" fontId="13" fillId="0" borderId="0" xfId="0" applyFont="1"/>
    <xf numFmtId="0" fontId="16" fillId="0" borderId="5" xfId="0" applyFont="1" applyFill="1" applyBorder="1" applyAlignment="1">
      <alignment wrapText="1"/>
    </xf>
    <xf numFmtId="0" fontId="15" fillId="0" borderId="5" xfId="0" applyFont="1" applyFill="1" applyBorder="1" applyAlignment="1">
      <alignment wrapText="1"/>
    </xf>
    <xf numFmtId="0" fontId="15" fillId="0" borderId="5" xfId="0" applyFont="1" applyFill="1" applyBorder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left"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horizontal="left" wrapText="1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4" fontId="3" fillId="0" borderId="2" xfId="6" applyFont="1" applyBorder="1" applyAlignment="1">
      <alignment horizontal="center" vertical="center" wrapText="1"/>
    </xf>
    <xf numFmtId="44" fontId="3" fillId="0" borderId="5" xfId="6" applyFont="1" applyBorder="1" applyAlignment="1">
      <alignment horizontal="center" vertical="center" wrapText="1"/>
    </xf>
    <xf numFmtId="44" fontId="2" fillId="0" borderId="5" xfId="6" applyFont="1" applyBorder="1" applyAlignment="1">
      <alignment horizontal="center" vertical="center" wrapText="1"/>
    </xf>
    <xf numFmtId="44" fontId="2" fillId="0" borderId="5" xfId="6" applyFont="1" applyBorder="1" applyAlignment="1">
      <alignment horizontal="right" vertical="center" wrapText="1"/>
    </xf>
    <xf numFmtId="44" fontId="2" fillId="0" borderId="5" xfId="6" applyFont="1" applyFill="1" applyBorder="1" applyAlignment="1">
      <alignment horizontal="right" vertical="center" wrapText="1"/>
    </xf>
    <xf numFmtId="44" fontId="2" fillId="0" borderId="5" xfId="6" applyFont="1" applyFill="1" applyBorder="1" applyAlignment="1">
      <alignment horizontal="right" vertical="center"/>
    </xf>
    <xf numFmtId="44" fontId="3" fillId="0" borderId="5" xfId="6" applyFont="1" applyFill="1" applyBorder="1" applyAlignment="1">
      <alignment horizontal="center" vertical="center"/>
    </xf>
    <xf numFmtId="44" fontId="2" fillId="0" borderId="5" xfId="6" applyFont="1" applyFill="1" applyBorder="1" applyAlignment="1">
      <alignment horizontal="center" vertical="center"/>
    </xf>
    <xf numFmtId="44" fontId="2" fillId="0" borderId="8" xfId="6" applyFont="1" applyFill="1" applyBorder="1" applyAlignment="1">
      <alignment horizontal="center" vertical="center"/>
    </xf>
    <xf numFmtId="44" fontId="1" fillId="0" borderId="0" xfId="6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2" fontId="2" fillId="0" borderId="5" xfId="0" applyNumberFormat="1" applyFont="1" applyBorder="1" applyAlignment="1">
      <alignment horizontal="center" vertical="top"/>
    </xf>
    <xf numFmtId="44" fontId="2" fillId="0" borderId="5" xfId="6" applyFont="1" applyBorder="1"/>
    <xf numFmtId="44" fontId="2" fillId="0" borderId="5" xfId="6" applyFont="1" applyBorder="1" applyAlignment="1">
      <alignment vertical="top"/>
    </xf>
    <xf numFmtId="0" fontId="3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vertical="top" wrapText="1"/>
    </xf>
    <xf numFmtId="0" fontId="2" fillId="0" borderId="0" xfId="1" applyFont="1" applyBorder="1" applyAlignment="1">
      <alignment horizontal="center" vertical="center" wrapText="1"/>
    </xf>
    <xf numFmtId="44" fontId="2" fillId="0" borderId="0" xfId="6" applyFont="1" applyBorder="1" applyAlignment="1">
      <alignment horizontal="center" vertical="center" wrapText="1"/>
    </xf>
    <xf numFmtId="44" fontId="2" fillId="0" borderId="0" xfId="0" applyNumberFormat="1" applyFont="1" applyFill="1" applyBorder="1" applyAlignment="1">
      <alignment horizontal="right" vertical="center"/>
    </xf>
    <xf numFmtId="44" fontId="3" fillId="0" borderId="6" xfId="0" applyNumberFormat="1" applyFont="1" applyFill="1" applyBorder="1" applyAlignment="1">
      <alignment horizontal="right" vertical="center"/>
    </xf>
    <xf numFmtId="0" fontId="3" fillId="2" borderId="5" xfId="1" applyFont="1" applyFill="1" applyBorder="1" applyAlignment="1">
      <alignment vertical="top" wrapText="1"/>
    </xf>
    <xf numFmtId="0" fontId="3" fillId="3" borderId="5" xfId="1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left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16" xfId="0" applyBorder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3" fillId="3" borderId="5" xfId="1" quotePrefix="1" applyFont="1" applyFill="1" applyBorder="1" applyAlignment="1">
      <alignment vertical="top" wrapText="1"/>
    </xf>
    <xf numFmtId="2" fontId="0" fillId="0" borderId="12" xfId="0" applyNumberFormat="1" applyBorder="1" applyAlignment="1">
      <alignment vertical="center"/>
    </xf>
    <xf numFmtId="2" fontId="0" fillId="0" borderId="19" xfId="0" applyNumberForma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3" borderId="0" xfId="0" applyFill="1" applyBorder="1" applyAlignment="1">
      <alignment vertical="center" wrapText="1"/>
    </xf>
    <xf numFmtId="0" fontId="3" fillId="3" borderId="5" xfId="0" applyFont="1" applyFill="1" applyBorder="1" applyAlignment="1">
      <alignment wrapText="1"/>
    </xf>
    <xf numFmtId="0" fontId="0" fillId="3" borderId="15" xfId="0" applyFill="1" applyBorder="1" applyAlignment="1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14" fillId="3" borderId="5" xfId="0" applyFont="1" applyFill="1" applyBorder="1" applyAlignment="1">
      <alignment vertical="center" wrapText="1"/>
    </xf>
    <xf numFmtId="0" fontId="14" fillId="3" borderId="5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 wrapText="1"/>
    </xf>
    <xf numFmtId="0" fontId="14" fillId="3" borderId="15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0" fillId="0" borderId="10" xfId="0" applyBorder="1" applyAlignment="1">
      <alignment horizontal="right"/>
    </xf>
  </cellXfs>
  <cellStyles count="7">
    <cellStyle name="Comma 2" xfId="3" xr:uid="{00000000-0005-0000-0000-000000000000}"/>
    <cellStyle name="Comma 2 2" xfId="5" xr:uid="{00000000-0005-0000-0000-000001000000}"/>
    <cellStyle name="Currency" xfId="6" builtinId="4"/>
    <cellStyle name="Normal" xfId="0" builtinId="0"/>
    <cellStyle name="Normal 2" xfId="2" xr:uid="{00000000-0005-0000-0000-000003000000}"/>
    <cellStyle name="Normal 2 2" xfId="4" xr:uid="{00000000-0005-0000-0000-000004000000}"/>
    <cellStyle name="Normal 2_Lot_4B_-_Section_5_Bill_of_Quantities_in_Excel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35859</xdr:rowOff>
    </xdr:from>
    <xdr:to>
      <xdr:col>10</xdr:col>
      <xdr:colOff>0</xdr:colOff>
      <xdr:row>0</xdr:row>
      <xdr:rowOff>35859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02F5744-CF37-4FD3-A0FD-B2E7C5E60C4B}"/>
            </a:ext>
          </a:extLst>
        </xdr:cNvPr>
        <xdr:cNvCxnSpPr/>
      </xdr:nvCxnSpPr>
      <xdr:spPr>
        <a:xfrm>
          <a:off x="638175" y="35859"/>
          <a:ext cx="57435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27215</xdr:colOff>
      <xdr:row>42</xdr:row>
      <xdr:rowOff>158162</xdr:rowOff>
    </xdr:from>
    <xdr:to>
      <xdr:col>10</xdr:col>
      <xdr:colOff>27215</xdr:colOff>
      <xdr:row>42</xdr:row>
      <xdr:rowOff>158162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970E8A5-6B95-4748-B4DB-23770E1FC8E2}"/>
            </a:ext>
          </a:extLst>
        </xdr:cNvPr>
        <xdr:cNvCxnSpPr/>
      </xdr:nvCxnSpPr>
      <xdr:spPr>
        <a:xfrm>
          <a:off x="665390" y="8987837"/>
          <a:ext cx="57435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370115</xdr:colOff>
      <xdr:row>23</xdr:row>
      <xdr:rowOff>1</xdr:rowOff>
    </xdr:from>
    <xdr:to>
      <xdr:col>8</xdr:col>
      <xdr:colOff>636815</xdr:colOff>
      <xdr:row>34</xdr:row>
      <xdr:rowOff>68580</xdr:rowOff>
    </xdr:to>
    <xdr:pic>
      <xdr:nvPicPr>
        <xdr:cNvPr id="5" name="Picture 4" descr="Image result for uwtsd logo">
          <a:extLst>
            <a:ext uri="{FF2B5EF4-FFF2-40B4-BE49-F238E27FC236}">
              <a16:creationId xmlns:a16="http://schemas.microsoft.com/office/drawing/2014/main" id="{F7BBF94D-28F9-444F-AEBC-B75F09815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4629" y="5094515"/>
          <a:ext cx="4120243" cy="2104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1722120</xdr:colOff>
          <xdr:row>43</xdr:row>
          <xdr:rowOff>30480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B07EEAB5-C88F-46FA-BDEF-A649E047C7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es/Google%20Drive/Castle%20CES/0900%20-%20Sterling%20Construction/0911%20-%20Greenway%20Persimmon/CCES%20WORK/CCES%20TEPRO%20V1%20-%20803%20LIBR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3\Shared_folder\Users\james\Google%20Drive\Castle%20CES\0800%20-%20CAP%20Civil%20Engineering\0803%20-%20Springfield%20Oval\CCES%20WORK\FOR%20SENDING\CIVILS\CCES%20TEPRO%20V1%20-%20Springfield%20Oval%20Section%203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es/Google%20Drive/Castle%20CES/0800%20-%20CAP%20Civil%20Engineering/0803%20-%20Springfield%20Oval/CCES%20WORK/FOR%20SENDING/CIVILS/CCES%20TEPRO%20V1%20-%20Springfield%20Oval%20Section%203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PRO"/>
      <sheetName val="Prelim Rates"/>
      <sheetName val="Plant Rates"/>
      <sheetName val="Data Validation"/>
      <sheetName val="Sheet1"/>
    </sheetNames>
    <sheetDataSet>
      <sheetData sheetId="0"/>
      <sheetData sheetId="1"/>
      <sheetData sheetId="2"/>
      <sheetData sheetId="3">
        <row r="2">
          <cell r="A2" t="str">
            <v>Plant</v>
          </cell>
          <cell r="H2" t="str">
            <v>M3</v>
          </cell>
        </row>
        <row r="3">
          <cell r="A3" t="str">
            <v>Labour</v>
          </cell>
          <cell r="H3" t="str">
            <v>t</v>
          </cell>
        </row>
        <row r="4">
          <cell r="A4" t="str">
            <v>Materials</v>
          </cell>
          <cell r="H4" t="str">
            <v>M2</v>
          </cell>
        </row>
        <row r="5">
          <cell r="A5" t="str">
            <v>Disposal</v>
          </cell>
          <cell r="H5" t="str">
            <v>Ha</v>
          </cell>
        </row>
        <row r="6">
          <cell r="A6" t="str">
            <v>Prelim</v>
          </cell>
          <cell r="H6" t="str">
            <v>M</v>
          </cell>
        </row>
        <row r="7">
          <cell r="H7" t="str">
            <v>No.</v>
          </cell>
        </row>
        <row r="8">
          <cell r="H8" t="str">
            <v>Item</v>
          </cell>
        </row>
        <row r="9">
          <cell r="H9" t="str">
            <v>Weeks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PRO"/>
      <sheetName val="Prelim Rates"/>
      <sheetName val="Plant Rates"/>
      <sheetName val="Data Validation"/>
      <sheetName val="Sheet1"/>
    </sheetNames>
    <sheetDataSet>
      <sheetData sheetId="0"/>
      <sheetData sheetId="1"/>
      <sheetData sheetId="2"/>
      <sheetData sheetId="3">
        <row r="2">
          <cell r="A2" t="str">
            <v>Plant</v>
          </cell>
          <cell r="H2" t="str">
            <v>M3</v>
          </cell>
        </row>
        <row r="3">
          <cell r="A3" t="str">
            <v>Labour</v>
          </cell>
          <cell r="H3" t="str">
            <v>t</v>
          </cell>
        </row>
        <row r="4">
          <cell r="A4" t="str">
            <v>Materials</v>
          </cell>
          <cell r="H4" t="str">
            <v>M2</v>
          </cell>
        </row>
        <row r="5">
          <cell r="A5" t="str">
            <v>Disposal</v>
          </cell>
          <cell r="H5" t="str">
            <v>Ha</v>
          </cell>
        </row>
        <row r="6">
          <cell r="A6" t="str">
            <v>Prelim</v>
          </cell>
          <cell r="H6" t="str">
            <v>M</v>
          </cell>
        </row>
        <row r="7">
          <cell r="H7" t="str">
            <v>No.</v>
          </cell>
        </row>
        <row r="8">
          <cell r="H8" t="str">
            <v>Item</v>
          </cell>
        </row>
        <row r="9">
          <cell r="H9" t="str">
            <v>Weeks</v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PRO"/>
      <sheetName val="Prelim Rates"/>
      <sheetName val="Plant Rates"/>
      <sheetName val="Data Validation"/>
      <sheetName val="Sheet1"/>
    </sheetNames>
    <sheetDataSet>
      <sheetData sheetId="0"/>
      <sheetData sheetId="1"/>
      <sheetData sheetId="2"/>
      <sheetData sheetId="3">
        <row r="2">
          <cell r="A2" t="str">
            <v>Plant</v>
          </cell>
          <cell r="H2" t="str">
            <v>M3</v>
          </cell>
        </row>
        <row r="3">
          <cell r="A3" t="str">
            <v>Labour</v>
          </cell>
          <cell r="H3" t="str">
            <v>t</v>
          </cell>
        </row>
        <row r="4">
          <cell r="A4" t="str">
            <v>Materials</v>
          </cell>
          <cell r="H4" t="str">
            <v>M2</v>
          </cell>
        </row>
        <row r="5">
          <cell r="A5" t="str">
            <v>Disposal</v>
          </cell>
          <cell r="H5" t="str">
            <v>Ha</v>
          </cell>
        </row>
        <row r="6">
          <cell r="A6" t="str">
            <v>Prelim</v>
          </cell>
          <cell r="H6" t="str">
            <v>M</v>
          </cell>
        </row>
        <row r="7">
          <cell r="H7" t="str">
            <v>No.</v>
          </cell>
        </row>
        <row r="8">
          <cell r="H8" t="str">
            <v>Item</v>
          </cell>
        </row>
        <row r="9">
          <cell r="H9" t="str">
            <v>Weeks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.docx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363DA-73E2-4261-B631-90145FCEAB58}">
  <sheetPr>
    <pageSetUpPr fitToPage="1"/>
  </sheetPr>
  <dimension ref="E10:G32"/>
  <sheetViews>
    <sheetView tabSelected="1" showWhiteSpace="0" view="pageLayout" zoomScale="50" zoomScaleNormal="100" zoomScaleSheetLayoutView="100" zoomScalePageLayoutView="50" workbookViewId="0">
      <selection activeCell="J17" sqref="J17"/>
    </sheetView>
  </sheetViews>
  <sheetFormatPr defaultColWidth="8.88671875" defaultRowHeight="14.4" x14ac:dyDescent="0.3"/>
  <cols>
    <col min="1" max="16384" width="8.88671875" style="15"/>
  </cols>
  <sheetData>
    <row r="10" spans="5:7" ht="24.6" x14ac:dyDescent="0.4">
      <c r="F10" s="33" t="s">
        <v>9</v>
      </c>
    </row>
    <row r="12" spans="5:7" ht="24.6" x14ac:dyDescent="0.4">
      <c r="F12" s="34"/>
    </row>
    <row r="13" spans="5:7" ht="18" x14ac:dyDescent="0.35">
      <c r="E13" s="84" t="s">
        <v>121</v>
      </c>
      <c r="F13" s="84"/>
      <c r="G13" s="84"/>
    </row>
    <row r="15" spans="5:7" ht="13.95" customHeight="1" x14ac:dyDescent="0.4">
      <c r="F15" s="34"/>
    </row>
    <row r="16" spans="5:7" x14ac:dyDescent="0.3">
      <c r="F16" s="35"/>
    </row>
    <row r="17" spans="5:7" ht="60.6" x14ac:dyDescent="1">
      <c r="F17" s="36" t="s">
        <v>6</v>
      </c>
    </row>
    <row r="19" spans="5:7" x14ac:dyDescent="0.3">
      <c r="E19" s="82">
        <v>44673</v>
      </c>
      <c r="F19" s="83"/>
      <c r="G19" s="83"/>
    </row>
    <row r="23" spans="5:7" x14ac:dyDescent="0.3">
      <c r="F23" s="37"/>
    </row>
    <row r="27" spans="5:7" x14ac:dyDescent="0.3">
      <c r="F27"/>
    </row>
    <row r="32" spans="5:7" x14ac:dyDescent="0.3">
      <c r="F32" s="37"/>
    </row>
  </sheetData>
  <mergeCells count="2">
    <mergeCell ref="E19:G19"/>
    <mergeCell ref="E13:G13"/>
  </mergeCells>
  <pageMargins left="0.23622047244094488" right="0.23622047244094488" top="0.94488188976377951" bottom="0.94488188976377951" header="0.31496062992125984" footer="0.31496062992125984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68D6B-EC3C-4223-8B0C-90B9792CC0B8}">
  <dimension ref="A1:H51"/>
  <sheetViews>
    <sheetView view="pageLayout" topLeftCell="A21" zoomScaleNormal="100" workbookViewId="0">
      <selection activeCell="J36" sqref="J36"/>
    </sheetView>
  </sheetViews>
  <sheetFormatPr defaultColWidth="9.109375" defaultRowHeight="14.4" x14ac:dyDescent="0.3"/>
  <cols>
    <col min="1" max="3" width="5.88671875" style="53" customWidth="1"/>
    <col min="4" max="4" width="26.5546875" style="54" customWidth="1"/>
    <col min="5" max="7" width="6" style="53" customWidth="1"/>
    <col min="8" max="8" width="25.109375" style="53" customWidth="1"/>
    <col min="9" max="16384" width="9.109375" style="53"/>
  </cols>
  <sheetData>
    <row r="1" spans="1:8" x14ac:dyDescent="0.3">
      <c r="A1" s="95"/>
      <c r="B1" s="95"/>
      <c r="C1" s="95"/>
      <c r="D1" s="96"/>
      <c r="E1" s="95"/>
      <c r="F1" s="95"/>
      <c r="G1" s="95"/>
      <c r="H1" s="95"/>
    </row>
    <row r="2" spans="1:8" x14ac:dyDescent="0.3">
      <c r="A2" s="95"/>
      <c r="B2" s="95"/>
      <c r="C2" s="95"/>
      <c r="D2" s="96"/>
      <c r="E2" s="95"/>
      <c r="F2" s="95"/>
      <c r="G2" s="95"/>
      <c r="H2" s="96"/>
    </row>
    <row r="3" spans="1:8" ht="14.25" customHeight="1" x14ac:dyDescent="0.3">
      <c r="A3" s="95"/>
      <c r="B3" s="95"/>
      <c r="C3" s="95"/>
      <c r="D3" s="95"/>
      <c r="E3" s="95"/>
      <c r="F3" s="95"/>
      <c r="G3" s="95"/>
      <c r="H3" s="97"/>
    </row>
    <row r="4" spans="1:8" ht="15" customHeight="1" x14ac:dyDescent="0.3">
      <c r="A4" s="95"/>
      <c r="B4" s="95"/>
      <c r="C4" s="95"/>
      <c r="D4" s="95"/>
      <c r="E4" s="95"/>
      <c r="F4" s="95"/>
      <c r="G4" s="95"/>
      <c r="H4" s="97"/>
    </row>
    <row r="5" spans="1:8" ht="18.75" customHeight="1" x14ac:dyDescent="0.3">
      <c r="A5" s="95"/>
      <c r="B5" s="95"/>
      <c r="C5" s="95"/>
      <c r="D5" s="95"/>
      <c r="E5" s="95"/>
      <c r="F5" s="95"/>
      <c r="G5" s="95"/>
      <c r="H5" s="97"/>
    </row>
    <row r="6" spans="1:8" x14ac:dyDescent="0.3">
      <c r="A6" s="95"/>
      <c r="B6" s="95"/>
      <c r="C6" s="95"/>
      <c r="D6" s="95"/>
      <c r="E6" s="95"/>
      <c r="F6" s="95"/>
      <c r="G6" s="95"/>
      <c r="H6" s="97"/>
    </row>
    <row r="7" spans="1:8" ht="15" customHeight="1" x14ac:dyDescent="0.3">
      <c r="A7" s="95"/>
      <c r="B7" s="95"/>
      <c r="C7" s="95"/>
      <c r="D7" s="95"/>
      <c r="E7" s="95"/>
      <c r="F7" s="95"/>
      <c r="G7" s="95"/>
      <c r="H7" s="97"/>
    </row>
    <row r="8" spans="1:8" x14ac:dyDescent="0.3">
      <c r="A8" s="95"/>
      <c r="B8" s="95"/>
      <c r="C8" s="95"/>
      <c r="D8" s="95"/>
      <c r="E8" s="95"/>
      <c r="F8" s="95"/>
      <c r="G8" s="95"/>
      <c r="H8" s="97"/>
    </row>
    <row r="9" spans="1:8" x14ac:dyDescent="0.3">
      <c r="A9" s="95"/>
      <c r="B9" s="95"/>
      <c r="C9" s="95"/>
      <c r="D9" s="95"/>
      <c r="E9" s="95"/>
      <c r="F9" s="95"/>
      <c r="G9" s="95"/>
      <c r="H9" s="97"/>
    </row>
    <row r="10" spans="1:8" x14ac:dyDescent="0.3">
      <c r="A10" s="95"/>
      <c r="B10" s="95"/>
      <c r="C10" s="95"/>
      <c r="D10" s="95"/>
      <c r="E10" s="95"/>
      <c r="F10" s="95"/>
      <c r="G10" s="95"/>
      <c r="H10" s="97"/>
    </row>
    <row r="11" spans="1:8" x14ac:dyDescent="0.3">
      <c r="A11" s="95"/>
      <c r="B11" s="95"/>
      <c r="C11" s="95"/>
      <c r="D11" s="95"/>
      <c r="E11" s="95"/>
      <c r="F11" s="95"/>
      <c r="G11" s="95"/>
      <c r="H11" s="97"/>
    </row>
    <row r="12" spans="1:8" x14ac:dyDescent="0.3">
      <c r="A12" s="95"/>
      <c r="B12" s="95"/>
      <c r="C12" s="95"/>
      <c r="D12" s="95"/>
      <c r="E12" s="95"/>
      <c r="F12" s="95"/>
      <c r="G12" s="95"/>
      <c r="H12" s="97"/>
    </row>
    <row r="13" spans="1:8" x14ac:dyDescent="0.3">
      <c r="A13" s="95"/>
      <c r="B13" s="95"/>
      <c r="C13" s="95"/>
      <c r="D13" s="95"/>
      <c r="E13" s="95"/>
      <c r="F13" s="95"/>
      <c r="G13" s="95"/>
      <c r="H13" s="97"/>
    </row>
    <row r="14" spans="1:8" x14ac:dyDescent="0.3">
      <c r="A14" s="95"/>
      <c r="B14" s="95"/>
      <c r="C14" s="95"/>
      <c r="D14" s="95"/>
      <c r="E14" s="95"/>
      <c r="F14" s="95"/>
      <c r="G14" s="95"/>
      <c r="H14" s="97"/>
    </row>
    <row r="15" spans="1:8" x14ac:dyDescent="0.3">
      <c r="A15" s="95"/>
      <c r="B15" s="95"/>
      <c r="C15" s="95"/>
      <c r="D15" s="95"/>
      <c r="E15" s="95"/>
      <c r="F15" s="95"/>
      <c r="G15" s="95"/>
      <c r="H15" s="97"/>
    </row>
    <row r="16" spans="1:8" x14ac:dyDescent="0.3">
      <c r="A16" s="95"/>
      <c r="B16" s="95"/>
      <c r="C16" s="95"/>
      <c r="D16" s="95"/>
      <c r="E16" s="95"/>
      <c r="F16" s="95"/>
      <c r="G16" s="95"/>
      <c r="H16" s="97"/>
    </row>
    <row r="17" spans="1:8" x14ac:dyDescent="0.3">
      <c r="A17" s="95"/>
      <c r="B17" s="95"/>
      <c r="C17" s="95"/>
      <c r="D17" s="95"/>
      <c r="E17" s="95"/>
      <c r="F17" s="95"/>
      <c r="G17" s="95"/>
      <c r="H17" s="97"/>
    </row>
    <row r="18" spans="1:8" x14ac:dyDescent="0.3">
      <c r="A18" s="95"/>
      <c r="B18" s="95"/>
      <c r="C18" s="95"/>
      <c r="D18" s="95"/>
      <c r="E18" s="95"/>
      <c r="F18" s="95"/>
      <c r="G18" s="95"/>
      <c r="H18" s="97"/>
    </row>
    <row r="19" spans="1:8" x14ac:dyDescent="0.3">
      <c r="A19" s="95"/>
      <c r="B19" s="95"/>
      <c r="C19" s="95"/>
      <c r="D19" s="95"/>
      <c r="E19" s="95"/>
      <c r="F19" s="95"/>
      <c r="G19" s="95"/>
      <c r="H19" s="97"/>
    </row>
    <row r="20" spans="1:8" ht="17.25" customHeight="1" x14ac:dyDescent="0.3">
      <c r="A20" s="95"/>
      <c r="B20" s="95"/>
      <c r="C20" s="95"/>
      <c r="D20" s="95"/>
      <c r="E20" s="95"/>
      <c r="F20" s="95"/>
      <c r="G20" s="95"/>
      <c r="H20" s="97"/>
    </row>
    <row r="21" spans="1:8" x14ac:dyDescent="0.3">
      <c r="A21" s="95"/>
      <c r="B21" s="95"/>
      <c r="C21" s="95"/>
      <c r="D21" s="95"/>
      <c r="E21" s="95"/>
      <c r="F21" s="95"/>
      <c r="G21" s="95"/>
      <c r="H21" s="97"/>
    </row>
    <row r="22" spans="1:8" x14ac:dyDescent="0.3">
      <c r="A22" s="95"/>
      <c r="B22" s="95"/>
      <c r="C22" s="95"/>
      <c r="D22" s="95"/>
      <c r="E22" s="95"/>
      <c r="F22" s="95"/>
      <c r="G22" s="95"/>
      <c r="H22" s="97"/>
    </row>
    <row r="23" spans="1:8" x14ac:dyDescent="0.3">
      <c r="A23" s="95"/>
      <c r="B23" s="95"/>
      <c r="C23" s="95"/>
      <c r="D23" s="95"/>
      <c r="E23" s="95"/>
      <c r="F23" s="95"/>
      <c r="G23" s="95"/>
      <c r="H23" s="97"/>
    </row>
    <row r="24" spans="1:8" x14ac:dyDescent="0.3">
      <c r="A24" s="95"/>
      <c r="B24" s="95"/>
      <c r="C24" s="95"/>
      <c r="D24" s="95"/>
      <c r="E24" s="95"/>
      <c r="F24" s="95"/>
      <c r="G24" s="95"/>
      <c r="H24" s="97"/>
    </row>
    <row r="25" spans="1:8" x14ac:dyDescent="0.3">
      <c r="A25" s="95"/>
      <c r="B25" s="95"/>
      <c r="C25" s="95"/>
      <c r="D25" s="95"/>
      <c r="E25" s="95"/>
      <c r="F25" s="95"/>
      <c r="G25" s="95"/>
      <c r="H25" s="97"/>
    </row>
    <row r="26" spans="1:8" x14ac:dyDescent="0.3">
      <c r="A26" s="95"/>
      <c r="B26" s="95"/>
      <c r="C26" s="95"/>
      <c r="D26" s="95"/>
      <c r="E26" s="95"/>
      <c r="F26" s="95"/>
      <c r="G26" s="95"/>
      <c r="H26" s="97"/>
    </row>
    <row r="27" spans="1:8" x14ac:dyDescent="0.3">
      <c r="A27" s="95"/>
      <c r="B27" s="95"/>
      <c r="C27" s="95"/>
      <c r="D27" s="95"/>
      <c r="E27" s="95"/>
      <c r="F27" s="95"/>
      <c r="G27" s="95"/>
      <c r="H27" s="97"/>
    </row>
    <row r="28" spans="1:8" x14ac:dyDescent="0.3">
      <c r="A28" s="95"/>
      <c r="B28" s="95"/>
      <c r="C28" s="95"/>
      <c r="D28" s="95"/>
      <c r="E28" s="95"/>
      <c r="F28" s="95"/>
      <c r="G28" s="95"/>
      <c r="H28" s="97"/>
    </row>
    <row r="29" spans="1:8" x14ac:dyDescent="0.3">
      <c r="A29" s="95"/>
      <c r="B29" s="95"/>
      <c r="C29" s="95"/>
      <c r="D29" s="95"/>
      <c r="E29" s="95"/>
      <c r="F29" s="95"/>
      <c r="G29" s="95"/>
      <c r="H29" s="97"/>
    </row>
    <row r="30" spans="1:8" x14ac:dyDescent="0.3">
      <c r="A30" s="95"/>
      <c r="B30" s="95"/>
      <c r="C30" s="95"/>
      <c r="D30" s="95"/>
      <c r="E30" s="95"/>
      <c r="F30" s="95"/>
      <c r="G30" s="95"/>
      <c r="H30" s="97"/>
    </row>
    <row r="31" spans="1:8" x14ac:dyDescent="0.3">
      <c r="A31" s="95"/>
      <c r="B31" s="95"/>
      <c r="C31" s="95"/>
      <c r="D31" s="95"/>
      <c r="E31" s="95"/>
      <c r="F31" s="95"/>
      <c r="G31" s="95"/>
      <c r="H31" s="97"/>
    </row>
    <row r="32" spans="1:8" x14ac:dyDescent="0.3">
      <c r="A32" s="95"/>
      <c r="B32" s="95"/>
      <c r="C32" s="95"/>
      <c r="D32" s="95"/>
      <c r="E32" s="95"/>
      <c r="F32" s="95"/>
      <c r="G32" s="95"/>
      <c r="H32" s="97"/>
    </row>
    <row r="33" spans="1:8" x14ac:dyDescent="0.3">
      <c r="A33" s="95"/>
      <c r="B33" s="95"/>
      <c r="C33" s="95"/>
      <c r="D33" s="95"/>
      <c r="E33" s="95"/>
      <c r="F33" s="95"/>
      <c r="G33" s="95"/>
      <c r="H33" s="97"/>
    </row>
    <row r="34" spans="1:8" x14ac:dyDescent="0.3">
      <c r="A34" s="95"/>
      <c r="B34" s="95"/>
      <c r="C34" s="95"/>
      <c r="D34" s="95"/>
      <c r="E34" s="95"/>
      <c r="F34" s="95"/>
      <c r="G34" s="95"/>
      <c r="H34" s="97"/>
    </row>
    <row r="35" spans="1:8" x14ac:dyDescent="0.3">
      <c r="A35" s="95"/>
      <c r="B35" s="95"/>
      <c r="C35" s="95"/>
      <c r="D35" s="95"/>
      <c r="E35" s="95"/>
      <c r="F35" s="95"/>
      <c r="G35" s="95"/>
      <c r="H35" s="97"/>
    </row>
    <row r="36" spans="1:8" x14ac:dyDescent="0.3">
      <c r="A36" s="95"/>
      <c r="B36" s="95"/>
      <c r="C36" s="95"/>
      <c r="D36" s="95"/>
      <c r="E36" s="95"/>
      <c r="F36" s="95"/>
      <c r="G36" s="95"/>
      <c r="H36" s="97"/>
    </row>
    <row r="37" spans="1:8" x14ac:dyDescent="0.3">
      <c r="A37" s="95"/>
      <c r="B37" s="95"/>
      <c r="C37" s="95"/>
      <c r="D37" s="95"/>
      <c r="E37" s="95"/>
      <c r="F37" s="95"/>
      <c r="G37" s="95"/>
      <c r="H37" s="97"/>
    </row>
    <row r="38" spans="1:8" x14ac:dyDescent="0.3">
      <c r="A38" s="95"/>
      <c r="B38" s="95"/>
      <c r="C38" s="95"/>
      <c r="D38" s="95"/>
      <c r="E38" s="95"/>
      <c r="F38" s="95"/>
      <c r="G38" s="95"/>
      <c r="H38" s="97"/>
    </row>
    <row r="39" spans="1:8" x14ac:dyDescent="0.3">
      <c r="A39" s="95"/>
      <c r="B39" s="95"/>
      <c r="C39" s="95"/>
      <c r="D39" s="95"/>
      <c r="E39" s="95"/>
      <c r="F39" s="95"/>
      <c r="G39" s="95"/>
      <c r="H39" s="97"/>
    </row>
    <row r="40" spans="1:8" x14ac:dyDescent="0.3">
      <c r="A40" s="95"/>
      <c r="B40" s="95"/>
      <c r="C40" s="95"/>
      <c r="D40" s="98"/>
      <c r="E40" s="95"/>
      <c r="F40" s="95"/>
      <c r="G40" s="95"/>
      <c r="H40" s="95"/>
    </row>
    <row r="41" spans="1:8" x14ac:dyDescent="0.3">
      <c r="A41" s="95"/>
      <c r="B41" s="95"/>
      <c r="C41" s="95"/>
      <c r="D41" s="98"/>
      <c r="E41" s="95"/>
      <c r="F41" s="95"/>
      <c r="G41" s="95"/>
      <c r="H41" s="95"/>
    </row>
    <row r="42" spans="1:8" x14ac:dyDescent="0.3">
      <c r="A42" s="95"/>
      <c r="B42" s="95"/>
      <c r="C42" s="95"/>
      <c r="D42" s="98"/>
      <c r="E42" s="95"/>
      <c r="F42" s="95"/>
      <c r="G42" s="95"/>
      <c r="H42" s="95"/>
    </row>
    <row r="43" spans="1:8" x14ac:dyDescent="0.3">
      <c r="A43" s="95"/>
      <c r="B43" s="95"/>
      <c r="C43" s="95"/>
      <c r="D43" s="98"/>
      <c r="E43" s="95"/>
      <c r="F43" s="95"/>
      <c r="G43" s="95"/>
      <c r="H43" s="95"/>
    </row>
    <row r="44" spans="1:8" x14ac:dyDescent="0.3">
      <c r="A44" s="95"/>
      <c r="B44" s="95"/>
      <c r="C44" s="95"/>
      <c r="D44" s="98"/>
      <c r="E44" s="95"/>
      <c r="F44" s="95"/>
      <c r="G44" s="95"/>
      <c r="H44" s="95"/>
    </row>
    <row r="45" spans="1:8" x14ac:dyDescent="0.3">
      <c r="A45" s="95"/>
      <c r="B45" s="95"/>
      <c r="C45" s="95"/>
      <c r="D45" s="98"/>
      <c r="E45" s="95"/>
      <c r="F45" s="95"/>
      <c r="G45" s="95"/>
      <c r="H45" s="95"/>
    </row>
    <row r="46" spans="1:8" x14ac:dyDescent="0.3">
      <c r="A46" s="95"/>
      <c r="B46" s="95"/>
      <c r="C46" s="95"/>
      <c r="D46" s="98"/>
      <c r="E46" s="95"/>
      <c r="F46" s="95"/>
      <c r="G46" s="95"/>
      <c r="H46" s="95"/>
    </row>
    <row r="47" spans="1:8" x14ac:dyDescent="0.3">
      <c r="A47" s="95"/>
      <c r="B47" s="95"/>
      <c r="C47" s="95"/>
      <c r="D47" s="98"/>
      <c r="E47" s="95"/>
      <c r="F47" s="95"/>
      <c r="G47" s="95"/>
      <c r="H47" s="95"/>
    </row>
    <row r="48" spans="1:8" x14ac:dyDescent="0.3">
      <c r="A48" s="95"/>
      <c r="B48" s="95"/>
      <c r="C48" s="95"/>
      <c r="D48" s="96"/>
      <c r="E48" s="95"/>
      <c r="F48" s="95"/>
      <c r="G48" s="95"/>
      <c r="H48" s="95"/>
    </row>
    <row r="49" spans="1:8" x14ac:dyDescent="0.3">
      <c r="A49" s="95"/>
      <c r="B49" s="95"/>
      <c r="C49" s="95"/>
      <c r="D49" s="96"/>
      <c r="E49" s="95"/>
      <c r="F49" s="95"/>
      <c r="G49" s="95"/>
      <c r="H49" s="95"/>
    </row>
    <row r="50" spans="1:8" x14ac:dyDescent="0.3">
      <c r="A50" s="95"/>
      <c r="B50" s="95"/>
      <c r="C50" s="95"/>
      <c r="D50" s="96"/>
      <c r="E50" s="95"/>
      <c r="F50" s="95"/>
      <c r="G50" s="95"/>
      <c r="H50" s="95"/>
    </row>
    <row r="51" spans="1:8" x14ac:dyDescent="0.3">
      <c r="F51" s="55"/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shapeId="5121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1722120</xdr:colOff>
                <xdr:row>43</xdr:row>
                <xdr:rowOff>30480</xdr:rowOff>
              </to>
            </anchor>
          </objectPr>
        </oleObject>
      </mc:Choice>
      <mc:Fallback>
        <oleObject progId="Document" shapeId="5121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C48CE-C195-4B39-8875-DD0CCCB15213}">
  <dimension ref="A1:C66"/>
  <sheetViews>
    <sheetView view="pageLayout" topLeftCell="A5" zoomScaleNormal="100" workbookViewId="0">
      <selection activeCell="C25" sqref="C25"/>
    </sheetView>
  </sheetViews>
  <sheetFormatPr defaultColWidth="9.109375" defaultRowHeight="14.4" x14ac:dyDescent="0.3"/>
  <cols>
    <col min="1" max="1" width="8.44140625" style="15" customWidth="1"/>
    <col min="2" max="2" width="60.88671875" style="52" customWidth="1"/>
    <col min="3" max="3" width="17" style="15" customWidth="1"/>
    <col min="4" max="16384" width="9.109375" style="15"/>
  </cols>
  <sheetData>
    <row r="1" spans="1:3" x14ac:dyDescent="0.3">
      <c r="A1" s="38" t="s">
        <v>7</v>
      </c>
      <c r="B1" s="39" t="s">
        <v>0</v>
      </c>
      <c r="C1" s="40" t="s">
        <v>3</v>
      </c>
    </row>
    <row r="2" spans="1:3" x14ac:dyDescent="0.3">
      <c r="A2" s="41"/>
      <c r="B2" s="42"/>
      <c r="C2" s="43"/>
    </row>
    <row r="3" spans="1:3" x14ac:dyDescent="0.3">
      <c r="A3" s="41">
        <v>1</v>
      </c>
      <c r="B3" s="44" t="s">
        <v>204</v>
      </c>
      <c r="C3" s="43">
        <f>Preliminaries!F38</f>
        <v>68592.815384615387</v>
      </c>
    </row>
    <row r="4" spans="1:3" x14ac:dyDescent="0.3">
      <c r="A4" s="41"/>
      <c r="B4" s="44"/>
      <c r="C4" s="45"/>
    </row>
    <row r="5" spans="1:3" x14ac:dyDescent="0.3">
      <c r="A5" s="41"/>
      <c r="B5" s="44" t="s">
        <v>205</v>
      </c>
      <c r="C5" s="43"/>
    </row>
    <row r="6" spans="1:3" x14ac:dyDescent="0.3">
      <c r="A6" s="41">
        <v>2.1</v>
      </c>
      <c r="B6" s="44" t="s">
        <v>206</v>
      </c>
      <c r="C6" s="101">
        <f>SUM('Measured Works'!F9:F22)</f>
        <v>10080.547999999999</v>
      </c>
    </row>
    <row r="7" spans="1:3" x14ac:dyDescent="0.3">
      <c r="A7" s="41">
        <v>2.2000000000000002</v>
      </c>
      <c r="B7" s="44" t="s">
        <v>207</v>
      </c>
      <c r="C7" s="100">
        <f>SUM('Measured Works'!F26:F38)</f>
        <v>620870.16320000007</v>
      </c>
    </row>
    <row r="8" spans="1:3" x14ac:dyDescent="0.3">
      <c r="A8" s="41">
        <v>2.2999999999999998</v>
      </c>
      <c r="B8" s="44" t="s">
        <v>208</v>
      </c>
      <c r="C8" s="101">
        <f>SUM('Measured Works'!F40:F77)</f>
        <v>47553.766000000003</v>
      </c>
    </row>
    <row r="9" spans="1:3" x14ac:dyDescent="0.3">
      <c r="A9" s="41">
        <v>2.4</v>
      </c>
      <c r="B9" s="44" t="s">
        <v>212</v>
      </c>
      <c r="C9" s="101">
        <f>SUM('Measured Works'!F79:F82)</f>
        <v>25.200000000000003</v>
      </c>
    </row>
    <row r="10" spans="1:3" x14ac:dyDescent="0.3">
      <c r="A10" s="41">
        <v>2.5</v>
      </c>
      <c r="B10" s="44" t="s">
        <v>209</v>
      </c>
      <c r="C10" s="100">
        <f>SUM('Measured Works'!F84:F121)</f>
        <v>4360.5316499999999</v>
      </c>
    </row>
    <row r="11" spans="1:3" x14ac:dyDescent="0.3">
      <c r="A11" s="41">
        <v>2.6</v>
      </c>
      <c r="B11" s="44" t="s">
        <v>210</v>
      </c>
      <c r="C11" s="101">
        <f>SUM('Measured Works'!F123:F170)</f>
        <v>3714.2404900000001</v>
      </c>
    </row>
    <row r="12" spans="1:3" x14ac:dyDescent="0.3">
      <c r="A12" s="41">
        <v>2.7</v>
      </c>
      <c r="B12" s="44" t="s">
        <v>213</v>
      </c>
      <c r="C12" s="101">
        <f>SUM('Measured Works'!F172:F193)</f>
        <v>3866.21</v>
      </c>
    </row>
    <row r="13" spans="1:3" x14ac:dyDescent="0.3">
      <c r="A13" s="41">
        <v>2.8</v>
      </c>
      <c r="B13" s="44" t="s">
        <v>214</v>
      </c>
      <c r="C13" s="100">
        <f>SUM('Measured Works'!F195:F205)</f>
        <v>3550</v>
      </c>
    </row>
    <row r="14" spans="1:3" x14ac:dyDescent="0.3">
      <c r="A14" s="41">
        <v>2.9</v>
      </c>
      <c r="B14" s="44" t="s">
        <v>389</v>
      </c>
      <c r="C14" s="101">
        <f>SUM('Measured Works'!F207:F232)</f>
        <v>7831.3600000000006</v>
      </c>
    </row>
    <row r="15" spans="1:3" x14ac:dyDescent="0.3">
      <c r="A15" s="99">
        <v>2.1</v>
      </c>
      <c r="B15" s="44" t="s">
        <v>390</v>
      </c>
      <c r="C15" s="100">
        <f>SUM('Measured Works'!F234:F246)</f>
        <v>7371.6</v>
      </c>
    </row>
    <row r="16" spans="1:3" x14ac:dyDescent="0.3">
      <c r="A16" s="41">
        <v>2.11</v>
      </c>
      <c r="B16" s="44" t="s">
        <v>215</v>
      </c>
      <c r="C16" s="101">
        <f>SUM('Measured Works'!F248:F259)</f>
        <v>5251.3</v>
      </c>
    </row>
    <row r="17" spans="1:3" x14ac:dyDescent="0.3">
      <c r="A17" s="41">
        <v>2.12</v>
      </c>
      <c r="B17" s="44" t="s">
        <v>211</v>
      </c>
      <c r="C17" s="100">
        <f>SUM('Measured Works'!F261:F293)</f>
        <v>14763.646428749998</v>
      </c>
    </row>
    <row r="18" spans="1:3" ht="15" customHeight="1" x14ac:dyDescent="0.3">
      <c r="A18" s="41">
        <v>2.13</v>
      </c>
      <c r="B18" s="44" t="s">
        <v>216</v>
      </c>
      <c r="C18" s="101">
        <f>SUM('Measured Works'!F295:F307)</f>
        <v>2596.3375000000001</v>
      </c>
    </row>
    <row r="19" spans="1:3" x14ac:dyDescent="0.3">
      <c r="A19" s="41">
        <v>2.14</v>
      </c>
      <c r="B19" s="44" t="s">
        <v>217</v>
      </c>
      <c r="C19" s="100">
        <f>SUM('Measured Works'!F309:F361)</f>
        <v>80108.683525</v>
      </c>
    </row>
    <row r="20" spans="1:3" ht="15" customHeight="1" x14ac:dyDescent="0.3">
      <c r="A20" s="41"/>
      <c r="B20" s="44"/>
      <c r="C20" s="45"/>
    </row>
    <row r="21" spans="1:3" x14ac:dyDescent="0.3">
      <c r="A21" s="41">
        <v>3</v>
      </c>
      <c r="B21" s="44" t="s">
        <v>218</v>
      </c>
      <c r="C21" s="100">
        <f>Risks!F25</f>
        <v>176250</v>
      </c>
    </row>
    <row r="22" spans="1:3" ht="15" customHeight="1" x14ac:dyDescent="0.3">
      <c r="A22" s="41"/>
      <c r="B22" s="44"/>
      <c r="C22" s="45"/>
    </row>
    <row r="23" spans="1:3" ht="15" customHeight="1" x14ac:dyDescent="0.3">
      <c r="A23" s="41">
        <v>4</v>
      </c>
      <c r="B23" s="44" t="s">
        <v>219</v>
      </c>
      <c r="C23" s="101">
        <f>Dayworks!F8</f>
        <v>10500</v>
      </c>
    </row>
    <row r="24" spans="1:3" x14ac:dyDescent="0.3">
      <c r="A24" s="41"/>
      <c r="B24" s="44"/>
      <c r="C24" s="43"/>
    </row>
    <row r="25" spans="1:3" ht="15.6" x14ac:dyDescent="0.3">
      <c r="A25" s="46"/>
      <c r="B25" s="47" t="s">
        <v>8</v>
      </c>
      <c r="C25" s="48">
        <f>SUM(C2:C24)</f>
        <v>1067286.4021783655</v>
      </c>
    </row>
    <row r="26" spans="1:3" ht="17.25" customHeight="1" x14ac:dyDescent="0.3">
      <c r="B26" s="51"/>
    </row>
    <row r="27" spans="1:3" ht="17.25" customHeight="1" x14ac:dyDescent="0.3">
      <c r="A27" s="49"/>
      <c r="B27" s="81" t="s">
        <v>201</v>
      </c>
    </row>
    <row r="28" spans="1:3" ht="17.25" customHeight="1" x14ac:dyDescent="0.3">
      <c r="A28" s="49">
        <v>1</v>
      </c>
      <c r="B28" s="79" t="s">
        <v>394</v>
      </c>
    </row>
    <row r="29" spans="1:3" ht="17.25" customHeight="1" x14ac:dyDescent="0.3">
      <c r="A29" s="49">
        <v>2</v>
      </c>
      <c r="B29" s="79" t="s">
        <v>395</v>
      </c>
    </row>
    <row r="30" spans="1:3" ht="17.25" customHeight="1" x14ac:dyDescent="0.3">
      <c r="A30" s="49">
        <v>3</v>
      </c>
      <c r="B30" s="79" t="s">
        <v>396</v>
      </c>
    </row>
    <row r="31" spans="1:3" ht="17.25" customHeight="1" x14ac:dyDescent="0.3">
      <c r="A31" s="49">
        <v>4</v>
      </c>
      <c r="B31" s="79" t="s">
        <v>397</v>
      </c>
    </row>
    <row r="32" spans="1:3" x14ac:dyDescent="0.3">
      <c r="A32" s="49">
        <v>5</v>
      </c>
      <c r="B32" s="80" t="s">
        <v>398</v>
      </c>
    </row>
    <row r="33" spans="1:2" x14ac:dyDescent="0.3">
      <c r="A33" s="49">
        <v>6</v>
      </c>
      <c r="B33" s="80" t="s">
        <v>399</v>
      </c>
    </row>
    <row r="34" spans="1:2" x14ac:dyDescent="0.3">
      <c r="A34" s="49">
        <v>7</v>
      </c>
      <c r="B34" s="80" t="s">
        <v>400</v>
      </c>
    </row>
    <row r="35" spans="1:2" x14ac:dyDescent="0.3">
      <c r="A35" s="49">
        <v>8</v>
      </c>
      <c r="B35" s="80" t="s">
        <v>401</v>
      </c>
    </row>
    <row r="36" spans="1:2" x14ac:dyDescent="0.3">
      <c r="A36" s="49">
        <v>9</v>
      </c>
      <c r="B36" s="80" t="s">
        <v>402</v>
      </c>
    </row>
    <row r="37" spans="1:2" x14ac:dyDescent="0.3">
      <c r="A37" s="49">
        <v>10</v>
      </c>
      <c r="B37" s="80" t="s">
        <v>403</v>
      </c>
    </row>
    <row r="38" spans="1:2" x14ac:dyDescent="0.3">
      <c r="A38" s="49">
        <v>11</v>
      </c>
      <c r="B38" s="80" t="s">
        <v>404</v>
      </c>
    </row>
    <row r="39" spans="1:2" x14ac:dyDescent="0.3">
      <c r="A39" s="49">
        <v>12</v>
      </c>
      <c r="B39" s="80" t="s">
        <v>405</v>
      </c>
    </row>
    <row r="40" spans="1:2" x14ac:dyDescent="0.3">
      <c r="A40" s="49">
        <v>13</v>
      </c>
      <c r="B40" s="80" t="s">
        <v>406</v>
      </c>
    </row>
    <row r="41" spans="1:2" x14ac:dyDescent="0.3">
      <c r="A41" s="49">
        <v>14</v>
      </c>
      <c r="B41" s="80" t="s">
        <v>407</v>
      </c>
    </row>
    <row r="42" spans="1:2" x14ac:dyDescent="0.3">
      <c r="A42" s="49">
        <v>15</v>
      </c>
      <c r="B42" s="80" t="s">
        <v>408</v>
      </c>
    </row>
    <row r="43" spans="1:2" x14ac:dyDescent="0.3">
      <c r="A43" s="49">
        <v>16</v>
      </c>
      <c r="B43" s="80" t="s">
        <v>409</v>
      </c>
    </row>
    <row r="44" spans="1:2" ht="13.8" customHeight="1" x14ac:dyDescent="0.3">
      <c r="A44" s="49">
        <v>17</v>
      </c>
      <c r="B44" s="80" t="s">
        <v>411</v>
      </c>
    </row>
    <row r="45" spans="1:2" x14ac:dyDescent="0.3">
      <c r="A45" s="49">
        <v>18</v>
      </c>
      <c r="B45" s="80" t="s">
        <v>410</v>
      </c>
    </row>
    <row r="46" spans="1:2" x14ac:dyDescent="0.3">
      <c r="A46" s="49">
        <v>19</v>
      </c>
      <c r="B46" s="80" t="s">
        <v>412</v>
      </c>
    </row>
    <row r="47" spans="1:2" x14ac:dyDescent="0.3">
      <c r="A47" s="49">
        <v>20</v>
      </c>
      <c r="B47" s="80" t="s">
        <v>413</v>
      </c>
    </row>
    <row r="48" spans="1:2" x14ac:dyDescent="0.3">
      <c r="A48" s="49">
        <v>21</v>
      </c>
      <c r="B48" s="80" t="s">
        <v>414</v>
      </c>
    </row>
    <row r="49" spans="1:2" x14ac:dyDescent="0.3">
      <c r="A49" s="49">
        <v>22</v>
      </c>
      <c r="B49" s="80" t="s">
        <v>415</v>
      </c>
    </row>
    <row r="50" spans="1:2" ht="28.8" x14ac:dyDescent="0.3">
      <c r="A50" s="49">
        <v>23</v>
      </c>
      <c r="B50" s="80" t="s">
        <v>416</v>
      </c>
    </row>
    <row r="51" spans="1:2" ht="28.8" x14ac:dyDescent="0.3">
      <c r="A51" s="49">
        <v>24</v>
      </c>
      <c r="B51" s="80" t="s">
        <v>417</v>
      </c>
    </row>
    <row r="52" spans="1:2" x14ac:dyDescent="0.3">
      <c r="A52" s="49">
        <v>25</v>
      </c>
      <c r="B52" s="80" t="s">
        <v>418</v>
      </c>
    </row>
    <row r="53" spans="1:2" ht="15" customHeight="1" x14ac:dyDescent="0.3">
      <c r="A53" s="49">
        <v>26</v>
      </c>
      <c r="B53" s="80" t="s">
        <v>419</v>
      </c>
    </row>
    <row r="54" spans="1:2" ht="15" customHeight="1" x14ac:dyDescent="0.3">
      <c r="A54" s="49">
        <v>27</v>
      </c>
      <c r="B54" s="80" t="s">
        <v>420</v>
      </c>
    </row>
    <row r="55" spans="1:2" ht="15" customHeight="1" x14ac:dyDescent="0.3">
      <c r="A55" s="49">
        <v>28</v>
      </c>
      <c r="B55" s="80" t="s">
        <v>421</v>
      </c>
    </row>
    <row r="56" spans="1:2" ht="15" customHeight="1" x14ac:dyDescent="0.3">
      <c r="A56" s="49">
        <v>29</v>
      </c>
      <c r="B56" s="80" t="s">
        <v>422</v>
      </c>
    </row>
    <row r="57" spans="1:2" ht="15" customHeight="1" x14ac:dyDescent="0.3">
      <c r="A57" s="49">
        <v>30</v>
      </c>
      <c r="B57" s="80" t="s">
        <v>423</v>
      </c>
    </row>
    <row r="58" spans="1:2" ht="15" customHeight="1" x14ac:dyDescent="0.3">
      <c r="A58" s="49"/>
      <c r="B58" s="80"/>
    </row>
    <row r="60" spans="1:2" x14ac:dyDescent="0.3">
      <c r="A60" s="49"/>
      <c r="B60" s="50" t="s">
        <v>202</v>
      </c>
    </row>
    <row r="61" spans="1:2" x14ac:dyDescent="0.3">
      <c r="A61" s="49">
        <v>183</v>
      </c>
      <c r="B61" s="80" t="s">
        <v>425</v>
      </c>
    </row>
    <row r="62" spans="1:2" x14ac:dyDescent="0.3">
      <c r="A62" s="49">
        <v>182</v>
      </c>
      <c r="B62" s="80" t="s">
        <v>424</v>
      </c>
    </row>
    <row r="63" spans="1:2" x14ac:dyDescent="0.3">
      <c r="A63" s="49">
        <v>181</v>
      </c>
      <c r="B63" s="80" t="s">
        <v>426</v>
      </c>
    </row>
    <row r="64" spans="1:2" x14ac:dyDescent="0.3">
      <c r="A64" s="49">
        <v>180</v>
      </c>
      <c r="B64" s="80" t="s">
        <v>429</v>
      </c>
    </row>
    <row r="65" spans="1:2" x14ac:dyDescent="0.3">
      <c r="A65" s="150" t="s">
        <v>427</v>
      </c>
      <c r="B65" s="80" t="s">
        <v>428</v>
      </c>
    </row>
    <row r="66" spans="1:2" x14ac:dyDescent="0.3">
      <c r="A66" s="49"/>
      <c r="B66" s="80"/>
    </row>
  </sheetData>
  <pageMargins left="0.7" right="0.7" top="0.75" bottom="0.75" header="0.3" footer="0.3"/>
  <pageSetup paperSize="9" orientation="portrait" r:id="rId1"/>
  <headerFooter scaleWithDoc="0">
    <oddHeader xml:space="preserve">&amp;L&amp;G&amp;CY Fforwm Substructure BoQ&amp;R22/04/2022
</oddHeader>
    <oddFooter>&amp;C&amp;D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AC015-2B22-427A-8A59-94C836B1EC23}">
  <dimension ref="A1:F40"/>
  <sheetViews>
    <sheetView view="pageBreakPreview" zoomScaleNormal="100" zoomScaleSheetLayoutView="100" zoomScalePageLayoutView="85" workbookViewId="0">
      <selection activeCell="B23" sqref="B23"/>
    </sheetView>
  </sheetViews>
  <sheetFormatPr defaultColWidth="8.88671875" defaultRowHeight="14.4" x14ac:dyDescent="0.3"/>
  <cols>
    <col min="1" max="1" width="10.44140625" style="8" customWidth="1"/>
    <col min="2" max="2" width="60.44140625" style="1" customWidth="1"/>
    <col min="3" max="3" width="7.6640625" style="8" customWidth="1"/>
    <col min="4" max="4" width="5.88671875" style="8" customWidth="1"/>
    <col min="5" max="5" width="13.5546875" style="94" customWidth="1"/>
    <col min="6" max="6" width="19.33203125" style="10" customWidth="1"/>
    <col min="7" max="16384" width="8.88671875" style="15"/>
  </cols>
  <sheetData>
    <row r="1" spans="1:6" x14ac:dyDescent="0.3">
      <c r="A1" s="3"/>
      <c r="B1" s="2" t="s">
        <v>0</v>
      </c>
      <c r="C1" s="7" t="s">
        <v>5</v>
      </c>
      <c r="D1" s="7" t="s">
        <v>1</v>
      </c>
      <c r="E1" s="85" t="s">
        <v>2</v>
      </c>
      <c r="F1" s="9" t="s">
        <v>3</v>
      </c>
    </row>
    <row r="2" spans="1:6" ht="27" x14ac:dyDescent="0.3">
      <c r="A2" s="11"/>
      <c r="B2" s="12" t="s">
        <v>4</v>
      </c>
      <c r="C2" s="13"/>
      <c r="D2" s="13"/>
      <c r="E2" s="86"/>
      <c r="F2" s="14"/>
    </row>
    <row r="3" spans="1:6" x14ac:dyDescent="0.3">
      <c r="A3" s="11"/>
      <c r="B3" s="12"/>
      <c r="C3" s="13"/>
      <c r="D3" s="13"/>
      <c r="E3" s="86"/>
      <c r="F3" s="14"/>
    </row>
    <row r="4" spans="1:6" x14ac:dyDescent="0.3">
      <c r="A4" s="11"/>
      <c r="B4" s="108" t="s">
        <v>221</v>
      </c>
      <c r="C4" s="13"/>
      <c r="D4" s="13"/>
      <c r="E4" s="86"/>
      <c r="F4" s="14"/>
    </row>
    <row r="5" spans="1:6" x14ac:dyDescent="0.3">
      <c r="A5" s="11"/>
      <c r="B5" s="109" t="s">
        <v>222</v>
      </c>
      <c r="C5" s="13"/>
      <c r="D5" s="13"/>
      <c r="E5" s="86"/>
      <c r="F5" s="14"/>
    </row>
    <row r="6" spans="1:6" x14ac:dyDescent="0.3">
      <c r="A6" s="11"/>
      <c r="B6" s="72"/>
      <c r="C6" s="13"/>
      <c r="D6" s="13"/>
      <c r="E6" s="86"/>
      <c r="F6" s="14"/>
    </row>
    <row r="7" spans="1:6" x14ac:dyDescent="0.3">
      <c r="A7" s="11"/>
      <c r="B7" s="68" t="s">
        <v>232</v>
      </c>
      <c r="C7" s="19">
        <v>14</v>
      </c>
      <c r="D7" s="19" t="s">
        <v>193</v>
      </c>
      <c r="E7" s="87">
        <f>44.5</f>
        <v>44.5</v>
      </c>
      <c r="F7" s="29">
        <f t="shared" ref="F7:F21" si="0">C7*E7</f>
        <v>623</v>
      </c>
    </row>
    <row r="8" spans="1:6" x14ac:dyDescent="0.3">
      <c r="A8" s="11"/>
      <c r="B8" s="16"/>
      <c r="C8" s="19"/>
      <c r="D8" s="19"/>
      <c r="E8" s="87"/>
      <c r="F8" s="29"/>
    </row>
    <row r="9" spans="1:6" x14ac:dyDescent="0.3">
      <c r="A9" s="11"/>
      <c r="B9" s="68" t="s">
        <v>224</v>
      </c>
      <c r="C9" s="19">
        <v>14</v>
      </c>
      <c r="D9" s="19" t="s">
        <v>193</v>
      </c>
      <c r="E9" s="87">
        <f>24*2</f>
        <v>48</v>
      </c>
      <c r="F9" s="29">
        <f t="shared" si="0"/>
        <v>672</v>
      </c>
    </row>
    <row r="10" spans="1:6" x14ac:dyDescent="0.3">
      <c r="A10" s="11"/>
      <c r="B10" s="16"/>
      <c r="C10" s="19"/>
      <c r="D10" s="19"/>
      <c r="E10" s="87"/>
      <c r="F10" s="29"/>
    </row>
    <row r="11" spans="1:6" x14ac:dyDescent="0.3">
      <c r="A11" s="11"/>
      <c r="B11" s="68" t="s">
        <v>228</v>
      </c>
      <c r="C11" s="19">
        <v>14</v>
      </c>
      <c r="D11" s="19" t="s">
        <v>193</v>
      </c>
      <c r="E11" s="87">
        <v>215</v>
      </c>
      <c r="F11" s="29">
        <f t="shared" si="0"/>
        <v>3010</v>
      </c>
    </row>
    <row r="12" spans="1:6" x14ac:dyDescent="0.3">
      <c r="A12" s="11"/>
      <c r="B12" s="16"/>
      <c r="C12" s="19"/>
      <c r="D12" s="19"/>
      <c r="E12" s="87"/>
      <c r="F12" s="29"/>
    </row>
    <row r="13" spans="1:6" x14ac:dyDescent="0.3">
      <c r="A13" s="11"/>
      <c r="B13" s="68" t="s">
        <v>223</v>
      </c>
      <c r="C13" s="19">
        <v>14</v>
      </c>
      <c r="D13" s="19" t="s">
        <v>193</v>
      </c>
      <c r="E13" s="87">
        <v>68</v>
      </c>
      <c r="F13" s="29">
        <f t="shared" si="0"/>
        <v>952</v>
      </c>
    </row>
    <row r="14" spans="1:6" x14ac:dyDescent="0.3">
      <c r="A14" s="11"/>
      <c r="B14" s="72"/>
      <c r="C14" s="19"/>
      <c r="D14" s="19"/>
      <c r="E14" s="87"/>
      <c r="F14" s="29"/>
    </row>
    <row r="15" spans="1:6" x14ac:dyDescent="0.3">
      <c r="A15" s="11"/>
      <c r="B15" s="68" t="s">
        <v>225</v>
      </c>
      <c r="C15" s="19">
        <v>14</v>
      </c>
      <c r="D15" s="19" t="s">
        <v>193</v>
      </c>
      <c r="E15" s="87">
        <v>10.8</v>
      </c>
      <c r="F15" s="29">
        <f t="shared" si="0"/>
        <v>151.20000000000002</v>
      </c>
    </row>
    <row r="16" spans="1:6" x14ac:dyDescent="0.3">
      <c r="A16" s="11"/>
      <c r="B16" s="72"/>
      <c r="C16" s="13"/>
      <c r="D16" s="13"/>
      <c r="E16" s="86"/>
      <c r="F16" s="29"/>
    </row>
    <row r="17" spans="1:6" x14ac:dyDescent="0.3">
      <c r="A17" s="11"/>
      <c r="B17" s="68" t="s">
        <v>226</v>
      </c>
      <c r="C17" s="19">
        <v>14</v>
      </c>
      <c r="D17" s="19" t="s">
        <v>193</v>
      </c>
      <c r="E17" s="87">
        <v>200</v>
      </c>
      <c r="F17" s="29">
        <f t="shared" si="0"/>
        <v>2800</v>
      </c>
    </row>
    <row r="18" spans="1:6" x14ac:dyDescent="0.3">
      <c r="A18" s="11"/>
      <c r="B18" s="16"/>
      <c r="C18" s="13"/>
      <c r="D18" s="19"/>
      <c r="E18" s="86"/>
      <c r="F18" s="29"/>
    </row>
    <row r="19" spans="1:6" x14ac:dyDescent="0.3">
      <c r="A19" s="11"/>
      <c r="B19" s="68" t="s">
        <v>227</v>
      </c>
      <c r="C19" s="19">
        <v>14</v>
      </c>
      <c r="D19" s="19" t="s">
        <v>193</v>
      </c>
      <c r="E19" s="87">
        <v>120</v>
      </c>
      <c r="F19" s="29">
        <f t="shared" si="0"/>
        <v>1680</v>
      </c>
    </row>
    <row r="20" spans="1:6" x14ac:dyDescent="0.3">
      <c r="A20" s="11"/>
      <c r="B20" s="16"/>
      <c r="C20" s="19"/>
      <c r="D20" s="19"/>
      <c r="E20" s="87"/>
      <c r="F20" s="29"/>
    </row>
    <row r="21" spans="1:6" x14ac:dyDescent="0.3">
      <c r="A21" s="11"/>
      <c r="B21" s="68" t="s">
        <v>229</v>
      </c>
      <c r="C21" s="19">
        <v>1</v>
      </c>
      <c r="D21" s="19" t="s">
        <v>30</v>
      </c>
      <c r="E21" s="87">
        <v>6000</v>
      </c>
      <c r="F21" s="29">
        <f t="shared" si="0"/>
        <v>6000</v>
      </c>
    </row>
    <row r="22" spans="1:6" x14ac:dyDescent="0.3">
      <c r="A22" s="11"/>
      <c r="B22" s="16"/>
      <c r="C22" s="13"/>
      <c r="D22" s="19"/>
      <c r="E22" s="86"/>
      <c r="F22" s="29"/>
    </row>
    <row r="23" spans="1:6" x14ac:dyDescent="0.3">
      <c r="A23" s="11"/>
      <c r="B23" s="109" t="s">
        <v>230</v>
      </c>
      <c r="C23" s="13"/>
      <c r="D23" s="19"/>
      <c r="E23" s="86"/>
      <c r="F23" s="29"/>
    </row>
    <row r="24" spans="1:6" x14ac:dyDescent="0.3">
      <c r="A24" s="11"/>
      <c r="B24" s="16"/>
      <c r="C24" s="13"/>
      <c r="D24" s="19"/>
      <c r="E24" s="86"/>
      <c r="F24" s="29"/>
    </row>
    <row r="25" spans="1:6" x14ac:dyDescent="0.3">
      <c r="A25" s="11"/>
      <c r="B25" s="68" t="s">
        <v>189</v>
      </c>
      <c r="C25" s="19">
        <v>14</v>
      </c>
      <c r="D25" s="19" t="s">
        <v>193</v>
      </c>
      <c r="E25" s="87">
        <f>50000/52</f>
        <v>961.53846153846155</v>
      </c>
      <c r="F25" s="29">
        <f>C25*E25</f>
        <v>13461.538461538461</v>
      </c>
    </row>
    <row r="26" spans="1:6" x14ac:dyDescent="0.3">
      <c r="A26" s="11"/>
      <c r="B26" s="16"/>
      <c r="C26" s="13"/>
      <c r="D26" s="19"/>
      <c r="E26" s="86"/>
      <c r="F26" s="29"/>
    </row>
    <row r="27" spans="1:6" x14ac:dyDescent="0.3">
      <c r="A27" s="11"/>
      <c r="B27" s="68" t="s">
        <v>203</v>
      </c>
      <c r="C27" s="19">
        <v>14</v>
      </c>
      <c r="D27" s="19" t="s">
        <v>193</v>
      </c>
      <c r="E27" s="87">
        <f>35000/52</f>
        <v>673.07692307692309</v>
      </c>
      <c r="F27" s="29">
        <f t="shared" ref="F27:F35" si="1">C27*E27</f>
        <v>9423.0769230769238</v>
      </c>
    </row>
    <row r="28" spans="1:6" x14ac:dyDescent="0.3">
      <c r="A28" s="11"/>
      <c r="B28" s="16"/>
      <c r="C28" s="13"/>
      <c r="D28" s="19"/>
      <c r="E28" s="86"/>
      <c r="F28" s="29"/>
    </row>
    <row r="29" spans="1:6" x14ac:dyDescent="0.3">
      <c r="A29" s="11"/>
      <c r="B29" s="68" t="s">
        <v>190</v>
      </c>
      <c r="C29" s="19">
        <v>14</v>
      </c>
      <c r="D29" s="19" t="s">
        <v>193</v>
      </c>
      <c r="E29" s="87">
        <v>1680</v>
      </c>
      <c r="F29" s="29">
        <f t="shared" si="1"/>
        <v>23520</v>
      </c>
    </row>
    <row r="30" spans="1:6" x14ac:dyDescent="0.3">
      <c r="A30" s="11"/>
      <c r="B30" s="16"/>
      <c r="C30" s="13"/>
      <c r="D30" s="19"/>
      <c r="E30" s="87"/>
      <c r="F30" s="29"/>
    </row>
    <row r="31" spans="1:6" x14ac:dyDescent="0.3">
      <c r="A31" s="11"/>
      <c r="B31" s="68" t="s">
        <v>191</v>
      </c>
      <c r="C31" s="19">
        <v>14</v>
      </c>
      <c r="D31" s="19" t="s">
        <v>193</v>
      </c>
      <c r="E31" s="87">
        <v>150</v>
      </c>
      <c r="F31" s="29">
        <f t="shared" si="1"/>
        <v>2100</v>
      </c>
    </row>
    <row r="32" spans="1:6" x14ac:dyDescent="0.3">
      <c r="A32" s="11"/>
      <c r="B32" s="16"/>
      <c r="C32" s="19"/>
      <c r="D32" s="19"/>
      <c r="E32" s="87"/>
      <c r="F32" s="29"/>
    </row>
    <row r="33" spans="1:6" x14ac:dyDescent="0.3">
      <c r="A33" s="11"/>
      <c r="B33" s="109" t="s">
        <v>231</v>
      </c>
      <c r="C33" s="19"/>
      <c r="D33" s="19"/>
      <c r="E33" s="87"/>
      <c r="F33" s="29"/>
    </row>
    <row r="34" spans="1:6" x14ac:dyDescent="0.3">
      <c r="A34" s="11"/>
      <c r="B34" s="16"/>
      <c r="C34" s="19"/>
      <c r="D34" s="19"/>
      <c r="E34" s="87"/>
      <c r="F34" s="29"/>
    </row>
    <row r="35" spans="1:6" x14ac:dyDescent="0.3">
      <c r="A35" s="11"/>
      <c r="B35" s="68" t="s">
        <v>192</v>
      </c>
      <c r="C35" s="19">
        <v>14</v>
      </c>
      <c r="D35" s="19" t="s">
        <v>193</v>
      </c>
      <c r="E35" s="87">
        <v>300</v>
      </c>
      <c r="F35" s="29">
        <f t="shared" si="1"/>
        <v>4200</v>
      </c>
    </row>
    <row r="36" spans="1:6" x14ac:dyDescent="0.3">
      <c r="A36" s="11"/>
      <c r="B36" s="16"/>
      <c r="C36" s="19"/>
      <c r="D36" s="19"/>
      <c r="E36" s="87"/>
      <c r="F36" s="29"/>
    </row>
    <row r="37" spans="1:6" x14ac:dyDescent="0.3">
      <c r="A37" s="11"/>
      <c r="B37" s="16"/>
      <c r="C37" s="19"/>
      <c r="D37" s="19"/>
      <c r="E37" s="87"/>
      <c r="F37" s="29"/>
    </row>
    <row r="38" spans="1:6" x14ac:dyDescent="0.3">
      <c r="A38" s="11"/>
      <c r="B38" s="72" t="s">
        <v>220</v>
      </c>
      <c r="C38" s="19"/>
      <c r="D38" s="19"/>
      <c r="E38" s="87"/>
      <c r="F38" s="107">
        <f>SUM(F3:F37)</f>
        <v>68592.815384615387</v>
      </c>
    </row>
    <row r="39" spans="1:6" x14ac:dyDescent="0.3">
      <c r="A39" s="11"/>
      <c r="B39" s="16"/>
      <c r="C39" s="19"/>
      <c r="D39" s="19"/>
      <c r="E39" s="87"/>
      <c r="F39" s="29"/>
    </row>
    <row r="40" spans="1:6" x14ac:dyDescent="0.3">
      <c r="A40" s="102"/>
      <c r="B40" s="103"/>
      <c r="C40" s="104"/>
      <c r="D40" s="104"/>
      <c r="E40" s="105"/>
      <c r="F40" s="106"/>
    </row>
  </sheetData>
  <autoFilter ref="A1:D35" xr:uid="{00000000-0009-0000-0000-000000000000}"/>
  <pageMargins left="0.23622047244094488" right="0.33566176470588233" top="0.94488188976377951" bottom="0.94488188976377951" header="0.31496062992125984" footer="0.31496062992125984"/>
  <pageSetup paperSize="9" scale="83" orientation="portrait" r:id="rId1"/>
  <headerFooter>
    <oddHeader>&amp;L&amp;G&amp;C&amp;"Arial,Bold"&amp;10Y Fforwm Substructure BoQ&amp;R22/04/2022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00"/>
  <sheetViews>
    <sheetView view="pageBreakPreview" zoomScaleNormal="100" zoomScaleSheetLayoutView="100" zoomScalePageLayoutView="85" workbookViewId="0">
      <selection activeCell="E44" sqref="E44"/>
    </sheetView>
  </sheetViews>
  <sheetFormatPr defaultColWidth="8.88671875" defaultRowHeight="14.4" x14ac:dyDescent="0.3"/>
  <cols>
    <col min="1" max="1" width="10.44140625" style="8" customWidth="1"/>
    <col min="2" max="2" width="60.44140625" style="1" customWidth="1"/>
    <col min="3" max="3" width="7.6640625" style="8" customWidth="1"/>
    <col min="4" max="4" width="5.88671875" style="8" customWidth="1"/>
    <col min="5" max="5" width="13.5546875" style="94" customWidth="1"/>
    <col min="6" max="6" width="19.33203125" style="10" customWidth="1"/>
    <col min="7" max="16384" width="8.88671875" style="5"/>
  </cols>
  <sheetData>
    <row r="1" spans="1:6" x14ac:dyDescent="0.3">
      <c r="A1" s="3"/>
      <c r="B1" s="2" t="s">
        <v>0</v>
      </c>
      <c r="C1" s="7" t="s">
        <v>5</v>
      </c>
      <c r="D1" s="7" t="s">
        <v>1</v>
      </c>
      <c r="E1" s="85" t="s">
        <v>2</v>
      </c>
      <c r="F1" s="9" t="s">
        <v>3</v>
      </c>
    </row>
    <row r="2" spans="1:6" s="15" customFormat="1" ht="27" x14ac:dyDescent="0.3">
      <c r="A2" s="11"/>
      <c r="B2" s="12" t="s">
        <v>4</v>
      </c>
      <c r="C2" s="13"/>
      <c r="D2" s="13"/>
      <c r="E2" s="86"/>
      <c r="F2" s="14"/>
    </row>
    <row r="3" spans="1:6" s="15" customFormat="1" x14ac:dyDescent="0.3">
      <c r="A3" s="11"/>
      <c r="B3" s="12"/>
      <c r="C3" s="13"/>
      <c r="D3" s="13"/>
      <c r="E3" s="86"/>
      <c r="F3" s="14"/>
    </row>
    <row r="4" spans="1:6" s="15" customFormat="1" x14ac:dyDescent="0.3">
      <c r="A4" s="11"/>
      <c r="B4" s="110" t="s">
        <v>235</v>
      </c>
      <c r="C4" s="13"/>
      <c r="D4" s="13"/>
      <c r="E4" s="86"/>
      <c r="F4" s="14"/>
    </row>
    <row r="5" spans="1:6" x14ac:dyDescent="0.3">
      <c r="A5" s="4"/>
      <c r="B5" s="109" t="s">
        <v>120</v>
      </c>
      <c r="C5" s="6"/>
      <c r="D5" s="6"/>
      <c r="E5" s="87"/>
      <c r="F5" s="29"/>
    </row>
    <row r="6" spans="1:6" s="15" customFormat="1" x14ac:dyDescent="0.3">
      <c r="A6" s="18"/>
      <c r="B6" s="69" t="s">
        <v>236</v>
      </c>
      <c r="C6" s="19"/>
      <c r="D6" s="19"/>
      <c r="E6" s="87"/>
      <c r="F6" s="29"/>
    </row>
    <row r="7" spans="1:6" s="15" customFormat="1" x14ac:dyDescent="0.3">
      <c r="A7" s="18"/>
      <c r="B7" s="70" t="s">
        <v>16</v>
      </c>
      <c r="C7" s="19"/>
      <c r="D7" s="19"/>
      <c r="E7" s="88"/>
      <c r="F7" s="29"/>
    </row>
    <row r="8" spans="1:6" s="15" customFormat="1" ht="26.4" x14ac:dyDescent="0.3">
      <c r="A8" s="18"/>
      <c r="B8" s="16" t="s">
        <v>237</v>
      </c>
      <c r="C8" s="19"/>
      <c r="D8" s="19"/>
      <c r="E8" s="88"/>
      <c r="F8" s="29"/>
    </row>
    <row r="9" spans="1:6" s="15" customFormat="1" x14ac:dyDescent="0.3">
      <c r="A9" s="18"/>
      <c r="B9" s="68" t="s">
        <v>17</v>
      </c>
      <c r="C9" s="31">
        <f>1128*0.15</f>
        <v>169.2</v>
      </c>
      <c r="D9" s="19" t="s">
        <v>18</v>
      </c>
      <c r="E9" s="88">
        <v>16</v>
      </c>
      <c r="F9" s="29">
        <f t="shared" ref="F9:F33" si="0">C9*E9</f>
        <v>2707.2</v>
      </c>
    </row>
    <row r="10" spans="1:6" s="15" customFormat="1" x14ac:dyDescent="0.3">
      <c r="A10" s="18"/>
      <c r="B10" s="16"/>
      <c r="C10" s="19"/>
      <c r="D10" s="19"/>
      <c r="E10" s="88"/>
      <c r="F10" s="29"/>
    </row>
    <row r="11" spans="1:6" s="15" customFormat="1" x14ac:dyDescent="0.3">
      <c r="A11" s="18"/>
      <c r="B11" s="70" t="s">
        <v>19</v>
      </c>
      <c r="C11" s="19"/>
      <c r="D11" s="19"/>
      <c r="E11" s="88"/>
      <c r="F11" s="29"/>
    </row>
    <row r="12" spans="1:6" s="15" customFormat="1" x14ac:dyDescent="0.3">
      <c r="A12" s="18"/>
      <c r="B12" s="68" t="s">
        <v>20</v>
      </c>
      <c r="C12" s="31">
        <f>1128</f>
        <v>1128</v>
      </c>
      <c r="D12" s="19" t="s">
        <v>21</v>
      </c>
      <c r="E12" s="88">
        <v>2.8</v>
      </c>
      <c r="F12" s="29">
        <f t="shared" si="0"/>
        <v>3158.3999999999996</v>
      </c>
    </row>
    <row r="13" spans="1:6" s="15" customFormat="1" x14ac:dyDescent="0.3">
      <c r="A13" s="18"/>
      <c r="B13" s="68"/>
      <c r="C13" s="31"/>
      <c r="D13" s="19"/>
      <c r="E13" s="88"/>
      <c r="F13" s="29"/>
    </row>
    <row r="14" spans="1:6" s="15" customFormat="1" x14ac:dyDescent="0.3">
      <c r="A14" s="18"/>
      <c r="B14" s="70" t="s">
        <v>122</v>
      </c>
      <c r="C14" s="31"/>
      <c r="D14" s="19"/>
      <c r="E14" s="88"/>
      <c r="F14" s="29"/>
    </row>
    <row r="15" spans="1:6" s="15" customFormat="1" x14ac:dyDescent="0.3">
      <c r="A15" s="18"/>
      <c r="B15" s="68" t="s">
        <v>123</v>
      </c>
      <c r="C15" s="31">
        <v>1</v>
      </c>
      <c r="D15" s="19" t="s">
        <v>31</v>
      </c>
      <c r="E15" s="88">
        <v>545</v>
      </c>
      <c r="F15" s="29">
        <f t="shared" si="0"/>
        <v>545</v>
      </c>
    </row>
    <row r="16" spans="1:6" x14ac:dyDescent="0.3">
      <c r="A16" s="4"/>
      <c r="B16" s="28"/>
      <c r="C16" s="6"/>
      <c r="D16" s="6"/>
      <c r="E16" s="88"/>
      <c r="F16" s="29"/>
    </row>
    <row r="17" spans="1:6" s="15" customFormat="1" x14ac:dyDescent="0.3">
      <c r="A17" s="18"/>
      <c r="B17" s="71" t="s">
        <v>22</v>
      </c>
      <c r="C17" s="19"/>
      <c r="D17" s="19"/>
      <c r="E17" s="88"/>
      <c r="F17" s="29"/>
    </row>
    <row r="18" spans="1:6" s="15" customFormat="1" x14ac:dyDescent="0.3">
      <c r="A18" s="18"/>
      <c r="B18" s="30" t="s">
        <v>23</v>
      </c>
      <c r="C18" s="19"/>
      <c r="D18" s="19"/>
      <c r="E18" s="88"/>
      <c r="F18" s="29"/>
    </row>
    <row r="19" spans="1:6" s="15" customFormat="1" x14ac:dyDescent="0.3">
      <c r="A19" s="18"/>
      <c r="B19" s="68" t="s">
        <v>24</v>
      </c>
      <c r="C19" s="31">
        <f>C9</f>
        <v>169.2</v>
      </c>
      <c r="D19" s="19" t="s">
        <v>18</v>
      </c>
      <c r="E19" s="88">
        <v>6</v>
      </c>
      <c r="F19" s="29">
        <f t="shared" si="0"/>
        <v>1015.1999999999999</v>
      </c>
    </row>
    <row r="20" spans="1:6" s="15" customFormat="1" x14ac:dyDescent="0.3">
      <c r="A20" s="18"/>
      <c r="B20" s="30"/>
      <c r="C20" s="19"/>
      <c r="D20" s="19"/>
      <c r="E20" s="88"/>
      <c r="F20" s="29"/>
    </row>
    <row r="21" spans="1:6" s="15" customFormat="1" x14ac:dyDescent="0.3">
      <c r="A21" s="18"/>
      <c r="B21" s="71" t="s">
        <v>25</v>
      </c>
      <c r="C21" s="19"/>
      <c r="D21" s="19"/>
      <c r="E21" s="88"/>
      <c r="F21" s="29"/>
    </row>
    <row r="22" spans="1:6" s="15" customFormat="1" x14ac:dyDescent="0.3">
      <c r="A22" s="18"/>
      <c r="B22" s="73" t="s">
        <v>139</v>
      </c>
      <c r="C22" s="31">
        <f>C19</f>
        <v>169.2</v>
      </c>
      <c r="D22" s="19" t="s">
        <v>18</v>
      </c>
      <c r="E22" s="88">
        <v>15.69</v>
      </c>
      <c r="F22" s="29">
        <f t="shared" si="0"/>
        <v>2654.7479999999996</v>
      </c>
    </row>
    <row r="23" spans="1:6" s="15" customFormat="1" x14ac:dyDescent="0.3">
      <c r="A23" s="18"/>
      <c r="B23" s="28"/>
      <c r="C23" s="19"/>
      <c r="D23" s="19"/>
      <c r="E23" s="89"/>
      <c r="F23" s="29"/>
    </row>
    <row r="24" spans="1:6" s="15" customFormat="1" x14ac:dyDescent="0.3">
      <c r="A24" s="18"/>
      <c r="B24" s="127" t="s">
        <v>14</v>
      </c>
      <c r="C24" s="19"/>
      <c r="D24" s="19"/>
      <c r="E24" s="89"/>
      <c r="F24" s="29"/>
    </row>
    <row r="25" spans="1:6" s="15" customFormat="1" x14ac:dyDescent="0.3">
      <c r="A25" s="18"/>
      <c r="B25" s="71" t="s">
        <v>28</v>
      </c>
      <c r="C25" s="19"/>
      <c r="D25" s="19"/>
      <c r="E25" s="89"/>
      <c r="F25" s="29"/>
    </row>
    <row r="26" spans="1:6" ht="15" customHeight="1" x14ac:dyDescent="0.3">
      <c r="A26" s="20"/>
      <c r="B26" s="73" t="s">
        <v>29</v>
      </c>
      <c r="C26" s="31">
        <v>1</v>
      </c>
      <c r="D26" s="19" t="s">
        <v>30</v>
      </c>
      <c r="E26" s="89">
        <v>23000</v>
      </c>
      <c r="F26" s="29">
        <f t="shared" si="0"/>
        <v>23000</v>
      </c>
    </row>
    <row r="27" spans="1:6" s="15" customFormat="1" x14ac:dyDescent="0.3">
      <c r="A27" s="18"/>
      <c r="B27" s="28"/>
      <c r="C27" s="19"/>
      <c r="D27" s="19"/>
      <c r="E27" s="89"/>
      <c r="F27" s="29"/>
    </row>
    <row r="28" spans="1:6" s="15" customFormat="1" x14ac:dyDescent="0.3">
      <c r="A28" s="18"/>
      <c r="B28" s="71" t="s">
        <v>140</v>
      </c>
      <c r="C28" s="19"/>
      <c r="D28" s="19"/>
      <c r="E28" s="89"/>
      <c r="F28" s="29"/>
    </row>
    <row r="29" spans="1:6" s="15" customFormat="1" ht="42" customHeight="1" x14ac:dyDescent="0.3">
      <c r="A29" s="18"/>
      <c r="B29" s="30" t="s">
        <v>141</v>
      </c>
      <c r="C29" s="19"/>
      <c r="D29" s="19"/>
      <c r="E29" s="89"/>
      <c r="F29" s="29"/>
    </row>
    <row r="30" spans="1:6" s="15" customFormat="1" ht="16.5" customHeight="1" x14ac:dyDescent="0.3">
      <c r="A30" s="18"/>
      <c r="B30" s="74" t="s">
        <v>240</v>
      </c>
      <c r="C30" s="19">
        <v>96</v>
      </c>
      <c r="D30" s="19" t="s">
        <v>31</v>
      </c>
      <c r="E30" s="89">
        <v>6190</v>
      </c>
      <c r="F30" s="29">
        <f t="shared" si="0"/>
        <v>594240</v>
      </c>
    </row>
    <row r="31" spans="1:6" s="15" customFormat="1" x14ac:dyDescent="0.3">
      <c r="A31" s="18"/>
      <c r="B31" s="17"/>
      <c r="C31" s="19"/>
      <c r="D31" s="19"/>
      <c r="E31" s="90"/>
      <c r="F31" s="29"/>
    </row>
    <row r="32" spans="1:6" s="15" customFormat="1" x14ac:dyDescent="0.3">
      <c r="A32" s="18"/>
      <c r="B32" s="75" t="s">
        <v>32</v>
      </c>
      <c r="C32" s="19"/>
      <c r="D32" s="19"/>
      <c r="E32" s="90"/>
      <c r="F32" s="29"/>
    </row>
    <row r="33" spans="1:6" s="15" customFormat="1" x14ac:dyDescent="0.3">
      <c r="A33" s="18"/>
      <c r="B33" s="76" t="s">
        <v>33</v>
      </c>
      <c r="C33" s="19">
        <v>96</v>
      </c>
      <c r="D33" s="19" t="s">
        <v>31</v>
      </c>
      <c r="E33" s="90">
        <v>19.3</v>
      </c>
      <c r="F33" s="29">
        <f t="shared" si="0"/>
        <v>1852.8000000000002</v>
      </c>
    </row>
    <row r="34" spans="1:6" s="15" customFormat="1" x14ac:dyDescent="0.3">
      <c r="A34" s="18"/>
      <c r="B34" s="76"/>
      <c r="C34" s="19"/>
      <c r="D34" s="19"/>
      <c r="E34" s="90"/>
      <c r="F34" s="29"/>
    </row>
    <row r="35" spans="1:6" s="15" customFormat="1" x14ac:dyDescent="0.3">
      <c r="A35" s="20"/>
      <c r="B35" s="70" t="s">
        <v>281</v>
      </c>
      <c r="C35" s="19"/>
      <c r="D35" s="19"/>
      <c r="E35" s="92"/>
      <c r="F35" s="29"/>
    </row>
    <row r="36" spans="1:6" s="15" customFormat="1" x14ac:dyDescent="0.3">
      <c r="A36" s="20"/>
      <c r="B36" s="16" t="s">
        <v>26</v>
      </c>
      <c r="C36" s="19"/>
      <c r="D36" s="19"/>
      <c r="E36" s="92"/>
      <c r="F36" s="29"/>
    </row>
    <row r="37" spans="1:6" s="15" customFormat="1" x14ac:dyDescent="0.3">
      <c r="A37" s="20"/>
      <c r="B37" s="68" t="s">
        <v>27</v>
      </c>
      <c r="C37" s="19">
        <f>1.18*96</f>
        <v>113.28</v>
      </c>
      <c r="D37" s="19" t="s">
        <v>18</v>
      </c>
      <c r="E37" s="92">
        <v>15.69</v>
      </c>
      <c r="F37" s="29">
        <f t="shared" ref="F35:F37" si="1">C37*E37</f>
        <v>1777.3632</v>
      </c>
    </row>
    <row r="38" spans="1:6" s="15" customFormat="1" x14ac:dyDescent="0.3">
      <c r="A38" s="18"/>
      <c r="B38" s="76"/>
      <c r="C38" s="19"/>
      <c r="D38" s="19"/>
      <c r="E38" s="90"/>
      <c r="F38" s="29"/>
    </row>
    <row r="39" spans="1:6" s="15" customFormat="1" x14ac:dyDescent="0.3">
      <c r="A39" s="20"/>
      <c r="B39" s="109" t="s">
        <v>49</v>
      </c>
      <c r="C39" s="19"/>
      <c r="D39" s="19"/>
      <c r="E39" s="91"/>
      <c r="F39" s="29"/>
    </row>
    <row r="40" spans="1:6" s="15" customFormat="1" x14ac:dyDescent="0.3">
      <c r="A40" s="20"/>
      <c r="B40" s="72" t="s">
        <v>50</v>
      </c>
      <c r="C40" s="19"/>
      <c r="D40" s="19"/>
      <c r="E40" s="91"/>
      <c r="F40" s="29"/>
    </row>
    <row r="41" spans="1:6" s="15" customFormat="1" x14ac:dyDescent="0.3">
      <c r="A41" s="20"/>
      <c r="B41" s="70" t="s">
        <v>22</v>
      </c>
      <c r="C41" s="19"/>
      <c r="D41" s="19"/>
      <c r="E41" s="91"/>
      <c r="F41" s="29"/>
    </row>
    <row r="42" spans="1:6" s="15" customFormat="1" x14ac:dyDescent="0.3">
      <c r="A42" s="20"/>
      <c r="B42" s="16" t="s">
        <v>51</v>
      </c>
      <c r="C42" s="19"/>
      <c r="D42" s="19"/>
      <c r="E42" s="91"/>
      <c r="F42" s="29"/>
    </row>
    <row r="43" spans="1:6" s="15" customFormat="1" x14ac:dyDescent="0.3">
      <c r="A43" s="20"/>
      <c r="B43" s="68" t="s">
        <v>52</v>
      </c>
      <c r="C43" s="19">
        <v>176.4</v>
      </c>
      <c r="D43" s="19" t="s">
        <v>18</v>
      </c>
      <c r="E43" s="92">
        <v>8</v>
      </c>
      <c r="F43" s="29">
        <f t="shared" ref="F39:F95" si="2">C43*E43</f>
        <v>1411.2</v>
      </c>
    </row>
    <row r="44" spans="1:6" s="15" customFormat="1" x14ac:dyDescent="0.3">
      <c r="A44" s="20"/>
      <c r="B44" s="16"/>
      <c r="C44" s="19"/>
      <c r="D44" s="19"/>
      <c r="E44" s="91"/>
      <c r="F44" s="29"/>
    </row>
    <row r="45" spans="1:6" s="15" customFormat="1" x14ac:dyDescent="0.3">
      <c r="A45" s="20"/>
      <c r="B45" s="70" t="s">
        <v>35</v>
      </c>
      <c r="C45" s="19"/>
      <c r="D45" s="19"/>
      <c r="E45" s="91"/>
      <c r="F45" s="29"/>
    </row>
    <row r="46" spans="1:6" s="15" customFormat="1" ht="16.8" customHeight="1" x14ac:dyDescent="0.3">
      <c r="A46" s="20"/>
      <c r="B46" s="16" t="s">
        <v>280</v>
      </c>
      <c r="C46" s="19"/>
      <c r="D46" s="78"/>
      <c r="E46" s="91"/>
      <c r="F46" s="29"/>
    </row>
    <row r="47" spans="1:6" s="15" customFormat="1" x14ac:dyDescent="0.3">
      <c r="A47" s="20"/>
      <c r="B47" s="68" t="s">
        <v>272</v>
      </c>
      <c r="C47" s="19">
        <v>130.19999999999999</v>
      </c>
      <c r="D47" s="78" t="s">
        <v>18</v>
      </c>
      <c r="E47" s="92">
        <v>8</v>
      </c>
      <c r="F47" s="29">
        <f t="shared" si="2"/>
        <v>1041.5999999999999</v>
      </c>
    </row>
    <row r="48" spans="1:6" s="15" customFormat="1" x14ac:dyDescent="0.3">
      <c r="A48" s="20"/>
      <c r="B48" s="16"/>
      <c r="C48" s="19"/>
      <c r="D48" s="19"/>
      <c r="E48" s="92"/>
      <c r="F48" s="29"/>
    </row>
    <row r="49" spans="1:6" s="15" customFormat="1" x14ac:dyDescent="0.3">
      <c r="A49" s="20"/>
      <c r="B49" s="70" t="s">
        <v>19</v>
      </c>
      <c r="C49" s="19"/>
      <c r="D49" s="19"/>
      <c r="E49" s="92"/>
      <c r="F49" s="29"/>
    </row>
    <row r="50" spans="1:6" s="15" customFormat="1" x14ac:dyDescent="0.3">
      <c r="A50" s="20"/>
      <c r="B50" s="68" t="s">
        <v>53</v>
      </c>
      <c r="C50" s="19">
        <v>302.60000000000002</v>
      </c>
      <c r="D50" s="19" t="s">
        <v>21</v>
      </c>
      <c r="E50" s="92">
        <v>2.8</v>
      </c>
      <c r="F50" s="29">
        <f t="shared" si="2"/>
        <v>847.28</v>
      </c>
    </row>
    <row r="51" spans="1:6" s="15" customFormat="1" x14ac:dyDescent="0.3">
      <c r="A51" s="20"/>
      <c r="B51" s="16"/>
      <c r="C51" s="19"/>
      <c r="D51" s="19"/>
      <c r="E51" s="92"/>
      <c r="F51" s="29"/>
    </row>
    <row r="52" spans="1:6" s="15" customFormat="1" x14ac:dyDescent="0.3">
      <c r="A52" s="20"/>
      <c r="B52" s="70" t="s">
        <v>37</v>
      </c>
      <c r="C52" s="19"/>
      <c r="D52" s="19"/>
      <c r="E52" s="92"/>
      <c r="F52" s="29"/>
    </row>
    <row r="53" spans="1:6" s="15" customFormat="1" x14ac:dyDescent="0.3">
      <c r="A53" s="20"/>
      <c r="B53" s="16" t="s">
        <v>26</v>
      </c>
      <c r="C53" s="19"/>
      <c r="D53" s="19"/>
      <c r="E53" s="92"/>
      <c r="F53" s="29"/>
    </row>
    <row r="54" spans="1:6" s="15" customFormat="1" x14ac:dyDescent="0.3">
      <c r="A54" s="20"/>
      <c r="B54" s="68" t="s">
        <v>27</v>
      </c>
      <c r="C54" s="19">
        <f>C43</f>
        <v>176.4</v>
      </c>
      <c r="D54" s="19" t="s">
        <v>18</v>
      </c>
      <c r="E54" s="92">
        <v>15.69</v>
      </c>
      <c r="F54" s="29">
        <f t="shared" si="2"/>
        <v>2767.7159999999999</v>
      </c>
    </row>
    <row r="55" spans="1:6" s="15" customFormat="1" x14ac:dyDescent="0.3">
      <c r="A55" s="20"/>
      <c r="B55" s="68"/>
      <c r="C55" s="19"/>
      <c r="D55" s="19"/>
      <c r="E55" s="92"/>
      <c r="F55" s="29"/>
    </row>
    <row r="56" spans="1:6" s="15" customFormat="1" x14ac:dyDescent="0.3">
      <c r="A56" s="20"/>
      <c r="B56" s="72" t="s">
        <v>44</v>
      </c>
      <c r="C56" s="19"/>
      <c r="D56" s="19"/>
      <c r="E56" s="92"/>
      <c r="F56" s="29"/>
    </row>
    <row r="57" spans="1:6" s="15" customFormat="1" x14ac:dyDescent="0.3">
      <c r="A57" s="20"/>
      <c r="B57" s="70" t="s">
        <v>316</v>
      </c>
      <c r="C57" s="19"/>
      <c r="D57" s="19"/>
      <c r="E57" s="92"/>
      <c r="F57" s="29"/>
    </row>
    <row r="58" spans="1:6" s="15" customFormat="1" x14ac:dyDescent="0.3">
      <c r="A58" s="20"/>
      <c r="B58" s="16" t="s">
        <v>56</v>
      </c>
      <c r="C58" s="19"/>
      <c r="D58" s="19"/>
      <c r="E58" s="92"/>
      <c r="F58" s="29"/>
    </row>
    <row r="59" spans="1:6" s="15" customFormat="1" x14ac:dyDescent="0.3">
      <c r="A59" s="20"/>
      <c r="B59" s="68" t="s">
        <v>295</v>
      </c>
      <c r="C59" s="19">
        <v>111.2</v>
      </c>
      <c r="D59" s="19" t="s">
        <v>21</v>
      </c>
      <c r="E59" s="92">
        <v>32</v>
      </c>
      <c r="F59" s="29">
        <f t="shared" si="2"/>
        <v>3558.4</v>
      </c>
    </row>
    <row r="60" spans="1:6" s="15" customFormat="1" x14ac:dyDescent="0.3">
      <c r="A60" s="20"/>
      <c r="B60" s="68" t="s">
        <v>296</v>
      </c>
      <c r="C60" s="19">
        <v>83.4</v>
      </c>
      <c r="D60" s="19" t="s">
        <v>21</v>
      </c>
      <c r="E60" s="92">
        <v>35</v>
      </c>
      <c r="F60" s="29">
        <f t="shared" si="2"/>
        <v>2919</v>
      </c>
    </row>
    <row r="61" spans="1:6" s="15" customFormat="1" x14ac:dyDescent="0.3">
      <c r="A61" s="20"/>
      <c r="B61" s="16"/>
      <c r="C61" s="19"/>
      <c r="D61" s="19"/>
      <c r="E61" s="91"/>
      <c r="F61" s="29"/>
    </row>
    <row r="62" spans="1:6" s="15" customFormat="1" x14ac:dyDescent="0.3">
      <c r="A62" s="20"/>
      <c r="B62" s="72" t="s">
        <v>47</v>
      </c>
      <c r="C62" s="19"/>
      <c r="D62" s="19"/>
      <c r="E62" s="91"/>
      <c r="F62" s="29"/>
    </row>
    <row r="63" spans="1:6" s="15" customFormat="1" ht="26.4" x14ac:dyDescent="0.3">
      <c r="A63" s="20"/>
      <c r="B63" s="70" t="s">
        <v>143</v>
      </c>
      <c r="C63" s="19"/>
      <c r="D63" s="19"/>
      <c r="E63" s="91"/>
      <c r="F63" s="29"/>
    </row>
    <row r="64" spans="1:6" s="15" customFormat="1" x14ac:dyDescent="0.3">
      <c r="A64" s="20"/>
      <c r="B64" s="68" t="s">
        <v>142</v>
      </c>
      <c r="C64" s="19">
        <v>0.6371</v>
      </c>
      <c r="D64" s="19" t="s">
        <v>48</v>
      </c>
      <c r="E64" s="92">
        <v>1200</v>
      </c>
      <c r="F64" s="29">
        <f t="shared" si="2"/>
        <v>764.52</v>
      </c>
    </row>
    <row r="65" spans="1:6" s="15" customFormat="1" x14ac:dyDescent="0.3">
      <c r="A65" s="20"/>
      <c r="B65" s="16"/>
      <c r="C65" s="19"/>
      <c r="D65" s="19"/>
      <c r="E65" s="91"/>
      <c r="F65" s="29"/>
    </row>
    <row r="66" spans="1:6" s="15" customFormat="1" x14ac:dyDescent="0.3">
      <c r="A66" s="20"/>
      <c r="B66" s="72" t="s">
        <v>39</v>
      </c>
      <c r="C66" s="19"/>
      <c r="D66" s="19"/>
      <c r="E66" s="91"/>
      <c r="F66" s="29"/>
    </row>
    <row r="67" spans="1:6" s="15" customFormat="1" x14ac:dyDescent="0.3">
      <c r="A67" s="20"/>
      <c r="B67" s="70" t="s">
        <v>40</v>
      </c>
      <c r="C67" s="19"/>
      <c r="D67" s="19"/>
      <c r="E67" s="91"/>
      <c r="F67" s="29"/>
    </row>
    <row r="68" spans="1:6" s="15" customFormat="1" x14ac:dyDescent="0.3">
      <c r="A68" s="20"/>
      <c r="B68" s="16" t="s">
        <v>54</v>
      </c>
      <c r="C68" s="19"/>
      <c r="D68" s="19"/>
      <c r="E68" s="91"/>
      <c r="F68" s="29"/>
    </row>
    <row r="69" spans="1:6" s="15" customFormat="1" x14ac:dyDescent="0.3">
      <c r="A69" s="20"/>
      <c r="B69" s="68" t="s">
        <v>42</v>
      </c>
      <c r="C69" s="19">
        <v>8.1300000000000008</v>
      </c>
      <c r="D69" s="19" t="s">
        <v>18</v>
      </c>
      <c r="E69" s="92">
        <v>180</v>
      </c>
      <c r="F69" s="29">
        <f t="shared" si="2"/>
        <v>1463.4</v>
      </c>
    </row>
    <row r="70" spans="1:6" s="15" customFormat="1" x14ac:dyDescent="0.3">
      <c r="A70" s="20"/>
      <c r="B70" s="16"/>
      <c r="C70" s="19"/>
      <c r="D70" s="19"/>
      <c r="E70" s="91"/>
      <c r="F70" s="29"/>
    </row>
    <row r="71" spans="1:6" s="15" customFormat="1" x14ac:dyDescent="0.3">
      <c r="A71" s="20"/>
      <c r="B71" s="70" t="s">
        <v>144</v>
      </c>
      <c r="C71" s="19"/>
      <c r="D71" s="19"/>
      <c r="E71" s="91"/>
      <c r="F71" s="29"/>
    </row>
    <row r="72" spans="1:6" s="15" customFormat="1" x14ac:dyDescent="0.3">
      <c r="A72" s="20"/>
      <c r="B72" s="16" t="s">
        <v>55</v>
      </c>
      <c r="C72" s="19"/>
      <c r="D72" s="19"/>
      <c r="E72" s="91"/>
      <c r="F72" s="29"/>
    </row>
    <row r="73" spans="1:6" s="15" customFormat="1" x14ac:dyDescent="0.3">
      <c r="A73" s="20"/>
      <c r="B73" s="68" t="s">
        <v>145</v>
      </c>
      <c r="C73" s="19">
        <v>174.49</v>
      </c>
      <c r="D73" s="19" t="s">
        <v>18</v>
      </c>
      <c r="E73" s="92">
        <v>185</v>
      </c>
      <c r="F73" s="29">
        <f t="shared" si="2"/>
        <v>32280.65</v>
      </c>
    </row>
    <row r="74" spans="1:6" s="15" customFormat="1" x14ac:dyDescent="0.3">
      <c r="A74" s="20"/>
      <c r="B74" s="68"/>
      <c r="C74" s="19"/>
      <c r="D74" s="19"/>
      <c r="E74" s="91"/>
      <c r="F74" s="29"/>
    </row>
    <row r="75" spans="1:6" s="15" customFormat="1" x14ac:dyDescent="0.3">
      <c r="A75" s="20"/>
      <c r="B75" s="70" t="s">
        <v>124</v>
      </c>
      <c r="C75" s="19"/>
      <c r="D75" s="19"/>
      <c r="E75" s="91"/>
      <c r="F75" s="29"/>
    </row>
    <row r="76" spans="1:6" s="15" customFormat="1" x14ac:dyDescent="0.3">
      <c r="A76" s="20"/>
      <c r="B76" s="68" t="s">
        <v>125</v>
      </c>
      <c r="C76" s="19">
        <v>1</v>
      </c>
      <c r="D76" s="19" t="s">
        <v>30</v>
      </c>
      <c r="E76" s="92">
        <v>500</v>
      </c>
      <c r="F76" s="29">
        <f t="shared" si="2"/>
        <v>500</v>
      </c>
    </row>
    <row r="77" spans="1:6" s="15" customFormat="1" x14ac:dyDescent="0.3">
      <c r="A77" s="20"/>
      <c r="B77" s="68"/>
      <c r="C77" s="19"/>
      <c r="D77" s="19"/>
      <c r="E77" s="91"/>
      <c r="F77" s="29"/>
    </row>
    <row r="78" spans="1:6" s="15" customFormat="1" x14ac:dyDescent="0.3">
      <c r="A78" s="20"/>
      <c r="B78" s="109" t="s">
        <v>156</v>
      </c>
      <c r="C78" s="19"/>
      <c r="D78" s="19"/>
      <c r="E78" s="91"/>
      <c r="F78" s="29"/>
    </row>
    <row r="79" spans="1:6" s="15" customFormat="1" x14ac:dyDescent="0.3">
      <c r="A79" s="20"/>
      <c r="B79" s="72" t="s">
        <v>157</v>
      </c>
      <c r="C79" s="19"/>
      <c r="D79" s="19"/>
      <c r="E79" s="91"/>
      <c r="F79" s="29"/>
    </row>
    <row r="80" spans="1:6" s="15" customFormat="1" x14ac:dyDescent="0.3">
      <c r="A80" s="20"/>
      <c r="B80" s="16" t="s">
        <v>159</v>
      </c>
      <c r="C80" s="19"/>
      <c r="D80" s="19"/>
      <c r="E80" s="91"/>
      <c r="F80" s="29"/>
    </row>
    <row r="81" spans="1:6" s="15" customFormat="1" x14ac:dyDescent="0.3">
      <c r="A81" s="20"/>
      <c r="B81" s="68" t="s">
        <v>158</v>
      </c>
      <c r="C81" s="19">
        <v>6</v>
      </c>
      <c r="D81" s="19" t="s">
        <v>31</v>
      </c>
      <c r="E81" s="92">
        <v>4.2</v>
      </c>
      <c r="F81" s="29">
        <f t="shared" si="2"/>
        <v>25.200000000000003</v>
      </c>
    </row>
    <row r="82" spans="1:6" s="15" customFormat="1" x14ac:dyDescent="0.3">
      <c r="A82" s="20"/>
      <c r="B82" s="16"/>
      <c r="C82" s="19"/>
      <c r="D82" s="19"/>
      <c r="E82" s="92"/>
      <c r="F82" s="29"/>
    </row>
    <row r="83" spans="1:6" s="15" customFormat="1" x14ac:dyDescent="0.3">
      <c r="A83" s="20"/>
      <c r="B83" s="109" t="s">
        <v>155</v>
      </c>
      <c r="C83" s="19"/>
      <c r="D83" s="19"/>
      <c r="E83" s="92"/>
      <c r="F83" s="29"/>
    </row>
    <row r="84" spans="1:6" s="15" customFormat="1" x14ac:dyDescent="0.3">
      <c r="A84" s="20"/>
      <c r="B84" s="72" t="s">
        <v>50</v>
      </c>
      <c r="C84" s="19"/>
      <c r="D84" s="19"/>
      <c r="E84" s="92"/>
      <c r="F84" s="29"/>
    </row>
    <row r="85" spans="1:6" s="15" customFormat="1" x14ac:dyDescent="0.3">
      <c r="A85" s="20"/>
      <c r="B85" s="70" t="s">
        <v>22</v>
      </c>
      <c r="C85" s="19"/>
      <c r="D85" s="19"/>
      <c r="E85" s="92"/>
      <c r="F85" s="29"/>
    </row>
    <row r="86" spans="1:6" s="15" customFormat="1" x14ac:dyDescent="0.3">
      <c r="A86" s="20"/>
      <c r="B86" s="16" t="s">
        <v>51</v>
      </c>
      <c r="C86" s="19"/>
      <c r="D86" s="19"/>
      <c r="E86" s="92"/>
      <c r="F86" s="29"/>
    </row>
    <row r="87" spans="1:6" s="15" customFormat="1" x14ac:dyDescent="0.3">
      <c r="A87" s="20"/>
      <c r="B87" s="68" t="s">
        <v>52</v>
      </c>
      <c r="C87" s="19">
        <f>'Take Off'!G191</f>
        <v>11.115</v>
      </c>
      <c r="D87" s="19" t="s">
        <v>18</v>
      </c>
      <c r="E87" s="92">
        <v>8</v>
      </c>
      <c r="F87" s="29">
        <f t="shared" si="2"/>
        <v>88.92</v>
      </c>
    </row>
    <row r="88" spans="1:6" s="15" customFormat="1" x14ac:dyDescent="0.3">
      <c r="A88" s="20"/>
      <c r="B88" s="16"/>
      <c r="C88" s="19"/>
      <c r="D88" s="19"/>
      <c r="E88" s="92"/>
      <c r="F88" s="29"/>
    </row>
    <row r="89" spans="1:6" s="15" customFormat="1" x14ac:dyDescent="0.3">
      <c r="A89" s="20"/>
      <c r="B89" s="70" t="s">
        <v>35</v>
      </c>
      <c r="C89" s="19"/>
      <c r="D89" s="19"/>
      <c r="E89" s="92"/>
      <c r="F89" s="29"/>
    </row>
    <row r="90" spans="1:6" s="15" customFormat="1" ht="26.4" x14ac:dyDescent="0.3">
      <c r="A90" s="20"/>
      <c r="B90" s="16" t="s">
        <v>138</v>
      </c>
      <c r="C90" s="19"/>
      <c r="D90" s="19"/>
      <c r="E90" s="92"/>
      <c r="F90" s="29"/>
    </row>
    <row r="91" spans="1:6" s="15" customFormat="1" x14ac:dyDescent="0.3">
      <c r="A91" s="20"/>
      <c r="B91" s="68" t="s">
        <v>313</v>
      </c>
      <c r="C91" s="19">
        <f>'Take Off'!C209</f>
        <v>11.41</v>
      </c>
      <c r="D91" s="19" t="s">
        <v>18</v>
      </c>
      <c r="E91" s="92">
        <v>6</v>
      </c>
      <c r="F91" s="29">
        <f t="shared" si="2"/>
        <v>68.460000000000008</v>
      </c>
    </row>
    <row r="92" spans="1:6" s="15" customFormat="1" x14ac:dyDescent="0.3">
      <c r="A92" s="20"/>
      <c r="B92" s="68"/>
      <c r="C92" s="19"/>
      <c r="D92" s="19"/>
      <c r="E92" s="92"/>
      <c r="F92" s="29"/>
    </row>
    <row r="93" spans="1:6" s="15" customFormat="1" x14ac:dyDescent="0.3">
      <c r="A93" s="20"/>
      <c r="B93" s="70" t="s">
        <v>19</v>
      </c>
      <c r="C93" s="19"/>
      <c r="D93" s="19"/>
      <c r="E93" s="92"/>
      <c r="F93" s="29"/>
    </row>
    <row r="94" spans="1:6" s="15" customFormat="1" x14ac:dyDescent="0.3">
      <c r="A94" s="20"/>
      <c r="B94" s="68" t="s">
        <v>57</v>
      </c>
      <c r="C94" s="19">
        <f>'Take Off'!C222</f>
        <v>22.524999999999999</v>
      </c>
      <c r="D94" s="19" t="s">
        <v>21</v>
      </c>
      <c r="E94" s="92">
        <v>2.8</v>
      </c>
      <c r="F94" s="29">
        <f t="shared" si="2"/>
        <v>63.069999999999993</v>
      </c>
    </row>
    <row r="95" spans="1:6" s="15" customFormat="1" x14ac:dyDescent="0.3">
      <c r="A95" s="20"/>
      <c r="B95" s="16"/>
      <c r="C95" s="19"/>
      <c r="D95" s="19"/>
      <c r="E95" s="92"/>
      <c r="F95" s="29"/>
    </row>
    <row r="96" spans="1:6" s="15" customFormat="1" x14ac:dyDescent="0.3">
      <c r="A96" s="20"/>
      <c r="B96" s="70" t="s">
        <v>37</v>
      </c>
      <c r="C96" s="19"/>
      <c r="D96" s="19"/>
      <c r="E96" s="92"/>
      <c r="F96" s="29"/>
    </row>
    <row r="97" spans="1:6" s="15" customFormat="1" x14ac:dyDescent="0.3">
      <c r="A97" s="20"/>
      <c r="B97" s="16" t="s">
        <v>26</v>
      </c>
      <c r="C97" s="19"/>
      <c r="D97" s="19"/>
      <c r="E97" s="92"/>
      <c r="F97" s="29"/>
    </row>
    <row r="98" spans="1:6" s="15" customFormat="1" x14ac:dyDescent="0.3">
      <c r="A98" s="20"/>
      <c r="B98" s="68" t="s">
        <v>27</v>
      </c>
      <c r="C98" s="19">
        <f>C87</f>
        <v>11.115</v>
      </c>
      <c r="D98" s="19" t="s">
        <v>18</v>
      </c>
      <c r="E98" s="92">
        <v>15.69</v>
      </c>
      <c r="F98" s="29">
        <f t="shared" ref="F96:F149" si="3">C98*E98</f>
        <v>174.39435</v>
      </c>
    </row>
    <row r="99" spans="1:6" s="15" customFormat="1" x14ac:dyDescent="0.3">
      <c r="A99" s="20"/>
      <c r="B99" s="68"/>
      <c r="C99" s="19"/>
      <c r="D99" s="19"/>
      <c r="E99" s="92"/>
      <c r="F99" s="29"/>
    </row>
    <row r="100" spans="1:6" s="15" customFormat="1" x14ac:dyDescent="0.3">
      <c r="A100" s="20"/>
      <c r="B100" s="72" t="s">
        <v>44</v>
      </c>
      <c r="C100" s="19"/>
      <c r="D100" s="19"/>
      <c r="E100" s="92"/>
      <c r="F100" s="29"/>
    </row>
    <row r="101" spans="1:6" s="15" customFormat="1" x14ac:dyDescent="0.3">
      <c r="A101" s="20"/>
      <c r="B101" s="70" t="s">
        <v>340</v>
      </c>
      <c r="C101" s="19"/>
      <c r="D101" s="19"/>
      <c r="E101" s="92"/>
      <c r="F101" s="29"/>
    </row>
    <row r="102" spans="1:6" s="15" customFormat="1" x14ac:dyDescent="0.3">
      <c r="A102" s="20"/>
      <c r="B102" s="16" t="s">
        <v>61</v>
      </c>
      <c r="C102" s="19"/>
      <c r="D102" s="19"/>
      <c r="E102" s="92"/>
      <c r="F102" s="29"/>
    </row>
    <row r="103" spans="1:6" s="15" customFormat="1" x14ac:dyDescent="0.3">
      <c r="A103" s="20"/>
      <c r="B103" s="68" t="s">
        <v>162</v>
      </c>
      <c r="C103" s="19">
        <v>13.5</v>
      </c>
      <c r="D103" s="19" t="s">
        <v>46</v>
      </c>
      <c r="E103" s="92">
        <v>28</v>
      </c>
      <c r="F103" s="29">
        <f t="shared" si="3"/>
        <v>378</v>
      </c>
    </row>
    <row r="104" spans="1:6" s="15" customFormat="1" x14ac:dyDescent="0.3">
      <c r="A104" s="20"/>
      <c r="B104" s="16"/>
      <c r="C104" s="19"/>
      <c r="D104" s="19"/>
      <c r="E104" s="92"/>
      <c r="F104" s="29"/>
    </row>
    <row r="105" spans="1:6" s="15" customFormat="1" x14ac:dyDescent="0.3">
      <c r="A105" s="20"/>
      <c r="B105" s="16" t="s">
        <v>62</v>
      </c>
      <c r="C105" s="19"/>
      <c r="D105" s="19"/>
      <c r="E105" s="92"/>
      <c r="F105" s="29"/>
    </row>
    <row r="106" spans="1:6" s="15" customFormat="1" x14ac:dyDescent="0.3">
      <c r="A106" s="20"/>
      <c r="B106" s="68" t="s">
        <v>63</v>
      </c>
      <c r="C106" s="19">
        <f>'Take Off'!G199</f>
        <v>31.299999999999997</v>
      </c>
      <c r="D106" s="19" t="s">
        <v>21</v>
      </c>
      <c r="E106" s="92">
        <v>35</v>
      </c>
      <c r="F106" s="29">
        <f t="shared" si="3"/>
        <v>1095.5</v>
      </c>
    </row>
    <row r="107" spans="1:6" s="15" customFormat="1" x14ac:dyDescent="0.3">
      <c r="A107" s="20"/>
      <c r="B107" s="68"/>
      <c r="C107" s="19"/>
      <c r="D107" s="19"/>
      <c r="E107" s="92"/>
      <c r="F107" s="29"/>
    </row>
    <row r="108" spans="1:6" s="15" customFormat="1" x14ac:dyDescent="0.3">
      <c r="A108" s="20"/>
      <c r="B108" s="72" t="s">
        <v>65</v>
      </c>
      <c r="C108" s="19"/>
      <c r="D108" s="19"/>
      <c r="E108" s="92"/>
      <c r="F108" s="29"/>
    </row>
    <row r="109" spans="1:6" s="15" customFormat="1" x14ac:dyDescent="0.3">
      <c r="A109" s="20"/>
      <c r="B109" s="68" t="s">
        <v>66</v>
      </c>
      <c r="C109" s="31">
        <f>'Take Off'!G211</f>
        <v>28.664999999999999</v>
      </c>
      <c r="D109" s="19" t="s">
        <v>21</v>
      </c>
      <c r="E109" s="92">
        <f>17.62+5</f>
        <v>22.62</v>
      </c>
      <c r="F109" s="29">
        <f t="shared" si="3"/>
        <v>648.40229999999997</v>
      </c>
    </row>
    <row r="110" spans="1:6" s="15" customFormat="1" x14ac:dyDescent="0.3">
      <c r="A110" s="20"/>
      <c r="B110" s="16"/>
      <c r="C110" s="19"/>
      <c r="D110" s="19"/>
      <c r="E110" s="92"/>
      <c r="F110" s="29"/>
    </row>
    <row r="111" spans="1:6" s="15" customFormat="1" x14ac:dyDescent="0.3">
      <c r="A111" s="20"/>
      <c r="B111" s="72" t="s">
        <v>39</v>
      </c>
      <c r="C111" s="19"/>
      <c r="D111" s="19"/>
      <c r="E111" s="92"/>
      <c r="F111" s="29"/>
    </row>
    <row r="112" spans="1:6" s="15" customFormat="1" x14ac:dyDescent="0.3">
      <c r="A112" s="20"/>
      <c r="B112" s="70" t="s">
        <v>126</v>
      </c>
      <c r="C112" s="19"/>
      <c r="D112" s="19"/>
      <c r="E112" s="92"/>
      <c r="F112" s="29"/>
    </row>
    <row r="113" spans="1:6" s="15" customFormat="1" x14ac:dyDescent="0.3">
      <c r="A113" s="20"/>
      <c r="B113" s="16" t="s">
        <v>58</v>
      </c>
      <c r="C113" s="19"/>
      <c r="D113" s="19"/>
      <c r="E113" s="92"/>
      <c r="F113" s="29"/>
    </row>
    <row r="114" spans="1:6" s="15" customFormat="1" x14ac:dyDescent="0.3">
      <c r="A114" s="20"/>
      <c r="B114" s="68" t="s">
        <v>146</v>
      </c>
      <c r="C114" s="31">
        <f>'Take Off'!G217</f>
        <v>3.3344999999999998</v>
      </c>
      <c r="D114" s="19" t="s">
        <v>18</v>
      </c>
      <c r="E114" s="92">
        <v>230</v>
      </c>
      <c r="F114" s="29">
        <f t="shared" si="3"/>
        <v>766.93499999999995</v>
      </c>
    </row>
    <row r="115" spans="1:6" s="15" customFormat="1" x14ac:dyDescent="0.3">
      <c r="A115" s="20"/>
      <c r="B115" s="16"/>
      <c r="C115" s="19"/>
      <c r="D115" s="19"/>
      <c r="E115" s="92"/>
      <c r="F115" s="29"/>
    </row>
    <row r="116" spans="1:6" s="15" customFormat="1" x14ac:dyDescent="0.3">
      <c r="A116" s="20"/>
      <c r="B116" s="16" t="s">
        <v>59</v>
      </c>
      <c r="C116" s="19"/>
      <c r="D116" s="19"/>
      <c r="E116" s="92"/>
      <c r="F116" s="29"/>
    </row>
    <row r="117" spans="1:6" s="15" customFormat="1" x14ac:dyDescent="0.3">
      <c r="A117" s="20"/>
      <c r="B117" s="68" t="s">
        <v>329</v>
      </c>
      <c r="C117" s="19">
        <f>'Take Off'!G232</f>
        <v>3.5950000000000002</v>
      </c>
      <c r="D117" s="19" t="s">
        <v>18</v>
      </c>
      <c r="E117" s="92">
        <v>230</v>
      </c>
      <c r="F117" s="29">
        <f t="shared" si="3"/>
        <v>826.85</v>
      </c>
    </row>
    <row r="118" spans="1:6" s="15" customFormat="1" x14ac:dyDescent="0.3">
      <c r="A118" s="20"/>
      <c r="B118" s="16"/>
      <c r="C118" s="19"/>
      <c r="D118" s="19"/>
      <c r="E118" s="92"/>
      <c r="F118" s="29"/>
    </row>
    <row r="119" spans="1:6" s="15" customFormat="1" x14ac:dyDescent="0.3">
      <c r="A119" s="20"/>
      <c r="B119" s="70" t="s">
        <v>124</v>
      </c>
      <c r="C119" s="19"/>
      <c r="D119" s="19"/>
      <c r="E119" s="92"/>
      <c r="F119" s="29"/>
    </row>
    <row r="120" spans="1:6" s="15" customFormat="1" x14ac:dyDescent="0.3">
      <c r="A120" s="20"/>
      <c r="B120" s="68" t="s">
        <v>125</v>
      </c>
      <c r="C120" s="19">
        <v>1</v>
      </c>
      <c r="D120" s="19" t="s">
        <v>30</v>
      </c>
      <c r="E120" s="92">
        <v>250</v>
      </c>
      <c r="F120" s="29">
        <f t="shared" si="3"/>
        <v>250</v>
      </c>
    </row>
    <row r="121" spans="1:6" s="15" customFormat="1" x14ac:dyDescent="0.3">
      <c r="A121" s="20"/>
      <c r="B121" s="68"/>
      <c r="C121" s="19"/>
      <c r="D121" s="19"/>
      <c r="E121" s="92"/>
      <c r="F121" s="29"/>
    </row>
    <row r="122" spans="1:6" s="15" customFormat="1" x14ac:dyDescent="0.3">
      <c r="A122" s="20"/>
      <c r="B122" s="109" t="s">
        <v>160</v>
      </c>
      <c r="C122" s="19"/>
      <c r="D122" s="19"/>
      <c r="E122" s="92"/>
      <c r="F122" s="29"/>
    </row>
    <row r="123" spans="1:6" s="15" customFormat="1" x14ac:dyDescent="0.3">
      <c r="A123" s="20"/>
      <c r="B123" s="72" t="s">
        <v>50</v>
      </c>
      <c r="C123" s="19"/>
      <c r="D123" s="19"/>
      <c r="E123" s="92"/>
      <c r="F123" s="29"/>
    </row>
    <row r="124" spans="1:6" s="15" customFormat="1" x14ac:dyDescent="0.3">
      <c r="A124" s="20"/>
      <c r="B124" s="70" t="s">
        <v>22</v>
      </c>
      <c r="C124" s="19"/>
      <c r="D124" s="19"/>
      <c r="E124" s="92"/>
      <c r="F124" s="29"/>
    </row>
    <row r="125" spans="1:6" s="15" customFormat="1" x14ac:dyDescent="0.3">
      <c r="A125" s="20"/>
      <c r="B125" s="16" t="s">
        <v>51</v>
      </c>
      <c r="C125" s="19"/>
      <c r="D125" s="19"/>
      <c r="E125" s="92"/>
      <c r="F125" s="29"/>
    </row>
    <row r="126" spans="1:6" s="15" customFormat="1" x14ac:dyDescent="0.3">
      <c r="A126" s="20"/>
      <c r="B126" s="68" t="s">
        <v>24</v>
      </c>
      <c r="C126" s="19">
        <f>'Take Off'!C249</f>
        <v>4.5760000000000005</v>
      </c>
      <c r="D126" s="19" t="s">
        <v>18</v>
      </c>
      <c r="E126" s="92">
        <v>6</v>
      </c>
      <c r="F126" s="29">
        <f t="shared" si="3"/>
        <v>27.456000000000003</v>
      </c>
    </row>
    <row r="127" spans="1:6" s="15" customFormat="1" x14ac:dyDescent="0.3">
      <c r="A127" s="20"/>
      <c r="B127" s="16"/>
      <c r="C127" s="19"/>
      <c r="D127" s="19"/>
      <c r="E127" s="92"/>
      <c r="F127" s="29"/>
    </row>
    <row r="128" spans="1:6" s="15" customFormat="1" x14ac:dyDescent="0.3">
      <c r="A128" s="20"/>
      <c r="B128" s="70" t="s">
        <v>35</v>
      </c>
      <c r="C128" s="19"/>
      <c r="D128" s="19"/>
      <c r="E128" s="92"/>
      <c r="F128" s="29"/>
    </row>
    <row r="129" spans="1:6" s="15" customFormat="1" ht="26.4" x14ac:dyDescent="0.3">
      <c r="A129" s="20"/>
      <c r="B129" s="16" t="s">
        <v>138</v>
      </c>
      <c r="C129" s="19"/>
      <c r="D129" s="19"/>
      <c r="E129" s="92"/>
      <c r="F129" s="29"/>
    </row>
    <row r="130" spans="1:6" s="15" customFormat="1" x14ac:dyDescent="0.3">
      <c r="A130" s="20"/>
      <c r="B130" s="68" t="s">
        <v>313</v>
      </c>
      <c r="C130" s="19">
        <f>'Take Off'!C284</f>
        <v>13.244</v>
      </c>
      <c r="D130" s="19" t="s">
        <v>18</v>
      </c>
      <c r="E130" s="92">
        <v>6</v>
      </c>
      <c r="F130" s="29">
        <f t="shared" si="3"/>
        <v>79.463999999999999</v>
      </c>
    </row>
    <row r="131" spans="1:6" s="15" customFormat="1" x14ac:dyDescent="0.3">
      <c r="A131" s="20"/>
      <c r="B131" s="68"/>
      <c r="C131" s="19"/>
      <c r="D131" s="19"/>
      <c r="E131" s="92"/>
      <c r="F131" s="29"/>
    </row>
    <row r="132" spans="1:6" s="15" customFormat="1" x14ac:dyDescent="0.3">
      <c r="A132" s="20"/>
      <c r="B132" s="70" t="s">
        <v>19</v>
      </c>
      <c r="C132" s="19"/>
      <c r="D132" s="19"/>
      <c r="E132" s="92"/>
      <c r="F132" s="29"/>
    </row>
    <row r="133" spans="1:6" s="15" customFormat="1" x14ac:dyDescent="0.3">
      <c r="A133" s="20"/>
      <c r="B133" s="68" t="s">
        <v>57</v>
      </c>
      <c r="C133" s="19">
        <f>'Take Off'!G247</f>
        <v>16.200000000000003</v>
      </c>
      <c r="D133" s="19" t="s">
        <v>21</v>
      </c>
      <c r="E133" s="92">
        <v>2.8</v>
      </c>
      <c r="F133" s="29">
        <f t="shared" si="3"/>
        <v>45.360000000000007</v>
      </c>
    </row>
    <row r="134" spans="1:6" s="15" customFormat="1" x14ac:dyDescent="0.3">
      <c r="A134" s="20"/>
      <c r="B134" s="16"/>
      <c r="C134" s="19"/>
      <c r="D134" s="19"/>
      <c r="E134" s="92"/>
      <c r="F134" s="29"/>
    </row>
    <row r="135" spans="1:6" s="15" customFormat="1" x14ac:dyDescent="0.3">
      <c r="A135" s="20"/>
      <c r="B135" s="70" t="s">
        <v>37</v>
      </c>
      <c r="C135" s="19"/>
      <c r="D135" s="19"/>
      <c r="E135" s="92"/>
      <c r="F135" s="29"/>
    </row>
    <row r="136" spans="1:6" s="15" customFormat="1" x14ac:dyDescent="0.3">
      <c r="A136" s="20"/>
      <c r="B136" s="16" t="s">
        <v>26</v>
      </c>
      <c r="C136" s="19"/>
      <c r="D136" s="19"/>
      <c r="E136" s="92"/>
      <c r="F136" s="29"/>
    </row>
    <row r="137" spans="1:6" s="15" customFormat="1" x14ac:dyDescent="0.3">
      <c r="A137" s="20"/>
      <c r="B137" s="68" t="s">
        <v>27</v>
      </c>
      <c r="C137" s="19">
        <f>C126</f>
        <v>4.5760000000000005</v>
      </c>
      <c r="D137" s="19" t="s">
        <v>18</v>
      </c>
      <c r="E137" s="92">
        <v>15.69</v>
      </c>
      <c r="F137" s="29">
        <f t="shared" si="3"/>
        <v>71.797440000000009</v>
      </c>
    </row>
    <row r="138" spans="1:6" s="15" customFormat="1" x14ac:dyDescent="0.3">
      <c r="A138" s="20"/>
      <c r="B138" s="68"/>
      <c r="C138" s="19"/>
      <c r="D138" s="19"/>
      <c r="E138" s="92"/>
      <c r="F138" s="29"/>
    </row>
    <row r="139" spans="1:6" s="15" customFormat="1" x14ac:dyDescent="0.3">
      <c r="A139" s="20"/>
      <c r="B139" s="72" t="s">
        <v>165</v>
      </c>
      <c r="C139" s="19"/>
      <c r="D139" s="19"/>
      <c r="E139" s="92"/>
      <c r="F139" s="29"/>
    </row>
    <row r="140" spans="1:6" s="15" customFormat="1" x14ac:dyDescent="0.3">
      <c r="A140" s="20"/>
      <c r="B140" s="70" t="s">
        <v>69</v>
      </c>
      <c r="C140" s="19"/>
      <c r="D140" s="19"/>
      <c r="E140" s="92"/>
      <c r="F140" s="29"/>
    </row>
    <row r="141" spans="1:6" s="15" customFormat="1" ht="26.4" x14ac:dyDescent="0.3">
      <c r="A141" s="20"/>
      <c r="B141" s="68" t="s">
        <v>175</v>
      </c>
      <c r="C141" s="19">
        <f>'Take Off'!C300</f>
        <v>18.840000000000003</v>
      </c>
      <c r="D141" s="19" t="s">
        <v>21</v>
      </c>
      <c r="E141" s="92">
        <f>E109</f>
        <v>22.62</v>
      </c>
      <c r="F141" s="29">
        <f t="shared" si="3"/>
        <v>426.16080000000011</v>
      </c>
    </row>
    <row r="142" spans="1:6" s="15" customFormat="1" x14ac:dyDescent="0.3">
      <c r="A142" s="20"/>
      <c r="B142" s="16"/>
      <c r="C142" s="19"/>
      <c r="D142" s="19"/>
      <c r="E142" s="92"/>
      <c r="F142" s="29"/>
    </row>
    <row r="143" spans="1:6" s="15" customFormat="1" x14ac:dyDescent="0.3">
      <c r="A143" s="20"/>
      <c r="B143" s="72" t="s">
        <v>44</v>
      </c>
      <c r="C143" s="19"/>
      <c r="D143" s="19"/>
      <c r="E143" s="92"/>
      <c r="F143" s="29"/>
    </row>
    <row r="144" spans="1:6" s="15" customFormat="1" x14ac:dyDescent="0.3">
      <c r="A144" s="20"/>
      <c r="B144" s="70" t="s">
        <v>45</v>
      </c>
      <c r="C144" s="19"/>
      <c r="D144" s="19"/>
      <c r="E144" s="92"/>
      <c r="F144" s="29"/>
    </row>
    <row r="145" spans="1:6" s="15" customFormat="1" x14ac:dyDescent="0.3">
      <c r="A145" s="20"/>
      <c r="B145" s="16" t="s">
        <v>61</v>
      </c>
      <c r="C145" s="19"/>
      <c r="D145" s="19"/>
      <c r="E145" s="92"/>
      <c r="F145" s="29"/>
    </row>
    <row r="146" spans="1:6" s="15" customFormat="1" x14ac:dyDescent="0.3">
      <c r="A146" s="20"/>
      <c r="B146" s="68" t="s">
        <v>161</v>
      </c>
      <c r="C146" s="19">
        <f>'Take Off'!C312</f>
        <v>11.6</v>
      </c>
      <c r="D146" s="19" t="s">
        <v>46</v>
      </c>
      <c r="E146" s="92">
        <v>28</v>
      </c>
      <c r="F146" s="29">
        <f t="shared" si="3"/>
        <v>324.8</v>
      </c>
    </row>
    <row r="147" spans="1:6" s="15" customFormat="1" x14ac:dyDescent="0.3">
      <c r="A147" s="20"/>
      <c r="B147" s="16"/>
      <c r="C147" s="19"/>
      <c r="D147" s="19"/>
      <c r="E147" s="92"/>
      <c r="F147" s="29"/>
    </row>
    <row r="148" spans="1:6" s="15" customFormat="1" x14ac:dyDescent="0.3">
      <c r="A148" s="20"/>
      <c r="B148" s="16" t="s">
        <v>62</v>
      </c>
      <c r="C148" s="19"/>
      <c r="D148" s="19"/>
      <c r="E148" s="92"/>
      <c r="F148" s="29"/>
    </row>
    <row r="149" spans="1:6" s="15" customFormat="1" x14ac:dyDescent="0.3">
      <c r="A149" s="20"/>
      <c r="B149" s="68" t="s">
        <v>63</v>
      </c>
      <c r="C149" s="19">
        <f>'Take Off'!C334</f>
        <v>20.32</v>
      </c>
      <c r="D149" s="19" t="s">
        <v>21</v>
      </c>
      <c r="E149" s="92">
        <v>32</v>
      </c>
      <c r="F149" s="29">
        <f t="shared" si="3"/>
        <v>650.24</v>
      </c>
    </row>
    <row r="150" spans="1:6" s="15" customFormat="1" x14ac:dyDescent="0.3">
      <c r="A150" s="20"/>
      <c r="B150" s="68"/>
      <c r="C150" s="19"/>
      <c r="D150" s="19"/>
      <c r="E150" s="92"/>
      <c r="F150" s="29"/>
    </row>
    <row r="151" spans="1:6" s="15" customFormat="1" x14ac:dyDescent="0.3">
      <c r="A151" s="20"/>
      <c r="B151" s="72" t="s">
        <v>47</v>
      </c>
      <c r="C151" s="19"/>
      <c r="D151" s="19"/>
      <c r="E151" s="92"/>
      <c r="F151" s="29"/>
    </row>
    <row r="152" spans="1:6" s="15" customFormat="1" x14ac:dyDescent="0.3">
      <c r="A152" s="20"/>
      <c r="B152" s="70" t="s">
        <v>64</v>
      </c>
      <c r="C152" s="19"/>
      <c r="D152" s="19"/>
      <c r="E152" s="92"/>
      <c r="F152" s="29"/>
    </row>
    <row r="153" spans="1:6" s="15" customFormat="1" ht="26.4" x14ac:dyDescent="0.3">
      <c r="A153" s="20"/>
      <c r="B153" s="16" t="s">
        <v>172</v>
      </c>
      <c r="C153" s="19"/>
      <c r="D153" s="19"/>
      <c r="E153" s="92"/>
      <c r="F153" s="29"/>
    </row>
    <row r="154" spans="1:6" s="15" customFormat="1" x14ac:dyDescent="0.3">
      <c r="A154" s="20"/>
      <c r="B154" s="68" t="s">
        <v>132</v>
      </c>
      <c r="C154" s="19">
        <f>'Take Off'!G308</f>
        <v>25.559999999999995</v>
      </c>
      <c r="D154" s="19" t="s">
        <v>21</v>
      </c>
      <c r="E154" s="92">
        <v>23.6</v>
      </c>
      <c r="F154" s="29">
        <f t="shared" ref="F150:F204" si="4">C154*E154</f>
        <v>603.21599999999989</v>
      </c>
    </row>
    <row r="155" spans="1:6" s="15" customFormat="1" x14ac:dyDescent="0.3">
      <c r="A155" s="20"/>
      <c r="B155" s="68"/>
      <c r="C155" s="19"/>
      <c r="D155" s="19"/>
      <c r="E155" s="92"/>
      <c r="F155" s="29"/>
    </row>
    <row r="156" spans="1:6" s="15" customFormat="1" x14ac:dyDescent="0.3">
      <c r="A156" s="20"/>
      <c r="B156" s="68" t="s">
        <v>363</v>
      </c>
      <c r="C156" s="19">
        <f>'Take Off'!G320</f>
        <v>4.8</v>
      </c>
      <c r="D156" s="19" t="s">
        <v>46</v>
      </c>
      <c r="E156" s="92">
        <v>50</v>
      </c>
      <c r="F156" s="29">
        <f t="shared" si="4"/>
        <v>240</v>
      </c>
    </row>
    <row r="157" spans="1:6" s="15" customFormat="1" x14ac:dyDescent="0.3">
      <c r="A157" s="20"/>
      <c r="B157" s="68"/>
      <c r="C157" s="19"/>
      <c r="D157" s="19"/>
      <c r="E157" s="92"/>
      <c r="F157" s="29"/>
    </row>
    <row r="158" spans="1:6" s="15" customFormat="1" x14ac:dyDescent="0.3">
      <c r="A158" s="20"/>
      <c r="B158" s="68" t="s">
        <v>173</v>
      </c>
      <c r="C158" s="31">
        <f>'Take Off'!G325</f>
        <v>1.535625</v>
      </c>
      <c r="D158" s="19" t="s">
        <v>21</v>
      </c>
      <c r="E158" s="92">
        <v>314</v>
      </c>
      <c r="F158" s="29">
        <f t="shared" si="4"/>
        <v>482.18625000000003</v>
      </c>
    </row>
    <row r="159" spans="1:6" s="15" customFormat="1" x14ac:dyDescent="0.3">
      <c r="A159" s="20"/>
      <c r="B159" s="68"/>
      <c r="C159" s="19"/>
      <c r="D159" s="19"/>
      <c r="E159" s="92"/>
      <c r="F159" s="29"/>
    </row>
    <row r="160" spans="1:6" s="15" customFormat="1" x14ac:dyDescent="0.3">
      <c r="A160" s="20"/>
      <c r="B160" s="72" t="s">
        <v>39</v>
      </c>
      <c r="C160" s="19"/>
      <c r="D160" s="19"/>
      <c r="E160" s="92"/>
      <c r="F160" s="29"/>
    </row>
    <row r="161" spans="1:6" s="15" customFormat="1" x14ac:dyDescent="0.3">
      <c r="A161" s="20"/>
      <c r="B161" s="70" t="s">
        <v>163</v>
      </c>
      <c r="C161" s="19"/>
      <c r="D161" s="19"/>
      <c r="E161" s="92"/>
      <c r="F161" s="29"/>
    </row>
    <row r="162" spans="1:6" s="15" customFormat="1" x14ac:dyDescent="0.3">
      <c r="A162" s="20"/>
      <c r="B162" s="16" t="s">
        <v>58</v>
      </c>
      <c r="C162" s="19"/>
      <c r="D162" s="19"/>
      <c r="E162" s="92"/>
      <c r="F162" s="29"/>
    </row>
    <row r="163" spans="1:6" s="15" customFormat="1" x14ac:dyDescent="0.3">
      <c r="A163" s="20"/>
      <c r="B163" s="68" t="s">
        <v>164</v>
      </c>
      <c r="C163" s="19">
        <f>'Take Off'!C351</f>
        <v>0.83200000000000007</v>
      </c>
      <c r="D163" s="19" t="s">
        <v>18</v>
      </c>
      <c r="E163" s="92">
        <v>185</v>
      </c>
      <c r="F163" s="29">
        <f t="shared" si="4"/>
        <v>153.92000000000002</v>
      </c>
    </row>
    <row r="164" spans="1:6" s="15" customFormat="1" x14ac:dyDescent="0.3">
      <c r="A164" s="20"/>
      <c r="B164" s="16"/>
      <c r="C164" s="19"/>
      <c r="D164" s="19"/>
      <c r="E164" s="92"/>
      <c r="F164" s="29"/>
    </row>
    <row r="165" spans="1:6" s="15" customFormat="1" x14ac:dyDescent="0.3">
      <c r="A165" s="20"/>
      <c r="B165" s="16" t="s">
        <v>59</v>
      </c>
      <c r="C165" s="19"/>
      <c r="D165" s="19"/>
      <c r="E165" s="92"/>
      <c r="F165" s="29"/>
    </row>
    <row r="166" spans="1:6" s="15" customFormat="1" x14ac:dyDescent="0.3">
      <c r="A166" s="20"/>
      <c r="B166" s="68" t="s">
        <v>166</v>
      </c>
      <c r="C166" s="19">
        <f>'Take Off'!C353</f>
        <v>1.9440000000000002</v>
      </c>
      <c r="D166" s="19" t="s">
        <v>18</v>
      </c>
      <c r="E166" s="92">
        <v>185</v>
      </c>
      <c r="F166" s="29">
        <f t="shared" si="4"/>
        <v>359.64000000000004</v>
      </c>
    </row>
    <row r="167" spans="1:6" s="15" customFormat="1" x14ac:dyDescent="0.3">
      <c r="A167" s="20"/>
      <c r="B167" s="16"/>
      <c r="C167" s="19"/>
      <c r="D167" s="19"/>
      <c r="E167" s="92"/>
      <c r="F167" s="29"/>
    </row>
    <row r="168" spans="1:6" s="15" customFormat="1" x14ac:dyDescent="0.3">
      <c r="A168" s="20"/>
      <c r="B168" s="70" t="s">
        <v>124</v>
      </c>
      <c r="C168" s="19"/>
      <c r="D168" s="19"/>
      <c r="E168" s="92"/>
      <c r="F168" s="29"/>
    </row>
    <row r="169" spans="1:6" s="15" customFormat="1" x14ac:dyDescent="0.3">
      <c r="A169" s="20"/>
      <c r="B169" s="68" t="s">
        <v>125</v>
      </c>
      <c r="C169" s="19">
        <v>1</v>
      </c>
      <c r="D169" s="19" t="s">
        <v>30</v>
      </c>
      <c r="E169" s="92">
        <v>250</v>
      </c>
      <c r="F169" s="29">
        <f t="shared" si="4"/>
        <v>250</v>
      </c>
    </row>
    <row r="170" spans="1:6" s="15" customFormat="1" x14ac:dyDescent="0.3">
      <c r="A170" s="20"/>
      <c r="B170" s="68"/>
      <c r="C170" s="19"/>
      <c r="D170" s="19"/>
      <c r="E170" s="92"/>
      <c r="F170" s="29"/>
    </row>
    <row r="171" spans="1:6" s="15" customFormat="1" x14ac:dyDescent="0.3">
      <c r="A171" s="20"/>
      <c r="B171" s="109" t="s">
        <v>72</v>
      </c>
      <c r="C171" s="19"/>
      <c r="D171" s="19"/>
      <c r="E171" s="92"/>
      <c r="F171" s="29"/>
    </row>
    <row r="172" spans="1:6" s="15" customFormat="1" x14ac:dyDescent="0.3">
      <c r="A172" s="20"/>
      <c r="B172" s="72" t="s">
        <v>73</v>
      </c>
      <c r="C172" s="19"/>
      <c r="D172" s="19"/>
      <c r="E172" s="92"/>
      <c r="F172" s="29"/>
    </row>
    <row r="173" spans="1:6" s="15" customFormat="1" ht="42" customHeight="1" x14ac:dyDescent="0.3">
      <c r="A173" s="20"/>
      <c r="B173" s="16" t="s">
        <v>74</v>
      </c>
      <c r="C173" s="19"/>
      <c r="D173" s="19"/>
      <c r="E173" s="92"/>
      <c r="F173" s="29"/>
    </row>
    <row r="174" spans="1:6" s="15" customFormat="1" x14ac:dyDescent="0.3">
      <c r="A174" s="20"/>
      <c r="B174" s="70" t="s">
        <v>147</v>
      </c>
      <c r="C174" s="19"/>
      <c r="D174" s="19"/>
      <c r="E174" s="92"/>
      <c r="F174" s="29"/>
    </row>
    <row r="175" spans="1:6" s="15" customFormat="1" x14ac:dyDescent="0.3">
      <c r="A175" s="20"/>
      <c r="B175" s="68" t="s">
        <v>76</v>
      </c>
      <c r="C175" s="19">
        <v>10</v>
      </c>
      <c r="D175" s="19" t="s">
        <v>46</v>
      </c>
      <c r="E175" s="92">
        <v>19.13</v>
      </c>
      <c r="F175" s="29">
        <f t="shared" si="4"/>
        <v>191.29999999999998</v>
      </c>
    </row>
    <row r="176" spans="1:6" s="15" customFormat="1" x14ac:dyDescent="0.3">
      <c r="A176" s="20"/>
      <c r="B176" s="68" t="s">
        <v>79</v>
      </c>
      <c r="C176" s="19">
        <v>12</v>
      </c>
      <c r="D176" s="19" t="s">
        <v>46</v>
      </c>
      <c r="E176" s="92">
        <v>20.56</v>
      </c>
      <c r="F176" s="29">
        <f t="shared" si="4"/>
        <v>246.71999999999997</v>
      </c>
    </row>
    <row r="177" spans="1:6" s="15" customFormat="1" x14ac:dyDescent="0.3">
      <c r="A177" s="20"/>
      <c r="B177" s="68" t="s">
        <v>77</v>
      </c>
      <c r="C177" s="19">
        <v>17</v>
      </c>
      <c r="D177" s="19" t="s">
        <v>46</v>
      </c>
      <c r="E177" s="92">
        <v>21.3</v>
      </c>
      <c r="F177" s="29">
        <f t="shared" si="4"/>
        <v>362.1</v>
      </c>
    </row>
    <row r="178" spans="1:6" s="15" customFormat="1" x14ac:dyDescent="0.3">
      <c r="A178" s="20"/>
      <c r="B178" s="68" t="s">
        <v>78</v>
      </c>
      <c r="C178" s="19">
        <v>15</v>
      </c>
      <c r="D178" s="19" t="s">
        <v>46</v>
      </c>
      <c r="E178" s="92">
        <v>22.83</v>
      </c>
      <c r="F178" s="29">
        <f t="shared" si="4"/>
        <v>342.45</v>
      </c>
    </row>
    <row r="179" spans="1:6" s="15" customFormat="1" x14ac:dyDescent="0.3">
      <c r="A179" s="20"/>
      <c r="B179" s="68" t="s">
        <v>80</v>
      </c>
      <c r="C179" s="19">
        <v>10</v>
      </c>
      <c r="D179" s="19" t="s">
        <v>46</v>
      </c>
      <c r="E179" s="92">
        <v>24.98</v>
      </c>
      <c r="F179" s="29">
        <f t="shared" si="4"/>
        <v>249.8</v>
      </c>
    </row>
    <row r="180" spans="1:6" s="15" customFormat="1" ht="15" customHeight="1" x14ac:dyDescent="0.3">
      <c r="A180" s="20"/>
      <c r="B180" s="68" t="s">
        <v>81</v>
      </c>
      <c r="C180" s="19">
        <v>8</v>
      </c>
      <c r="D180" s="19" t="s">
        <v>46</v>
      </c>
      <c r="E180" s="92">
        <v>29.06</v>
      </c>
      <c r="F180" s="29">
        <f t="shared" si="4"/>
        <v>232.48</v>
      </c>
    </row>
    <row r="181" spans="1:6" s="15" customFormat="1" x14ac:dyDescent="0.3">
      <c r="A181" s="20"/>
      <c r="B181" s="16"/>
      <c r="C181" s="19"/>
      <c r="D181" s="19"/>
      <c r="E181" s="92"/>
      <c r="F181" s="29"/>
    </row>
    <row r="182" spans="1:6" s="15" customFormat="1" x14ac:dyDescent="0.3">
      <c r="A182" s="20"/>
      <c r="B182" s="70" t="s">
        <v>82</v>
      </c>
      <c r="C182" s="19"/>
      <c r="D182" s="19"/>
      <c r="E182" s="92"/>
      <c r="F182" s="29"/>
    </row>
    <row r="183" spans="1:6" s="15" customFormat="1" x14ac:dyDescent="0.3">
      <c r="A183" s="20"/>
      <c r="B183" s="16" t="s">
        <v>369</v>
      </c>
      <c r="C183" s="19"/>
      <c r="D183" s="19"/>
      <c r="E183" s="92"/>
      <c r="F183" s="29"/>
    </row>
    <row r="184" spans="1:6" s="15" customFormat="1" x14ac:dyDescent="0.3">
      <c r="A184" s="20"/>
      <c r="B184" s="68" t="s">
        <v>104</v>
      </c>
      <c r="C184" s="19">
        <v>72</v>
      </c>
      <c r="D184" s="19" t="s">
        <v>46</v>
      </c>
      <c r="E184" s="92">
        <v>2.2000000000000002</v>
      </c>
      <c r="F184" s="29">
        <f t="shared" si="4"/>
        <v>158.4</v>
      </c>
    </row>
    <row r="185" spans="1:6" s="15" customFormat="1" ht="15" customHeight="1" x14ac:dyDescent="0.3">
      <c r="A185" s="20"/>
      <c r="B185" s="16"/>
      <c r="C185" s="19"/>
      <c r="D185" s="19"/>
      <c r="E185" s="92"/>
      <c r="F185" s="29"/>
    </row>
    <row r="186" spans="1:6" s="15" customFormat="1" x14ac:dyDescent="0.3">
      <c r="A186" s="20"/>
      <c r="B186" s="70" t="s">
        <v>84</v>
      </c>
      <c r="C186" s="19"/>
      <c r="D186" s="19"/>
      <c r="E186" s="92"/>
      <c r="F186" s="29"/>
    </row>
    <row r="187" spans="1:6" s="15" customFormat="1" x14ac:dyDescent="0.3">
      <c r="A187" s="20"/>
      <c r="B187" s="16" t="s">
        <v>83</v>
      </c>
      <c r="C187" s="19"/>
      <c r="D187" s="19"/>
      <c r="E187" s="92"/>
      <c r="F187" s="29"/>
    </row>
    <row r="188" spans="1:6" s="15" customFormat="1" x14ac:dyDescent="0.3">
      <c r="A188" s="20"/>
      <c r="B188" s="68" t="s">
        <v>107</v>
      </c>
      <c r="C188" s="19">
        <v>72</v>
      </c>
      <c r="D188" s="19" t="s">
        <v>46</v>
      </c>
      <c r="E188" s="92">
        <v>13.93</v>
      </c>
      <c r="F188" s="29">
        <f t="shared" si="4"/>
        <v>1002.96</v>
      </c>
    </row>
    <row r="189" spans="1:6" s="15" customFormat="1" x14ac:dyDescent="0.3">
      <c r="A189" s="20"/>
      <c r="B189" s="16"/>
      <c r="C189" s="19"/>
      <c r="D189" s="19"/>
      <c r="E189" s="92"/>
      <c r="F189" s="29"/>
    </row>
    <row r="190" spans="1:6" s="15" customFormat="1" ht="15" customHeight="1" x14ac:dyDescent="0.3">
      <c r="A190" s="20"/>
      <c r="B190" s="70" t="s">
        <v>85</v>
      </c>
      <c r="C190" s="19"/>
      <c r="D190" s="19"/>
      <c r="E190" s="92"/>
      <c r="F190" s="29"/>
    </row>
    <row r="191" spans="1:6" s="15" customFormat="1" x14ac:dyDescent="0.3">
      <c r="A191" s="20"/>
      <c r="B191" s="68" t="s">
        <v>370</v>
      </c>
      <c r="C191" s="19">
        <v>24</v>
      </c>
      <c r="D191" s="19" t="s">
        <v>31</v>
      </c>
      <c r="E191" s="92">
        <v>23</v>
      </c>
      <c r="F191" s="29">
        <f t="shared" si="4"/>
        <v>552</v>
      </c>
    </row>
    <row r="192" spans="1:6" s="15" customFormat="1" x14ac:dyDescent="0.3">
      <c r="A192" s="20"/>
      <c r="B192" s="68" t="s">
        <v>371</v>
      </c>
      <c r="C192" s="19">
        <v>4</v>
      </c>
      <c r="D192" s="19" t="s">
        <v>31</v>
      </c>
      <c r="E192" s="92">
        <v>132</v>
      </c>
      <c r="F192" s="29">
        <f t="shared" si="4"/>
        <v>528</v>
      </c>
    </row>
    <row r="193" spans="1:6" s="15" customFormat="1" x14ac:dyDescent="0.3">
      <c r="A193" s="20"/>
      <c r="B193" s="16"/>
      <c r="C193" s="19"/>
      <c r="D193" s="19"/>
      <c r="E193" s="92"/>
      <c r="F193" s="29"/>
    </row>
    <row r="194" spans="1:6" s="15" customFormat="1" x14ac:dyDescent="0.3">
      <c r="A194" s="20"/>
      <c r="B194" s="109" t="s">
        <v>86</v>
      </c>
      <c r="C194" s="19"/>
      <c r="D194" s="19"/>
      <c r="E194" s="92"/>
      <c r="F194" s="29"/>
    </row>
    <row r="195" spans="1:6" s="15" customFormat="1" ht="15" customHeight="1" x14ac:dyDescent="0.3">
      <c r="A195" s="20"/>
      <c r="B195" s="72" t="s">
        <v>73</v>
      </c>
      <c r="C195" s="19"/>
      <c r="D195" s="19"/>
      <c r="E195" s="92"/>
      <c r="F195" s="29"/>
    </row>
    <row r="196" spans="1:6" s="15" customFormat="1" x14ac:dyDescent="0.3">
      <c r="A196" s="20"/>
      <c r="B196" s="70" t="s">
        <v>87</v>
      </c>
      <c r="C196" s="19"/>
      <c r="D196" s="19"/>
      <c r="E196" s="92"/>
      <c r="F196" s="29"/>
    </row>
    <row r="197" spans="1:6" s="15" customFormat="1" ht="39.6" x14ac:dyDescent="0.3">
      <c r="A197" s="20"/>
      <c r="B197" s="16" t="s">
        <v>88</v>
      </c>
      <c r="C197" s="19"/>
      <c r="D197" s="19"/>
      <c r="E197" s="92"/>
      <c r="F197" s="29"/>
    </row>
    <row r="198" spans="1:6" s="15" customFormat="1" x14ac:dyDescent="0.3">
      <c r="A198" s="20"/>
      <c r="B198" s="68" t="s">
        <v>89</v>
      </c>
      <c r="C198" s="19">
        <v>1</v>
      </c>
      <c r="D198" s="19" t="s">
        <v>31</v>
      </c>
      <c r="E198" s="92">
        <v>850</v>
      </c>
      <c r="F198" s="29">
        <f t="shared" si="4"/>
        <v>850</v>
      </c>
    </row>
    <row r="199" spans="1:6" s="15" customFormat="1" x14ac:dyDescent="0.3">
      <c r="A199" s="20"/>
      <c r="B199" s="68" t="s">
        <v>90</v>
      </c>
      <c r="C199" s="19">
        <v>1</v>
      </c>
      <c r="D199" s="19" t="s">
        <v>31</v>
      </c>
      <c r="E199" s="92">
        <v>925</v>
      </c>
      <c r="F199" s="29">
        <f t="shared" si="4"/>
        <v>925</v>
      </c>
    </row>
    <row r="200" spans="1:6" s="15" customFormat="1" x14ac:dyDescent="0.3">
      <c r="A200" s="20"/>
      <c r="B200" s="68" t="s">
        <v>91</v>
      </c>
      <c r="C200" s="19">
        <v>1</v>
      </c>
      <c r="D200" s="19" t="s">
        <v>31</v>
      </c>
      <c r="E200" s="92">
        <v>1200</v>
      </c>
      <c r="F200" s="29">
        <f t="shared" si="4"/>
        <v>1200</v>
      </c>
    </row>
    <row r="201" spans="1:6" s="15" customFormat="1" x14ac:dyDescent="0.3">
      <c r="A201" s="20"/>
      <c r="B201" s="16"/>
      <c r="C201" s="19"/>
      <c r="D201" s="19"/>
      <c r="E201" s="92"/>
      <c r="F201" s="29"/>
    </row>
    <row r="202" spans="1:6" s="15" customFormat="1" x14ac:dyDescent="0.3">
      <c r="A202" s="20"/>
      <c r="B202" s="70" t="s">
        <v>92</v>
      </c>
      <c r="C202" s="19"/>
      <c r="D202" s="19"/>
      <c r="E202" s="92"/>
      <c r="F202" s="29"/>
    </row>
    <row r="203" spans="1:6" s="15" customFormat="1" ht="26.4" x14ac:dyDescent="0.3">
      <c r="A203" s="20"/>
      <c r="B203" s="16" t="s">
        <v>93</v>
      </c>
      <c r="C203" s="19"/>
      <c r="D203" s="19"/>
      <c r="E203" s="92"/>
      <c r="F203" s="29"/>
    </row>
    <row r="204" spans="1:6" s="15" customFormat="1" x14ac:dyDescent="0.3">
      <c r="A204" s="20"/>
      <c r="B204" s="68" t="s">
        <v>94</v>
      </c>
      <c r="C204" s="19">
        <v>1</v>
      </c>
      <c r="D204" s="19" t="s">
        <v>31</v>
      </c>
      <c r="E204" s="92">
        <v>575</v>
      </c>
      <c r="F204" s="29">
        <f t="shared" si="4"/>
        <v>575</v>
      </c>
    </row>
    <row r="205" spans="1:6" s="15" customFormat="1" ht="15" customHeight="1" x14ac:dyDescent="0.3">
      <c r="A205" s="20"/>
      <c r="B205" s="16"/>
      <c r="C205" s="19"/>
      <c r="D205" s="19"/>
      <c r="E205" s="92"/>
      <c r="F205" s="29"/>
    </row>
    <row r="206" spans="1:6" s="15" customFormat="1" x14ac:dyDescent="0.3">
      <c r="A206" s="20"/>
      <c r="B206" s="109" t="s">
        <v>95</v>
      </c>
      <c r="C206" s="19"/>
      <c r="D206" s="19"/>
      <c r="E206" s="92"/>
      <c r="F206" s="29"/>
    </row>
    <row r="207" spans="1:6" s="15" customFormat="1" x14ac:dyDescent="0.3">
      <c r="A207" s="20"/>
      <c r="B207" s="72" t="s">
        <v>73</v>
      </c>
      <c r="C207" s="19"/>
      <c r="D207" s="19"/>
      <c r="E207" s="92"/>
      <c r="F207" s="29"/>
    </row>
    <row r="208" spans="1:6" s="15" customFormat="1" ht="39.6" x14ac:dyDescent="0.3">
      <c r="A208" s="20"/>
      <c r="B208" s="16" t="s">
        <v>96</v>
      </c>
      <c r="C208" s="19"/>
      <c r="D208" s="19"/>
      <c r="E208" s="92"/>
      <c r="F208" s="29"/>
    </row>
    <row r="209" spans="1:6" s="15" customFormat="1" ht="15" customHeight="1" x14ac:dyDescent="0.3">
      <c r="A209" s="20"/>
      <c r="B209" s="70" t="s">
        <v>75</v>
      </c>
      <c r="C209" s="19"/>
      <c r="D209" s="19"/>
      <c r="E209" s="92"/>
      <c r="F209" s="29"/>
    </row>
    <row r="210" spans="1:6" s="15" customFormat="1" x14ac:dyDescent="0.3">
      <c r="A210" s="20"/>
      <c r="B210" s="68" t="s">
        <v>97</v>
      </c>
      <c r="C210" s="19">
        <v>6</v>
      </c>
      <c r="D210" s="19" t="s">
        <v>46</v>
      </c>
      <c r="E210" s="92">
        <v>18.72</v>
      </c>
      <c r="F210" s="29">
        <f t="shared" ref="F205:F259" si="5">C210*E210</f>
        <v>112.32</v>
      </c>
    </row>
    <row r="211" spans="1:6" s="15" customFormat="1" x14ac:dyDescent="0.3">
      <c r="A211" s="20"/>
      <c r="B211" s="68" t="s">
        <v>79</v>
      </c>
      <c r="C211" s="19">
        <v>8</v>
      </c>
      <c r="D211" s="19" t="s">
        <v>46</v>
      </c>
      <c r="E211" s="92">
        <v>20.94</v>
      </c>
      <c r="F211" s="29">
        <f t="shared" si="5"/>
        <v>167.52</v>
      </c>
    </row>
    <row r="212" spans="1:6" s="15" customFormat="1" x14ac:dyDescent="0.3">
      <c r="A212" s="20"/>
      <c r="B212" s="68" t="s">
        <v>77</v>
      </c>
      <c r="C212" s="19">
        <v>14</v>
      </c>
      <c r="D212" s="19" t="s">
        <v>46</v>
      </c>
      <c r="E212" s="92">
        <v>21.7</v>
      </c>
      <c r="F212" s="29">
        <f t="shared" si="5"/>
        <v>303.8</v>
      </c>
    </row>
    <row r="213" spans="1:6" s="15" customFormat="1" x14ac:dyDescent="0.3">
      <c r="A213" s="20"/>
      <c r="B213" s="68" t="s">
        <v>78</v>
      </c>
      <c r="C213" s="19">
        <v>31</v>
      </c>
      <c r="D213" s="19" t="s">
        <v>46</v>
      </c>
      <c r="E213" s="92">
        <v>23.41</v>
      </c>
      <c r="F213" s="29">
        <f t="shared" si="5"/>
        <v>725.71</v>
      </c>
    </row>
    <row r="214" spans="1:6" s="15" customFormat="1" x14ac:dyDescent="0.3">
      <c r="A214" s="20"/>
      <c r="B214" s="68" t="s">
        <v>98</v>
      </c>
      <c r="C214" s="19">
        <v>35</v>
      </c>
      <c r="D214" s="19" t="s">
        <v>46</v>
      </c>
      <c r="E214" s="92">
        <v>25.57</v>
      </c>
      <c r="F214" s="29">
        <f t="shared" si="5"/>
        <v>894.95</v>
      </c>
    </row>
    <row r="215" spans="1:6" s="15" customFormat="1" x14ac:dyDescent="0.3">
      <c r="A215" s="20"/>
      <c r="B215" s="68" t="s">
        <v>99</v>
      </c>
      <c r="C215" s="19">
        <v>17</v>
      </c>
      <c r="D215" s="19" t="s">
        <v>46</v>
      </c>
      <c r="E215" s="92">
        <v>29.65</v>
      </c>
      <c r="F215" s="29">
        <f t="shared" si="5"/>
        <v>504.04999999999995</v>
      </c>
    </row>
    <row r="216" spans="1:6" s="15" customFormat="1" x14ac:dyDescent="0.3">
      <c r="A216" s="20"/>
      <c r="B216" s="68" t="s">
        <v>100</v>
      </c>
      <c r="C216" s="19">
        <v>10</v>
      </c>
      <c r="D216" s="19" t="s">
        <v>46</v>
      </c>
      <c r="E216" s="92">
        <v>33.72</v>
      </c>
      <c r="F216" s="29">
        <f t="shared" si="5"/>
        <v>337.2</v>
      </c>
    </row>
    <row r="217" spans="1:6" s="15" customFormat="1" x14ac:dyDescent="0.3">
      <c r="A217" s="20"/>
      <c r="B217" s="16"/>
      <c r="C217" s="19"/>
      <c r="D217" s="19"/>
      <c r="E217" s="92"/>
      <c r="F217" s="29"/>
    </row>
    <row r="218" spans="1:6" s="15" customFormat="1" x14ac:dyDescent="0.3">
      <c r="A218" s="20"/>
      <c r="B218" s="70" t="s">
        <v>101</v>
      </c>
      <c r="C218" s="19"/>
      <c r="D218" s="19"/>
      <c r="E218" s="92"/>
      <c r="F218" s="29"/>
    </row>
    <row r="219" spans="1:6" s="15" customFormat="1" ht="15" customHeight="1" x14ac:dyDescent="0.3">
      <c r="A219" s="20"/>
      <c r="B219" s="68" t="s">
        <v>80</v>
      </c>
      <c r="C219" s="19">
        <v>7</v>
      </c>
      <c r="D219" s="19" t="s">
        <v>46</v>
      </c>
      <c r="E219" s="92">
        <v>25.57</v>
      </c>
      <c r="F219" s="29">
        <f t="shared" si="5"/>
        <v>178.99</v>
      </c>
    </row>
    <row r="220" spans="1:6" s="15" customFormat="1" x14ac:dyDescent="0.3">
      <c r="A220" s="20"/>
      <c r="B220" s="68" t="s">
        <v>99</v>
      </c>
      <c r="C220" s="19">
        <v>9</v>
      </c>
      <c r="D220" s="19" t="s">
        <v>46</v>
      </c>
      <c r="E220" s="92">
        <v>29.65</v>
      </c>
      <c r="F220" s="29">
        <f t="shared" si="5"/>
        <v>266.84999999999997</v>
      </c>
    </row>
    <row r="221" spans="1:6" s="15" customFormat="1" x14ac:dyDescent="0.3">
      <c r="A221" s="20"/>
      <c r="B221" s="68" t="s">
        <v>100</v>
      </c>
      <c r="C221" s="19">
        <v>4</v>
      </c>
      <c r="D221" s="19" t="s">
        <v>46</v>
      </c>
      <c r="E221" s="92">
        <v>33.72</v>
      </c>
      <c r="F221" s="29">
        <f t="shared" si="5"/>
        <v>134.88</v>
      </c>
    </row>
    <row r="222" spans="1:6" s="15" customFormat="1" x14ac:dyDescent="0.3">
      <c r="A222" s="20"/>
      <c r="B222" s="16"/>
      <c r="C222" s="19"/>
      <c r="D222" s="19"/>
      <c r="E222" s="92"/>
      <c r="F222" s="29"/>
    </row>
    <row r="223" spans="1:6" s="15" customFormat="1" x14ac:dyDescent="0.3">
      <c r="A223" s="20"/>
      <c r="B223" s="70" t="s">
        <v>102</v>
      </c>
      <c r="C223" s="19"/>
      <c r="D223" s="19"/>
      <c r="E223" s="92"/>
      <c r="F223" s="29"/>
    </row>
    <row r="224" spans="1:6" s="15" customFormat="1" x14ac:dyDescent="0.3">
      <c r="A224" s="20"/>
      <c r="B224" s="16" t="s">
        <v>103</v>
      </c>
      <c r="C224" s="19"/>
      <c r="D224" s="19"/>
      <c r="E224" s="92"/>
      <c r="F224" s="29"/>
    </row>
    <row r="225" spans="1:6" s="15" customFormat="1" x14ac:dyDescent="0.3">
      <c r="A225" s="20"/>
      <c r="B225" s="68" t="s">
        <v>373</v>
      </c>
      <c r="C225" s="19">
        <v>121</v>
      </c>
      <c r="D225" s="19" t="s">
        <v>46</v>
      </c>
      <c r="E225" s="92">
        <v>2.2000000000000002</v>
      </c>
      <c r="F225" s="29">
        <f t="shared" si="5"/>
        <v>266.20000000000005</v>
      </c>
    </row>
    <row r="226" spans="1:6" s="15" customFormat="1" x14ac:dyDescent="0.3">
      <c r="A226" s="20"/>
      <c r="B226" s="68" t="s">
        <v>105</v>
      </c>
      <c r="C226" s="19">
        <v>20</v>
      </c>
      <c r="D226" s="19" t="s">
        <v>46</v>
      </c>
      <c r="E226" s="92">
        <v>2.2000000000000002</v>
      </c>
      <c r="F226" s="29">
        <f t="shared" si="5"/>
        <v>44</v>
      </c>
    </row>
    <row r="227" spans="1:6" s="15" customFormat="1" x14ac:dyDescent="0.3">
      <c r="A227" s="20"/>
      <c r="B227" s="16"/>
      <c r="C227" s="19"/>
      <c r="D227" s="19"/>
      <c r="E227" s="92"/>
      <c r="F227" s="29"/>
    </row>
    <row r="228" spans="1:6" s="15" customFormat="1" x14ac:dyDescent="0.3">
      <c r="A228" s="20"/>
      <c r="B228" s="70" t="s">
        <v>84</v>
      </c>
      <c r="C228" s="19"/>
      <c r="D228" s="19"/>
      <c r="E228" s="92"/>
      <c r="F228" s="29"/>
    </row>
    <row r="229" spans="1:6" s="15" customFormat="1" x14ac:dyDescent="0.3">
      <c r="A229" s="20"/>
      <c r="B229" s="16" t="s">
        <v>106</v>
      </c>
      <c r="C229" s="19"/>
      <c r="D229" s="19"/>
      <c r="E229" s="92"/>
      <c r="F229" s="29"/>
    </row>
    <row r="230" spans="1:6" s="15" customFormat="1" x14ac:dyDescent="0.3">
      <c r="A230" s="20"/>
      <c r="B230" s="68" t="s">
        <v>372</v>
      </c>
      <c r="C230" s="19">
        <v>121</v>
      </c>
      <c r="D230" s="19" t="s">
        <v>46</v>
      </c>
      <c r="E230" s="92">
        <v>25.69</v>
      </c>
      <c r="F230" s="29">
        <f t="shared" si="5"/>
        <v>3108.4900000000002</v>
      </c>
    </row>
    <row r="231" spans="1:6" s="15" customFormat="1" x14ac:dyDescent="0.3">
      <c r="A231" s="20"/>
      <c r="B231" s="68" t="s">
        <v>108</v>
      </c>
      <c r="C231" s="19">
        <v>20</v>
      </c>
      <c r="D231" s="19" t="s">
        <v>46</v>
      </c>
      <c r="E231" s="92">
        <v>39.32</v>
      </c>
      <c r="F231" s="29">
        <f t="shared" si="5"/>
        <v>786.4</v>
      </c>
    </row>
    <row r="232" spans="1:6" s="15" customFormat="1" x14ac:dyDescent="0.3">
      <c r="A232" s="20"/>
      <c r="B232" s="16"/>
      <c r="C232" s="19"/>
      <c r="D232" s="19"/>
      <c r="E232" s="92"/>
      <c r="F232" s="29"/>
    </row>
    <row r="233" spans="1:6" s="15" customFormat="1" ht="15" customHeight="1" x14ac:dyDescent="0.3">
      <c r="A233" s="20"/>
      <c r="B233" s="109" t="s">
        <v>109</v>
      </c>
      <c r="C233" s="19"/>
      <c r="D233" s="19"/>
      <c r="E233" s="92"/>
      <c r="F233" s="29"/>
    </row>
    <row r="234" spans="1:6" s="15" customFormat="1" x14ac:dyDescent="0.3">
      <c r="A234" s="20"/>
      <c r="B234" s="72" t="s">
        <v>73</v>
      </c>
      <c r="C234" s="19"/>
      <c r="D234" s="19"/>
      <c r="E234" s="92"/>
      <c r="F234" s="29"/>
    </row>
    <row r="235" spans="1:6" s="15" customFormat="1" x14ac:dyDescent="0.3">
      <c r="A235" s="20"/>
      <c r="B235" s="70" t="s">
        <v>110</v>
      </c>
      <c r="C235" s="19"/>
      <c r="D235" s="19"/>
      <c r="E235" s="92"/>
      <c r="F235" s="29"/>
    </row>
    <row r="236" spans="1:6" s="15" customFormat="1" ht="31.2" customHeight="1" x14ac:dyDescent="0.3">
      <c r="A236" s="20"/>
      <c r="B236" s="16" t="s">
        <v>111</v>
      </c>
      <c r="C236" s="19"/>
      <c r="D236" s="19"/>
      <c r="E236" s="92"/>
      <c r="F236" s="29"/>
    </row>
    <row r="237" spans="1:6" s="15" customFormat="1" x14ac:dyDescent="0.3">
      <c r="A237" s="20"/>
      <c r="B237" s="68" t="s">
        <v>112</v>
      </c>
      <c r="C237" s="19">
        <v>1</v>
      </c>
      <c r="D237" s="19" t="s">
        <v>31</v>
      </c>
      <c r="E237" s="92">
        <v>850</v>
      </c>
      <c r="F237" s="29">
        <f t="shared" si="5"/>
        <v>850</v>
      </c>
    </row>
    <row r="238" spans="1:6" s="15" customFormat="1" x14ac:dyDescent="0.3">
      <c r="A238" s="20"/>
      <c r="B238" s="68" t="s">
        <v>113</v>
      </c>
      <c r="C238" s="19">
        <v>1</v>
      </c>
      <c r="D238" s="19" t="s">
        <v>31</v>
      </c>
      <c r="E238" s="92">
        <v>980</v>
      </c>
      <c r="F238" s="29">
        <f t="shared" si="5"/>
        <v>980</v>
      </c>
    </row>
    <row r="239" spans="1:6" s="15" customFormat="1" ht="15" customHeight="1" x14ac:dyDescent="0.3">
      <c r="A239" s="20"/>
      <c r="B239" s="68" t="s">
        <v>114</v>
      </c>
      <c r="C239" s="19">
        <v>1</v>
      </c>
      <c r="D239" s="19" t="s">
        <v>31</v>
      </c>
      <c r="E239" s="92">
        <v>1200</v>
      </c>
      <c r="F239" s="29">
        <f t="shared" si="5"/>
        <v>1200</v>
      </c>
    </row>
    <row r="240" spans="1:6" s="15" customFormat="1" x14ac:dyDescent="0.3">
      <c r="A240" s="20"/>
      <c r="B240" s="68" t="s">
        <v>115</v>
      </c>
      <c r="C240" s="19">
        <v>1</v>
      </c>
      <c r="D240" s="19" t="s">
        <v>31</v>
      </c>
      <c r="E240" s="92">
        <v>1600</v>
      </c>
      <c r="F240" s="29">
        <f t="shared" si="5"/>
        <v>1600</v>
      </c>
    </row>
    <row r="241" spans="1:6" s="15" customFormat="1" x14ac:dyDescent="0.3">
      <c r="A241" s="20"/>
      <c r="B241" s="68" t="s">
        <v>116</v>
      </c>
      <c r="C241" s="19">
        <v>6</v>
      </c>
      <c r="D241" s="19" t="s">
        <v>31</v>
      </c>
      <c r="E241" s="92">
        <v>373.6</v>
      </c>
      <c r="F241" s="29">
        <f t="shared" si="5"/>
        <v>2241.6000000000004</v>
      </c>
    </row>
    <row r="242" spans="1:6" s="15" customFormat="1" x14ac:dyDescent="0.3">
      <c r="A242" s="20"/>
      <c r="B242" s="16"/>
      <c r="C242" s="19"/>
      <c r="D242" s="19"/>
      <c r="E242" s="92"/>
      <c r="F242" s="29"/>
    </row>
    <row r="243" spans="1:6" s="15" customFormat="1" x14ac:dyDescent="0.3">
      <c r="A243" s="20"/>
      <c r="B243" s="70" t="s">
        <v>92</v>
      </c>
      <c r="C243" s="19"/>
      <c r="D243" s="19"/>
      <c r="E243" s="92"/>
      <c r="F243" s="29"/>
    </row>
    <row r="244" spans="1:6" s="15" customFormat="1" ht="26.4" x14ac:dyDescent="0.3">
      <c r="A244" s="20"/>
      <c r="B244" s="16" t="s">
        <v>93</v>
      </c>
      <c r="C244" s="19"/>
      <c r="D244" s="19"/>
      <c r="E244" s="92"/>
      <c r="F244" s="29"/>
    </row>
    <row r="245" spans="1:6" s="15" customFormat="1" x14ac:dyDescent="0.3">
      <c r="A245" s="20"/>
      <c r="B245" s="68" t="s">
        <v>94</v>
      </c>
      <c r="C245" s="19">
        <v>1</v>
      </c>
      <c r="D245" s="19" t="s">
        <v>31</v>
      </c>
      <c r="E245" s="92">
        <v>500</v>
      </c>
      <c r="F245" s="29">
        <f t="shared" si="5"/>
        <v>500</v>
      </c>
    </row>
    <row r="246" spans="1:6" s="15" customFormat="1" ht="15" customHeight="1" x14ac:dyDescent="0.3">
      <c r="A246" s="20"/>
      <c r="B246" s="16"/>
      <c r="C246" s="19"/>
      <c r="D246" s="19"/>
      <c r="E246" s="92"/>
      <c r="F246" s="29"/>
    </row>
    <row r="247" spans="1:6" s="15" customFormat="1" x14ac:dyDescent="0.3">
      <c r="A247" s="20"/>
      <c r="B247" s="109" t="s">
        <v>117</v>
      </c>
      <c r="C247" s="19"/>
      <c r="D247" s="19"/>
      <c r="E247" s="92"/>
      <c r="F247" s="29"/>
    </row>
    <row r="248" spans="1:6" s="15" customFormat="1" x14ac:dyDescent="0.3">
      <c r="A248" s="20"/>
      <c r="B248" s="72" t="s">
        <v>127</v>
      </c>
      <c r="C248" s="19"/>
      <c r="D248" s="19"/>
      <c r="E248" s="92"/>
      <c r="F248" s="29"/>
    </row>
    <row r="249" spans="1:6" s="15" customFormat="1" ht="28.8" customHeight="1" x14ac:dyDescent="0.3">
      <c r="A249" s="20"/>
      <c r="B249" s="16" t="s">
        <v>197</v>
      </c>
      <c r="C249" s="19"/>
      <c r="D249" s="19"/>
      <c r="E249" s="92"/>
      <c r="F249" s="29"/>
    </row>
    <row r="250" spans="1:6" s="15" customFormat="1" ht="16.2" customHeight="1" x14ac:dyDescent="0.3">
      <c r="A250" s="20"/>
      <c r="B250" s="68" t="s">
        <v>196</v>
      </c>
      <c r="C250" s="19">
        <f>'Take Off'!C358</f>
        <v>520</v>
      </c>
      <c r="D250" s="19" t="s">
        <v>18</v>
      </c>
      <c r="E250" s="92">
        <v>6</v>
      </c>
      <c r="F250" s="29">
        <f t="shared" si="5"/>
        <v>3120</v>
      </c>
    </row>
    <row r="251" spans="1:6" s="15" customFormat="1" ht="16.8" customHeight="1" x14ac:dyDescent="0.3">
      <c r="A251" s="20"/>
      <c r="B251" s="16"/>
      <c r="C251" s="19"/>
      <c r="D251" s="19"/>
      <c r="E251" s="92"/>
      <c r="F251" s="29"/>
    </row>
    <row r="252" spans="1:6" s="15" customFormat="1" ht="16.8" customHeight="1" x14ac:dyDescent="0.3">
      <c r="A252" s="20"/>
      <c r="B252" s="68" t="s">
        <v>374</v>
      </c>
      <c r="C252" s="19">
        <v>130</v>
      </c>
      <c r="D252" s="19" t="s">
        <v>46</v>
      </c>
      <c r="E252" s="92">
        <v>3.21</v>
      </c>
      <c r="F252" s="29">
        <f t="shared" si="5"/>
        <v>417.3</v>
      </c>
    </row>
    <row r="253" spans="1:6" s="15" customFormat="1" x14ac:dyDescent="0.3">
      <c r="A253" s="20"/>
      <c r="B253" s="72"/>
      <c r="C253" s="19"/>
      <c r="D253" s="19"/>
      <c r="E253" s="92"/>
      <c r="F253" s="29"/>
    </row>
    <row r="254" spans="1:6" s="15" customFormat="1" x14ac:dyDescent="0.3">
      <c r="A254" s="20"/>
      <c r="B254" s="72" t="s">
        <v>118</v>
      </c>
      <c r="C254" s="19"/>
      <c r="D254" s="19"/>
      <c r="E254" s="92"/>
      <c r="F254" s="29"/>
    </row>
    <row r="255" spans="1:6" s="15" customFormat="1" ht="26.4" x14ac:dyDescent="0.3">
      <c r="A255" s="20"/>
      <c r="B255" s="68" t="s">
        <v>119</v>
      </c>
      <c r="C255" s="19">
        <f>'Take Off'!C363</f>
        <v>64</v>
      </c>
      <c r="D255" s="19" t="s">
        <v>18</v>
      </c>
      <c r="E255" s="92">
        <v>6</v>
      </c>
      <c r="F255" s="29">
        <f t="shared" si="5"/>
        <v>384</v>
      </c>
    </row>
    <row r="256" spans="1:6" s="15" customFormat="1" x14ac:dyDescent="0.3">
      <c r="A256" s="20"/>
      <c r="B256" s="68"/>
      <c r="C256" s="19"/>
      <c r="D256" s="19"/>
      <c r="E256" s="92"/>
      <c r="F256" s="29"/>
    </row>
    <row r="257" spans="1:6" s="15" customFormat="1" x14ac:dyDescent="0.3">
      <c r="A257" s="20"/>
      <c r="B257" s="70" t="s">
        <v>128</v>
      </c>
      <c r="C257" s="19"/>
      <c r="D257" s="19"/>
      <c r="E257" s="92"/>
      <c r="F257" s="29"/>
    </row>
    <row r="258" spans="1:6" s="15" customFormat="1" x14ac:dyDescent="0.3">
      <c r="A258" s="20"/>
      <c r="B258" s="68" t="s">
        <v>129</v>
      </c>
      <c r="C258" s="19">
        <v>14</v>
      </c>
      <c r="D258" s="19" t="s">
        <v>31</v>
      </c>
      <c r="E258" s="92">
        <v>95</v>
      </c>
      <c r="F258" s="29">
        <f t="shared" si="5"/>
        <v>1330</v>
      </c>
    </row>
    <row r="259" spans="1:6" s="15" customFormat="1" x14ac:dyDescent="0.3">
      <c r="A259" s="20"/>
      <c r="B259" s="16"/>
      <c r="C259" s="19"/>
      <c r="D259" s="19"/>
      <c r="E259" s="92"/>
      <c r="F259" s="29"/>
    </row>
    <row r="260" spans="1:6" s="15" customFormat="1" x14ac:dyDescent="0.3">
      <c r="A260" s="18"/>
      <c r="B260" s="141" t="s">
        <v>34</v>
      </c>
      <c r="C260" s="19"/>
      <c r="D260" s="19"/>
      <c r="E260" s="90"/>
      <c r="F260" s="29"/>
    </row>
    <row r="261" spans="1:6" s="15" customFormat="1" x14ac:dyDescent="0.3">
      <c r="A261" s="18"/>
      <c r="B261" s="27" t="s">
        <v>15</v>
      </c>
      <c r="C261" s="19"/>
      <c r="D261" s="19"/>
      <c r="E261" s="90"/>
      <c r="F261" s="29"/>
    </row>
    <row r="262" spans="1:6" s="15" customFormat="1" x14ac:dyDescent="0.3">
      <c r="A262" s="18"/>
      <c r="B262" s="75" t="s">
        <v>22</v>
      </c>
      <c r="C262" s="19"/>
      <c r="D262" s="19"/>
      <c r="E262" s="90"/>
      <c r="F262" s="29"/>
    </row>
    <row r="263" spans="1:6" s="15" customFormat="1" x14ac:dyDescent="0.3">
      <c r="A263" s="18"/>
      <c r="B263" s="17" t="s">
        <v>148</v>
      </c>
      <c r="C263" s="19"/>
      <c r="D263" s="19"/>
      <c r="E263" s="90"/>
      <c r="F263" s="29"/>
    </row>
    <row r="264" spans="1:6" s="15" customFormat="1" x14ac:dyDescent="0.3">
      <c r="A264" s="20"/>
      <c r="B264" s="77" t="s">
        <v>149</v>
      </c>
      <c r="C264" s="19">
        <f>'Take Off'!C369</f>
        <v>41.718375000000002</v>
      </c>
      <c r="D264" s="19" t="s">
        <v>18</v>
      </c>
      <c r="E264" s="90">
        <v>6</v>
      </c>
      <c r="F264" s="29">
        <f t="shared" ref="F260:F319" si="6">C264*E264</f>
        <v>250.31025</v>
      </c>
    </row>
    <row r="265" spans="1:6" x14ac:dyDescent="0.3">
      <c r="A265" s="18"/>
      <c r="B265" s="27"/>
      <c r="C265" s="19"/>
      <c r="D265" s="19"/>
      <c r="E265" s="90"/>
      <c r="F265" s="29"/>
    </row>
    <row r="266" spans="1:6" s="15" customFormat="1" x14ac:dyDescent="0.3">
      <c r="A266" s="18"/>
      <c r="B266" s="75" t="s">
        <v>35</v>
      </c>
      <c r="C266" s="19"/>
      <c r="D266" s="19"/>
      <c r="E266" s="90"/>
      <c r="F266" s="29"/>
    </row>
    <row r="267" spans="1:6" s="15" customFormat="1" ht="27" x14ac:dyDescent="0.3">
      <c r="A267" s="18"/>
      <c r="B267" s="17" t="s">
        <v>36</v>
      </c>
      <c r="C267" s="19"/>
      <c r="D267" s="19"/>
      <c r="E267" s="90"/>
      <c r="F267" s="29"/>
    </row>
    <row r="268" spans="1:6" s="15" customFormat="1" x14ac:dyDescent="0.3">
      <c r="A268" s="18"/>
      <c r="B268" s="76" t="s">
        <v>150</v>
      </c>
      <c r="C268" s="19">
        <f>'Take Off'!C374</f>
        <v>78.75</v>
      </c>
      <c r="D268" s="78" t="s">
        <v>18</v>
      </c>
      <c r="E268" s="90">
        <v>6</v>
      </c>
      <c r="F268" s="29">
        <f t="shared" si="6"/>
        <v>472.5</v>
      </c>
    </row>
    <row r="269" spans="1:6" s="15" customFormat="1" x14ac:dyDescent="0.3">
      <c r="A269" s="18"/>
      <c r="B269" s="32"/>
      <c r="C269" s="19"/>
      <c r="D269" s="19"/>
      <c r="E269" s="90"/>
      <c r="F269" s="29"/>
    </row>
    <row r="270" spans="1:6" s="15" customFormat="1" x14ac:dyDescent="0.3">
      <c r="A270" s="18"/>
      <c r="B270" s="75" t="s">
        <v>19</v>
      </c>
      <c r="C270" s="19"/>
      <c r="D270" s="19"/>
      <c r="E270" s="92"/>
      <c r="F270" s="29"/>
    </row>
    <row r="271" spans="1:6" s="15" customFormat="1" x14ac:dyDescent="0.3">
      <c r="A271" s="18"/>
      <c r="B271" s="76" t="s">
        <v>38</v>
      </c>
      <c r="C271" s="19">
        <f>'Take Off'!C383</f>
        <v>267.7</v>
      </c>
      <c r="D271" s="19" t="s">
        <v>21</v>
      </c>
      <c r="E271" s="92">
        <v>2.8</v>
      </c>
      <c r="F271" s="29">
        <f t="shared" si="6"/>
        <v>749.56</v>
      </c>
    </row>
    <row r="272" spans="1:6" s="15" customFormat="1" x14ac:dyDescent="0.3">
      <c r="A272" s="18"/>
      <c r="B272" s="76"/>
      <c r="C272" s="19"/>
      <c r="D272" s="19"/>
      <c r="E272" s="92"/>
      <c r="F272" s="29"/>
    </row>
    <row r="273" spans="1:6" s="15" customFormat="1" x14ac:dyDescent="0.3">
      <c r="A273" s="18"/>
      <c r="B273" s="75" t="s">
        <v>37</v>
      </c>
      <c r="C273" s="19"/>
      <c r="D273" s="19"/>
      <c r="E273" s="92"/>
      <c r="F273" s="29"/>
    </row>
    <row r="274" spans="1:6" s="15" customFormat="1" x14ac:dyDescent="0.3">
      <c r="A274" s="18"/>
      <c r="B274" s="17" t="s">
        <v>26</v>
      </c>
      <c r="C274" s="19"/>
      <c r="D274" s="19"/>
      <c r="E274" s="92"/>
      <c r="F274" s="29"/>
    </row>
    <row r="275" spans="1:6" x14ac:dyDescent="0.3">
      <c r="A275" s="18"/>
      <c r="B275" s="76" t="s">
        <v>27</v>
      </c>
      <c r="C275" s="19">
        <f>C264</f>
        <v>41.718375000000002</v>
      </c>
      <c r="D275" s="19" t="s">
        <v>18</v>
      </c>
      <c r="E275" s="92">
        <v>15.69</v>
      </c>
      <c r="F275" s="29">
        <f t="shared" si="6"/>
        <v>654.56130374999998</v>
      </c>
    </row>
    <row r="276" spans="1:6" s="15" customFormat="1" x14ac:dyDescent="0.3">
      <c r="A276" s="18"/>
      <c r="B276" s="21"/>
      <c r="C276" s="19"/>
      <c r="D276" s="19"/>
      <c r="E276" s="92"/>
      <c r="F276" s="29"/>
    </row>
    <row r="277" spans="1:6" s="15" customFormat="1" x14ac:dyDescent="0.3">
      <c r="A277" s="20"/>
      <c r="B277" s="72" t="s">
        <v>44</v>
      </c>
      <c r="C277" s="19"/>
      <c r="D277" s="19"/>
      <c r="E277" s="92"/>
      <c r="F277" s="29"/>
    </row>
    <row r="278" spans="1:6" s="15" customFormat="1" x14ac:dyDescent="0.3">
      <c r="A278" s="20"/>
      <c r="B278" s="70" t="s">
        <v>45</v>
      </c>
      <c r="C278" s="19"/>
      <c r="D278" s="19"/>
      <c r="E278" s="92"/>
      <c r="F278" s="29"/>
    </row>
    <row r="279" spans="1:6" s="15" customFormat="1" x14ac:dyDescent="0.3">
      <c r="A279" s="20"/>
      <c r="B279" s="16" t="s">
        <v>60</v>
      </c>
      <c r="C279" s="19"/>
      <c r="D279" s="19"/>
      <c r="E279" s="92"/>
      <c r="F279" s="29"/>
    </row>
    <row r="280" spans="1:6" s="15" customFormat="1" x14ac:dyDescent="0.3">
      <c r="A280" s="20"/>
      <c r="B280" s="68" t="s">
        <v>198</v>
      </c>
      <c r="C280" s="19">
        <f>'Take Off'!C387</f>
        <v>112.014</v>
      </c>
      <c r="D280" s="19" t="s">
        <v>21</v>
      </c>
      <c r="E280" s="92">
        <v>32</v>
      </c>
      <c r="F280" s="29">
        <f t="shared" si="6"/>
        <v>3584.4479999999999</v>
      </c>
    </row>
    <row r="281" spans="1:6" s="15" customFormat="1" x14ac:dyDescent="0.3">
      <c r="A281" s="20"/>
      <c r="B281" s="16"/>
      <c r="C281" s="19"/>
      <c r="D281" s="19"/>
      <c r="E281" s="92"/>
      <c r="F281" s="29"/>
    </row>
    <row r="282" spans="1:6" s="15" customFormat="1" x14ac:dyDescent="0.3">
      <c r="A282" s="20"/>
      <c r="B282" s="72" t="s">
        <v>39</v>
      </c>
      <c r="C282" s="19"/>
      <c r="D282" s="19"/>
      <c r="E282" s="92"/>
      <c r="F282" s="29"/>
    </row>
    <row r="283" spans="1:6" s="15" customFormat="1" x14ac:dyDescent="0.3">
      <c r="A283" s="20"/>
      <c r="B283" s="70" t="s">
        <v>40</v>
      </c>
      <c r="C283" s="19"/>
      <c r="D283" s="19"/>
      <c r="E283" s="92"/>
      <c r="F283" s="29"/>
    </row>
    <row r="284" spans="1:6" s="15" customFormat="1" x14ac:dyDescent="0.3">
      <c r="A284" s="20"/>
      <c r="B284" s="16" t="s">
        <v>41</v>
      </c>
      <c r="C284" s="19"/>
      <c r="D284" s="19"/>
      <c r="E284" s="92"/>
      <c r="F284" s="29"/>
    </row>
    <row r="285" spans="1:6" s="15" customFormat="1" x14ac:dyDescent="0.3">
      <c r="A285" s="20"/>
      <c r="B285" s="68" t="s">
        <v>42</v>
      </c>
      <c r="C285" s="19">
        <f>'Take Off'!G346</f>
        <v>4.6353749999999998</v>
      </c>
      <c r="D285" s="19" t="s">
        <v>18</v>
      </c>
      <c r="E285" s="92">
        <v>180</v>
      </c>
      <c r="F285" s="29">
        <f t="shared" si="6"/>
        <v>834.36749999999995</v>
      </c>
    </row>
    <row r="286" spans="1:6" s="15" customFormat="1" x14ac:dyDescent="0.3">
      <c r="A286" s="20"/>
      <c r="B286" s="16"/>
      <c r="C286" s="19"/>
      <c r="D286" s="19"/>
      <c r="E286" s="92"/>
      <c r="F286" s="29"/>
    </row>
    <row r="287" spans="1:6" s="15" customFormat="1" x14ac:dyDescent="0.3">
      <c r="A287" s="20"/>
      <c r="B287" s="70" t="s">
        <v>144</v>
      </c>
      <c r="C287" s="19"/>
      <c r="D287" s="19"/>
      <c r="E287" s="92"/>
      <c r="F287" s="29"/>
    </row>
    <row r="288" spans="1:6" s="15" customFormat="1" x14ac:dyDescent="0.3">
      <c r="A288" s="20"/>
      <c r="B288" s="16" t="s">
        <v>43</v>
      </c>
      <c r="C288" s="19"/>
      <c r="D288" s="19"/>
      <c r="E288" s="92"/>
      <c r="F288" s="29"/>
    </row>
    <row r="289" spans="1:6" s="15" customFormat="1" x14ac:dyDescent="0.3">
      <c r="A289" s="20"/>
      <c r="B289" s="68" t="s">
        <v>151</v>
      </c>
      <c r="C289" s="19">
        <f>'Take Off'!G351</f>
        <v>41.718375000000002</v>
      </c>
      <c r="D289" s="19" t="s">
        <v>18</v>
      </c>
      <c r="E289" s="92">
        <v>185</v>
      </c>
      <c r="F289" s="29">
        <f t="shared" si="6"/>
        <v>7717.899375</v>
      </c>
    </row>
    <row r="290" spans="1:6" s="15" customFormat="1" x14ac:dyDescent="0.3">
      <c r="A290" s="20"/>
      <c r="B290" s="16"/>
      <c r="C290" s="19"/>
      <c r="D290" s="19"/>
      <c r="E290" s="92"/>
      <c r="F290" s="29"/>
    </row>
    <row r="291" spans="1:6" s="15" customFormat="1" x14ac:dyDescent="0.3">
      <c r="A291" s="20"/>
      <c r="B291" s="70" t="s">
        <v>124</v>
      </c>
      <c r="C291" s="19"/>
      <c r="D291" s="19"/>
      <c r="E291" s="92"/>
      <c r="F291" s="29"/>
    </row>
    <row r="292" spans="1:6" s="15" customFormat="1" x14ac:dyDescent="0.3">
      <c r="A292" s="20"/>
      <c r="B292" s="68" t="s">
        <v>125</v>
      </c>
      <c r="C292" s="19">
        <v>1</v>
      </c>
      <c r="D292" s="19" t="s">
        <v>30</v>
      </c>
      <c r="E292" s="92">
        <v>500</v>
      </c>
      <c r="F292" s="29">
        <f t="shared" si="6"/>
        <v>500</v>
      </c>
    </row>
    <row r="293" spans="1:6" s="15" customFormat="1" x14ac:dyDescent="0.3">
      <c r="A293" s="20"/>
      <c r="B293" s="68"/>
      <c r="C293" s="19"/>
      <c r="D293" s="19"/>
      <c r="E293" s="92"/>
      <c r="F293" s="29"/>
    </row>
    <row r="294" spans="1:6" s="15" customFormat="1" x14ac:dyDescent="0.3">
      <c r="A294" s="20"/>
      <c r="B294" s="109" t="s">
        <v>167</v>
      </c>
      <c r="C294" s="19"/>
      <c r="D294" s="19"/>
      <c r="E294" s="92"/>
      <c r="F294" s="29"/>
    </row>
    <row r="295" spans="1:6" s="15" customFormat="1" x14ac:dyDescent="0.3">
      <c r="A295" s="20"/>
      <c r="B295" s="72" t="s">
        <v>44</v>
      </c>
      <c r="C295" s="19"/>
      <c r="D295" s="19"/>
      <c r="E295" s="92"/>
      <c r="F295" s="29"/>
    </row>
    <row r="296" spans="1:6" s="15" customFormat="1" x14ac:dyDescent="0.3">
      <c r="A296" s="20"/>
      <c r="B296" s="70" t="s">
        <v>45</v>
      </c>
      <c r="C296" s="19"/>
      <c r="D296" s="19"/>
      <c r="E296" s="92"/>
      <c r="F296" s="29"/>
    </row>
    <row r="297" spans="1:6" s="15" customFormat="1" x14ac:dyDescent="0.3">
      <c r="A297" s="20"/>
      <c r="B297" s="16" t="s">
        <v>199</v>
      </c>
      <c r="C297" s="19"/>
      <c r="D297" s="19"/>
      <c r="E297" s="92"/>
      <c r="F297" s="29"/>
    </row>
    <row r="298" spans="1:6" s="15" customFormat="1" x14ac:dyDescent="0.3">
      <c r="A298" s="20"/>
      <c r="B298" s="68" t="s">
        <v>168</v>
      </c>
      <c r="C298" s="31">
        <f>'Take Off'!G361</f>
        <v>28.878</v>
      </c>
      <c r="D298" s="19" t="s">
        <v>21</v>
      </c>
      <c r="E298" s="92">
        <v>35</v>
      </c>
      <c r="F298" s="29">
        <f t="shared" si="6"/>
        <v>1010.73</v>
      </c>
    </row>
    <row r="299" spans="1:6" s="15" customFormat="1" x14ac:dyDescent="0.3">
      <c r="A299" s="20"/>
      <c r="B299" s="68"/>
      <c r="C299" s="19"/>
      <c r="D299" s="19"/>
      <c r="E299" s="92"/>
      <c r="F299" s="29"/>
    </row>
    <row r="300" spans="1:6" s="15" customFormat="1" x14ac:dyDescent="0.3">
      <c r="A300" s="20"/>
      <c r="B300" s="72" t="s">
        <v>39</v>
      </c>
      <c r="C300" s="19"/>
      <c r="D300" s="19"/>
      <c r="E300" s="92"/>
      <c r="F300" s="29"/>
    </row>
    <row r="301" spans="1:6" s="15" customFormat="1" x14ac:dyDescent="0.3">
      <c r="A301" s="20"/>
      <c r="B301" s="70" t="s">
        <v>169</v>
      </c>
      <c r="C301" s="19"/>
      <c r="D301" s="19"/>
      <c r="E301" s="92"/>
      <c r="F301" s="29"/>
    </row>
    <row r="302" spans="1:6" s="15" customFormat="1" x14ac:dyDescent="0.3">
      <c r="A302" s="20"/>
      <c r="B302" s="16" t="s">
        <v>170</v>
      </c>
      <c r="C302" s="19"/>
      <c r="D302" s="19"/>
      <c r="E302" s="92"/>
      <c r="F302" s="29"/>
    </row>
    <row r="303" spans="1:6" s="15" customFormat="1" x14ac:dyDescent="0.3">
      <c r="A303" s="20"/>
      <c r="B303" s="68" t="s">
        <v>171</v>
      </c>
      <c r="C303" s="31">
        <f>'Take Off'!G372</f>
        <v>7.2195</v>
      </c>
      <c r="D303" s="19" t="s">
        <v>18</v>
      </c>
      <c r="E303" s="92">
        <v>185</v>
      </c>
      <c r="F303" s="29">
        <f t="shared" si="6"/>
        <v>1335.6075000000001</v>
      </c>
    </row>
    <row r="304" spans="1:6" s="15" customFormat="1" x14ac:dyDescent="0.3">
      <c r="A304" s="20"/>
      <c r="B304" s="16"/>
      <c r="C304" s="19"/>
      <c r="D304" s="19"/>
      <c r="E304" s="92"/>
      <c r="F304" s="29"/>
    </row>
    <row r="305" spans="1:6" s="15" customFormat="1" x14ac:dyDescent="0.3">
      <c r="A305" s="20"/>
      <c r="B305" s="70" t="s">
        <v>124</v>
      </c>
      <c r="C305" s="19"/>
      <c r="D305" s="19"/>
      <c r="E305" s="92"/>
      <c r="F305" s="29"/>
    </row>
    <row r="306" spans="1:6" s="15" customFormat="1" x14ac:dyDescent="0.3">
      <c r="A306" s="20"/>
      <c r="B306" s="68" t="s">
        <v>125</v>
      </c>
      <c r="C306" s="19">
        <v>1</v>
      </c>
      <c r="D306" s="19" t="s">
        <v>30</v>
      </c>
      <c r="E306" s="92">
        <v>250</v>
      </c>
      <c r="F306" s="29">
        <f t="shared" si="6"/>
        <v>250</v>
      </c>
    </row>
    <row r="307" spans="1:6" s="15" customFormat="1" x14ac:dyDescent="0.3">
      <c r="A307" s="20"/>
      <c r="B307" s="68"/>
      <c r="C307" s="19"/>
      <c r="D307" s="19"/>
      <c r="E307" s="92"/>
      <c r="F307" s="29"/>
    </row>
    <row r="308" spans="1:6" s="15" customFormat="1" x14ac:dyDescent="0.3">
      <c r="A308" s="20"/>
      <c r="B308" s="109" t="s">
        <v>67</v>
      </c>
      <c r="C308" s="19"/>
      <c r="D308" s="19"/>
      <c r="E308" s="92"/>
      <c r="F308" s="29"/>
    </row>
    <row r="309" spans="1:6" s="15" customFormat="1" x14ac:dyDescent="0.3">
      <c r="A309" s="20"/>
      <c r="B309" s="72" t="s">
        <v>50</v>
      </c>
      <c r="C309" s="19"/>
      <c r="D309" s="19"/>
      <c r="E309" s="92"/>
      <c r="F309" s="29"/>
    </row>
    <row r="310" spans="1:6" s="15" customFormat="1" x14ac:dyDescent="0.3">
      <c r="A310" s="20"/>
      <c r="B310" s="68" t="s">
        <v>68</v>
      </c>
      <c r="C310" s="19">
        <v>1022.24</v>
      </c>
      <c r="D310" s="19" t="s">
        <v>21</v>
      </c>
      <c r="E310" s="92">
        <v>2.8</v>
      </c>
      <c r="F310" s="29">
        <f t="shared" si="6"/>
        <v>2862.2719999999999</v>
      </c>
    </row>
    <row r="311" spans="1:6" s="15" customFormat="1" x14ac:dyDescent="0.3">
      <c r="A311" s="20"/>
      <c r="B311" s="16"/>
      <c r="C311" s="19"/>
      <c r="D311" s="19"/>
      <c r="E311" s="92"/>
      <c r="F311" s="29"/>
    </row>
    <row r="312" spans="1:6" s="15" customFormat="1" x14ac:dyDescent="0.3">
      <c r="A312" s="20"/>
      <c r="B312" s="16" t="s">
        <v>176</v>
      </c>
      <c r="C312" s="19"/>
      <c r="D312" s="19"/>
      <c r="E312" s="92"/>
      <c r="F312" s="29"/>
    </row>
    <row r="313" spans="1:6" s="15" customFormat="1" x14ac:dyDescent="0.3">
      <c r="A313" s="20"/>
      <c r="B313" s="68" t="s">
        <v>152</v>
      </c>
      <c r="C313" s="19">
        <f>'Take Off'!G378</f>
        <v>153.33599999999998</v>
      </c>
      <c r="D313" s="19" t="s">
        <v>18</v>
      </c>
      <c r="E313" s="92">
        <v>16</v>
      </c>
      <c r="F313" s="29">
        <f t="shared" si="6"/>
        <v>2453.3759999999997</v>
      </c>
    </row>
    <row r="314" spans="1:6" s="15" customFormat="1" x14ac:dyDescent="0.3">
      <c r="A314" s="20"/>
      <c r="B314" s="16"/>
      <c r="C314" s="19"/>
      <c r="D314" s="19"/>
      <c r="E314" s="92"/>
      <c r="F314" s="29"/>
    </row>
    <row r="315" spans="1:6" s="15" customFormat="1" x14ac:dyDescent="0.3">
      <c r="A315" s="20"/>
      <c r="B315" s="72" t="s">
        <v>130</v>
      </c>
      <c r="C315" s="19"/>
      <c r="D315" s="19"/>
      <c r="E315" s="92"/>
      <c r="F315" s="29"/>
    </row>
    <row r="316" spans="1:6" s="15" customFormat="1" x14ac:dyDescent="0.3">
      <c r="A316" s="20"/>
      <c r="B316" s="70" t="s">
        <v>69</v>
      </c>
      <c r="C316" s="19"/>
      <c r="D316" s="19"/>
      <c r="E316" s="92"/>
      <c r="F316" s="29"/>
    </row>
    <row r="317" spans="1:6" s="15" customFormat="1" x14ac:dyDescent="0.3">
      <c r="A317" s="20"/>
      <c r="B317" s="16" t="s">
        <v>174</v>
      </c>
      <c r="C317" s="19"/>
      <c r="D317" s="19"/>
      <c r="E317" s="92"/>
      <c r="F317" s="29"/>
    </row>
    <row r="318" spans="1:6" s="15" customFormat="1" x14ac:dyDescent="0.3">
      <c r="A318" s="20"/>
      <c r="B318" s="68" t="s">
        <v>70</v>
      </c>
      <c r="C318" s="19">
        <v>1022.2</v>
      </c>
      <c r="D318" s="19" t="s">
        <v>21</v>
      </c>
      <c r="E318" s="92">
        <v>1.1000000000000001</v>
      </c>
      <c r="F318" s="29">
        <f t="shared" si="6"/>
        <v>1124.42</v>
      </c>
    </row>
    <row r="319" spans="1:6" s="15" customFormat="1" x14ac:dyDescent="0.3">
      <c r="A319" s="20"/>
      <c r="B319" s="16"/>
      <c r="C319" s="19"/>
      <c r="D319" s="19"/>
      <c r="E319" s="92"/>
      <c r="F319" s="29"/>
    </row>
    <row r="320" spans="1:6" s="15" customFormat="1" x14ac:dyDescent="0.3">
      <c r="A320" s="20"/>
      <c r="B320" s="68" t="s">
        <v>71</v>
      </c>
      <c r="C320" s="19">
        <f>'Take Off'!G384</f>
        <v>22.522500000000001</v>
      </c>
      <c r="D320" s="19" t="s">
        <v>21</v>
      </c>
      <c r="E320" s="92">
        <v>1.1000000000000001</v>
      </c>
      <c r="F320" s="29">
        <f t="shared" ref="F320:F359" si="7">C320*E320</f>
        <v>24.774750000000004</v>
      </c>
    </row>
    <row r="321" spans="1:6" s="15" customFormat="1" x14ac:dyDescent="0.3">
      <c r="A321" s="20"/>
      <c r="B321" s="16"/>
      <c r="C321" s="19"/>
      <c r="D321" s="19"/>
      <c r="E321" s="92"/>
      <c r="F321" s="29"/>
    </row>
    <row r="322" spans="1:6" s="15" customFormat="1" ht="13.8" customHeight="1" x14ac:dyDescent="0.3">
      <c r="A322" s="20"/>
      <c r="B322" s="72" t="s">
        <v>44</v>
      </c>
      <c r="C322" s="19"/>
      <c r="D322" s="19"/>
      <c r="E322" s="92"/>
      <c r="F322" s="29"/>
    </row>
    <row r="323" spans="1:6" s="15" customFormat="1" ht="15" customHeight="1" x14ac:dyDescent="0.3">
      <c r="A323" s="20"/>
      <c r="B323" s="70" t="s">
        <v>45</v>
      </c>
      <c r="C323" s="19"/>
      <c r="D323" s="19"/>
      <c r="E323" s="92"/>
      <c r="F323" s="29"/>
    </row>
    <row r="324" spans="1:6" s="15" customFormat="1" x14ac:dyDescent="0.3">
      <c r="A324" s="20"/>
      <c r="B324" s="16" t="s">
        <v>131</v>
      </c>
      <c r="C324" s="19"/>
      <c r="D324" s="19"/>
      <c r="E324" s="92"/>
      <c r="F324" s="29"/>
    </row>
    <row r="325" spans="1:6" s="15" customFormat="1" x14ac:dyDescent="0.3">
      <c r="A325" s="20"/>
      <c r="B325" s="68" t="s">
        <v>153</v>
      </c>
      <c r="C325" s="19">
        <v>150.15</v>
      </c>
      <c r="D325" s="19" t="s">
        <v>46</v>
      </c>
      <c r="E325" s="92">
        <v>28</v>
      </c>
      <c r="F325" s="29">
        <f t="shared" si="7"/>
        <v>4204.2</v>
      </c>
    </row>
    <row r="326" spans="1:6" s="15" customFormat="1" x14ac:dyDescent="0.3">
      <c r="A326" s="20"/>
      <c r="B326" s="16"/>
      <c r="C326" s="19"/>
      <c r="D326" s="19"/>
      <c r="E326" s="92"/>
      <c r="F326" s="29"/>
    </row>
    <row r="327" spans="1:6" s="15" customFormat="1" x14ac:dyDescent="0.3">
      <c r="A327" s="20"/>
      <c r="B327" s="72" t="s">
        <v>47</v>
      </c>
      <c r="C327" s="19"/>
      <c r="D327" s="19"/>
      <c r="E327" s="92"/>
      <c r="F327" s="29"/>
    </row>
    <row r="328" spans="1:6" s="15" customFormat="1" x14ac:dyDescent="0.3">
      <c r="A328" s="20"/>
      <c r="B328" s="70" t="s">
        <v>64</v>
      </c>
      <c r="C328" s="19"/>
      <c r="D328" s="19"/>
      <c r="E328" s="92"/>
      <c r="F328" s="29"/>
    </row>
    <row r="329" spans="1:6" s="15" customFormat="1" ht="26.4" x14ac:dyDescent="0.3">
      <c r="A329" s="20"/>
      <c r="B329" s="16" t="s">
        <v>180</v>
      </c>
      <c r="C329" s="19"/>
      <c r="D329" s="19"/>
      <c r="E329" s="92"/>
      <c r="F329" s="29"/>
    </row>
    <row r="330" spans="1:6" s="15" customFormat="1" x14ac:dyDescent="0.3">
      <c r="A330" s="20"/>
      <c r="B330" s="68" t="s">
        <v>132</v>
      </c>
      <c r="C330" s="19">
        <v>1022.24</v>
      </c>
      <c r="D330" s="19" t="s">
        <v>21</v>
      </c>
      <c r="E330" s="92">
        <v>23.6</v>
      </c>
      <c r="F330" s="29">
        <f t="shared" si="7"/>
        <v>24124.864000000001</v>
      </c>
    </row>
    <row r="331" spans="1:6" s="15" customFormat="1" x14ac:dyDescent="0.3">
      <c r="A331" s="20"/>
      <c r="B331" s="16"/>
      <c r="C331" s="19"/>
      <c r="D331" s="19"/>
      <c r="E331" s="92"/>
      <c r="F331" s="29"/>
    </row>
    <row r="332" spans="1:6" s="15" customFormat="1" x14ac:dyDescent="0.3">
      <c r="A332" s="20"/>
      <c r="B332" s="72" t="s">
        <v>39</v>
      </c>
      <c r="C332" s="19"/>
      <c r="D332" s="19"/>
      <c r="E332" s="92"/>
      <c r="F332" s="29"/>
    </row>
    <row r="333" spans="1:6" s="15" customFormat="1" x14ac:dyDescent="0.3">
      <c r="A333" s="20"/>
      <c r="B333" s="70" t="s">
        <v>40</v>
      </c>
      <c r="C333" s="19"/>
      <c r="D333" s="19"/>
      <c r="E333" s="92"/>
      <c r="F333" s="29"/>
    </row>
    <row r="334" spans="1:6" s="15" customFormat="1" x14ac:dyDescent="0.3">
      <c r="A334" s="20"/>
      <c r="B334" s="16" t="s">
        <v>133</v>
      </c>
      <c r="C334" s="19"/>
      <c r="D334" s="19"/>
      <c r="E334" s="92"/>
      <c r="F334" s="29"/>
    </row>
    <row r="335" spans="1:6" s="15" customFormat="1" x14ac:dyDescent="0.3">
      <c r="A335" s="20"/>
      <c r="B335" s="68" t="s">
        <v>42</v>
      </c>
      <c r="C335" s="19">
        <f>'Take Off'!C402</f>
        <v>51.112000000000002</v>
      </c>
      <c r="D335" s="19" t="s">
        <v>18</v>
      </c>
      <c r="E335" s="92">
        <v>180</v>
      </c>
      <c r="F335" s="29">
        <f t="shared" si="7"/>
        <v>9200.16</v>
      </c>
    </row>
    <row r="336" spans="1:6" s="15" customFormat="1" x14ac:dyDescent="0.3">
      <c r="A336" s="20"/>
      <c r="B336" s="16"/>
      <c r="C336" s="19"/>
      <c r="D336" s="19"/>
      <c r="E336" s="92"/>
      <c r="F336" s="29"/>
    </row>
    <row r="337" spans="1:6" s="15" customFormat="1" x14ac:dyDescent="0.3">
      <c r="A337" s="20"/>
      <c r="B337" s="70" t="s">
        <v>144</v>
      </c>
      <c r="C337" s="19"/>
      <c r="D337" s="19"/>
      <c r="E337" s="92"/>
      <c r="F337" s="29"/>
    </row>
    <row r="338" spans="1:6" s="15" customFormat="1" x14ac:dyDescent="0.3">
      <c r="A338" s="20"/>
      <c r="B338" s="16" t="s">
        <v>134</v>
      </c>
      <c r="C338" s="19"/>
      <c r="D338" s="19"/>
      <c r="E338" s="92"/>
      <c r="F338" s="29"/>
    </row>
    <row r="339" spans="1:6" s="15" customFormat="1" x14ac:dyDescent="0.3">
      <c r="A339" s="20"/>
      <c r="B339" s="68" t="s">
        <v>135</v>
      </c>
      <c r="C339" s="19">
        <f>'Take Off'!C406</f>
        <v>153.33599999999998</v>
      </c>
      <c r="D339" s="19" t="s">
        <v>18</v>
      </c>
      <c r="E339" s="92">
        <v>185</v>
      </c>
      <c r="F339" s="29">
        <f t="shared" si="7"/>
        <v>28367.159999999996</v>
      </c>
    </row>
    <row r="340" spans="1:6" s="15" customFormat="1" x14ac:dyDescent="0.3">
      <c r="A340" s="20"/>
      <c r="B340" s="68"/>
      <c r="C340" s="19"/>
      <c r="D340" s="19"/>
      <c r="E340" s="92"/>
      <c r="F340" s="29"/>
    </row>
    <row r="341" spans="1:6" s="15" customFormat="1" x14ac:dyDescent="0.3">
      <c r="A341" s="20"/>
      <c r="B341" s="68" t="s">
        <v>154</v>
      </c>
      <c r="C341" s="19">
        <f>'Take Off'!C411</f>
        <v>3.3783750000000001</v>
      </c>
      <c r="D341" s="19" t="s">
        <v>18</v>
      </c>
      <c r="E341" s="92">
        <v>185</v>
      </c>
      <c r="F341" s="29">
        <f t="shared" si="7"/>
        <v>624.99937499999999</v>
      </c>
    </row>
    <row r="342" spans="1:6" s="15" customFormat="1" x14ac:dyDescent="0.3">
      <c r="A342" s="20"/>
      <c r="B342" s="68"/>
      <c r="C342" s="19"/>
      <c r="D342" s="19"/>
      <c r="E342" s="92"/>
      <c r="F342" s="29"/>
    </row>
    <row r="343" spans="1:6" s="15" customFormat="1" x14ac:dyDescent="0.3">
      <c r="A343" s="20"/>
      <c r="B343" s="70" t="s">
        <v>124</v>
      </c>
      <c r="C343" s="19"/>
      <c r="D343" s="19"/>
      <c r="E343" s="92"/>
      <c r="F343" s="29"/>
    </row>
    <row r="344" spans="1:6" s="15" customFormat="1" x14ac:dyDescent="0.3">
      <c r="A344" s="20"/>
      <c r="B344" s="68" t="s">
        <v>125</v>
      </c>
      <c r="C344" s="19">
        <v>1</v>
      </c>
      <c r="D344" s="19" t="s">
        <v>30</v>
      </c>
      <c r="E344" s="92">
        <v>500</v>
      </c>
      <c r="F344" s="29">
        <f t="shared" si="7"/>
        <v>500</v>
      </c>
    </row>
    <row r="345" spans="1:6" s="15" customFormat="1" x14ac:dyDescent="0.3">
      <c r="A345" s="20"/>
      <c r="B345" s="68"/>
      <c r="C345" s="19"/>
      <c r="D345" s="19"/>
      <c r="E345" s="92"/>
      <c r="F345" s="29"/>
    </row>
    <row r="346" spans="1:6" s="15" customFormat="1" x14ac:dyDescent="0.3">
      <c r="A346" s="20"/>
      <c r="B346" s="70" t="s">
        <v>137</v>
      </c>
      <c r="C346" s="19"/>
      <c r="D346" s="19"/>
      <c r="E346" s="92"/>
      <c r="F346" s="29"/>
    </row>
    <row r="347" spans="1:6" s="15" customFormat="1" x14ac:dyDescent="0.3">
      <c r="A347" s="20"/>
      <c r="B347" s="68" t="s">
        <v>136</v>
      </c>
      <c r="C347" s="19">
        <v>1022.24</v>
      </c>
      <c r="D347" s="19" t="s">
        <v>21</v>
      </c>
      <c r="E347" s="92">
        <v>6</v>
      </c>
      <c r="F347" s="29">
        <f t="shared" si="7"/>
        <v>6133.4400000000005</v>
      </c>
    </row>
    <row r="348" spans="1:6" s="15" customFormat="1" x14ac:dyDescent="0.3">
      <c r="A348" s="20"/>
      <c r="B348" s="68"/>
      <c r="C348" s="19"/>
      <c r="D348" s="19"/>
      <c r="E348" s="92"/>
      <c r="F348" s="29"/>
    </row>
    <row r="349" spans="1:6" s="15" customFormat="1" x14ac:dyDescent="0.3">
      <c r="A349" s="20"/>
      <c r="B349" s="72" t="s">
        <v>177</v>
      </c>
      <c r="C349" s="19"/>
      <c r="D349" s="19"/>
      <c r="E349" s="92"/>
      <c r="F349" s="29"/>
    </row>
    <row r="350" spans="1:6" s="15" customFormat="1" x14ac:dyDescent="0.3">
      <c r="A350" s="20"/>
      <c r="B350" s="70" t="s">
        <v>179</v>
      </c>
      <c r="C350" s="19"/>
      <c r="D350" s="19"/>
      <c r="E350" s="92"/>
      <c r="F350" s="29"/>
    </row>
    <row r="351" spans="1:6" s="15" customFormat="1" x14ac:dyDescent="0.3">
      <c r="A351" s="20"/>
      <c r="B351" s="68" t="s">
        <v>178</v>
      </c>
      <c r="C351" s="19">
        <v>20.38</v>
      </c>
      <c r="D351" s="19" t="s">
        <v>46</v>
      </c>
      <c r="E351" s="92">
        <v>1.56</v>
      </c>
      <c r="F351" s="29">
        <f t="shared" si="7"/>
        <v>31.7928</v>
      </c>
    </row>
    <row r="352" spans="1:6" s="15" customFormat="1" x14ac:dyDescent="0.3">
      <c r="A352" s="20"/>
      <c r="B352" s="68"/>
      <c r="C352" s="19"/>
      <c r="D352" s="19"/>
      <c r="E352" s="92"/>
      <c r="F352" s="29"/>
    </row>
    <row r="353" spans="1:6" s="15" customFormat="1" x14ac:dyDescent="0.3">
      <c r="A353" s="20"/>
      <c r="B353" s="70" t="s">
        <v>200</v>
      </c>
      <c r="C353" s="19"/>
      <c r="D353" s="19"/>
      <c r="E353" s="92"/>
      <c r="F353" s="29"/>
    </row>
    <row r="354" spans="1:6" s="15" customFormat="1" x14ac:dyDescent="0.3">
      <c r="A354" s="20"/>
      <c r="B354" s="68" t="s">
        <v>181</v>
      </c>
      <c r="C354" s="19">
        <v>20.38</v>
      </c>
      <c r="D354" s="19" t="s">
        <v>46</v>
      </c>
      <c r="E354" s="92">
        <v>2.17</v>
      </c>
      <c r="F354" s="29">
        <f t="shared" si="7"/>
        <v>44.224599999999995</v>
      </c>
    </row>
    <row r="355" spans="1:6" s="15" customFormat="1" x14ac:dyDescent="0.3">
      <c r="A355" s="20"/>
      <c r="B355" s="68"/>
      <c r="C355" s="19"/>
      <c r="D355" s="19"/>
      <c r="E355" s="92"/>
      <c r="F355" s="29"/>
    </row>
    <row r="356" spans="1:6" s="15" customFormat="1" x14ac:dyDescent="0.3">
      <c r="A356" s="20"/>
      <c r="B356" s="70" t="s">
        <v>182</v>
      </c>
      <c r="C356" s="19"/>
      <c r="D356" s="19"/>
      <c r="E356" s="92"/>
      <c r="F356" s="29"/>
    </row>
    <row r="357" spans="1:6" s="15" customFormat="1" ht="26.4" x14ac:dyDescent="0.3">
      <c r="A357" s="20"/>
      <c r="B357" s="16" t="s">
        <v>183</v>
      </c>
      <c r="C357" s="19"/>
      <c r="D357" s="19"/>
      <c r="E357" s="92"/>
      <c r="F357" s="29"/>
    </row>
    <row r="358" spans="1:6" s="15" customFormat="1" x14ac:dyDescent="0.3">
      <c r="A358" s="20"/>
      <c r="B358" s="68" t="s">
        <v>184</v>
      </c>
      <c r="C358" s="19">
        <v>35</v>
      </c>
      <c r="D358" s="19" t="s">
        <v>31</v>
      </c>
      <c r="E358" s="92">
        <v>11.8</v>
      </c>
      <c r="F358" s="29">
        <f t="shared" si="7"/>
        <v>413</v>
      </c>
    </row>
    <row r="359" spans="1:6" s="15" customFormat="1" x14ac:dyDescent="0.3">
      <c r="A359" s="20"/>
      <c r="B359" s="16"/>
      <c r="C359" s="19"/>
      <c r="D359" s="19"/>
      <c r="E359" s="92"/>
      <c r="F359" s="29"/>
    </row>
    <row r="360" spans="1:6" s="15" customFormat="1" x14ac:dyDescent="0.3">
      <c r="A360" s="20"/>
      <c r="B360" s="16"/>
      <c r="C360" s="19"/>
      <c r="D360" s="19"/>
      <c r="E360" s="92"/>
      <c r="F360" s="22"/>
    </row>
    <row r="361" spans="1:6" s="15" customFormat="1" x14ac:dyDescent="0.3">
      <c r="A361" s="20"/>
      <c r="B361" s="16"/>
      <c r="C361" s="19"/>
      <c r="D361" s="19"/>
      <c r="E361" s="92"/>
      <c r="F361" s="22"/>
    </row>
    <row r="362" spans="1:6" s="15" customFormat="1" x14ac:dyDescent="0.3">
      <c r="A362" s="20"/>
      <c r="B362" s="72" t="s">
        <v>388</v>
      </c>
      <c r="C362" s="19"/>
      <c r="D362" s="19"/>
      <c r="E362" s="92"/>
      <c r="F362" s="22">
        <f>SUM(F2:F361)</f>
        <v>811943.58679375018</v>
      </c>
    </row>
    <row r="363" spans="1:6" s="15" customFormat="1" x14ac:dyDescent="0.3">
      <c r="A363" s="20"/>
      <c r="B363" s="16"/>
      <c r="C363" s="19"/>
      <c r="D363" s="19"/>
      <c r="E363" s="92"/>
      <c r="F363" s="22"/>
    </row>
    <row r="364" spans="1:6" s="15" customFormat="1" x14ac:dyDescent="0.3">
      <c r="A364" s="20"/>
      <c r="B364" s="16"/>
      <c r="C364" s="19"/>
      <c r="D364" s="19"/>
      <c r="E364" s="92"/>
      <c r="F364" s="22"/>
    </row>
    <row r="365" spans="1:6" s="15" customFormat="1" x14ac:dyDescent="0.3">
      <c r="A365" s="20"/>
      <c r="B365" s="16"/>
      <c r="C365" s="19"/>
      <c r="D365" s="19"/>
      <c r="E365" s="92"/>
      <c r="F365" s="22"/>
    </row>
    <row r="366" spans="1:6" s="15" customFormat="1" x14ac:dyDescent="0.3">
      <c r="A366" s="20"/>
      <c r="B366" s="16"/>
      <c r="C366" s="19"/>
      <c r="D366" s="19"/>
      <c r="E366" s="92"/>
      <c r="F366" s="22"/>
    </row>
    <row r="367" spans="1:6" s="15" customFormat="1" x14ac:dyDescent="0.3">
      <c r="A367" s="20"/>
      <c r="B367" s="16"/>
      <c r="C367" s="19"/>
      <c r="D367" s="19"/>
      <c r="E367" s="92"/>
      <c r="F367" s="22"/>
    </row>
    <row r="368" spans="1:6" s="15" customFormat="1" x14ac:dyDescent="0.3">
      <c r="A368" s="20"/>
      <c r="B368" s="16"/>
      <c r="C368" s="19"/>
      <c r="D368" s="19"/>
      <c r="E368" s="92"/>
      <c r="F368" s="22"/>
    </row>
    <row r="369" spans="1:6" s="15" customFormat="1" x14ac:dyDescent="0.3">
      <c r="A369" s="20"/>
      <c r="B369" s="16"/>
      <c r="C369" s="19"/>
      <c r="D369" s="19"/>
      <c r="E369" s="92"/>
      <c r="F369" s="22"/>
    </row>
    <row r="370" spans="1:6" s="15" customFormat="1" x14ac:dyDescent="0.3">
      <c r="A370" s="20"/>
      <c r="B370" s="16"/>
      <c r="C370" s="19"/>
      <c r="D370" s="19"/>
      <c r="E370" s="92"/>
      <c r="F370" s="22"/>
    </row>
    <row r="371" spans="1:6" s="15" customFormat="1" x14ac:dyDescent="0.3">
      <c r="A371" s="20"/>
      <c r="B371" s="16"/>
      <c r="C371" s="19"/>
      <c r="D371" s="19"/>
      <c r="E371" s="92"/>
      <c r="F371" s="22"/>
    </row>
    <row r="372" spans="1:6" s="15" customFormat="1" x14ac:dyDescent="0.3">
      <c r="A372" s="20"/>
      <c r="B372" s="16"/>
      <c r="C372" s="19"/>
      <c r="D372" s="19"/>
      <c r="E372" s="92"/>
      <c r="F372" s="22"/>
    </row>
    <row r="373" spans="1:6" s="15" customFormat="1" x14ac:dyDescent="0.3">
      <c r="A373" s="20"/>
      <c r="B373" s="16"/>
      <c r="C373" s="19"/>
      <c r="D373" s="19"/>
      <c r="E373" s="92"/>
      <c r="F373" s="22"/>
    </row>
    <row r="374" spans="1:6" s="15" customFormat="1" x14ac:dyDescent="0.3">
      <c r="A374" s="20"/>
      <c r="B374" s="16"/>
      <c r="C374" s="19"/>
      <c r="D374" s="19"/>
      <c r="E374" s="92"/>
      <c r="F374" s="22"/>
    </row>
    <row r="375" spans="1:6" s="15" customFormat="1" x14ac:dyDescent="0.3">
      <c r="A375" s="20"/>
      <c r="B375" s="16"/>
      <c r="C375" s="19"/>
      <c r="D375" s="19"/>
      <c r="E375" s="92"/>
      <c r="F375" s="22"/>
    </row>
    <row r="376" spans="1:6" s="15" customFormat="1" x14ac:dyDescent="0.3">
      <c r="A376" s="20"/>
      <c r="B376" s="16"/>
      <c r="C376" s="19"/>
      <c r="D376" s="19"/>
      <c r="E376" s="92"/>
      <c r="F376" s="22"/>
    </row>
    <row r="377" spans="1:6" s="15" customFormat="1" x14ac:dyDescent="0.3">
      <c r="A377" s="20"/>
      <c r="B377" s="16"/>
      <c r="C377" s="19"/>
      <c r="D377" s="19"/>
      <c r="E377" s="92"/>
      <c r="F377" s="22"/>
    </row>
    <row r="378" spans="1:6" s="15" customFormat="1" x14ac:dyDescent="0.3">
      <c r="A378" s="20"/>
      <c r="B378" s="16"/>
      <c r="C378" s="19"/>
      <c r="D378" s="19"/>
      <c r="E378" s="92"/>
      <c r="F378" s="22"/>
    </row>
    <row r="379" spans="1:6" s="15" customFormat="1" x14ac:dyDescent="0.3">
      <c r="A379" s="20"/>
      <c r="B379" s="16"/>
      <c r="C379" s="19"/>
      <c r="D379" s="19"/>
      <c r="E379" s="92"/>
      <c r="F379" s="22"/>
    </row>
    <row r="380" spans="1:6" s="15" customFormat="1" x14ac:dyDescent="0.3">
      <c r="A380" s="20"/>
      <c r="B380" s="16"/>
      <c r="C380" s="19"/>
      <c r="D380" s="19"/>
      <c r="E380" s="92"/>
      <c r="F380" s="22"/>
    </row>
    <row r="381" spans="1:6" s="15" customFormat="1" x14ac:dyDescent="0.3">
      <c r="A381" s="20"/>
      <c r="B381" s="16"/>
      <c r="C381" s="19"/>
      <c r="D381" s="19"/>
      <c r="E381" s="92"/>
      <c r="F381" s="22"/>
    </row>
    <row r="382" spans="1:6" s="15" customFormat="1" x14ac:dyDescent="0.3">
      <c r="A382" s="20"/>
      <c r="B382" s="16"/>
      <c r="C382" s="19"/>
      <c r="D382" s="19"/>
      <c r="E382" s="92"/>
      <c r="F382" s="22"/>
    </row>
    <row r="383" spans="1:6" s="15" customFormat="1" x14ac:dyDescent="0.3">
      <c r="A383" s="20"/>
      <c r="B383" s="16"/>
      <c r="C383" s="19"/>
      <c r="D383" s="19"/>
      <c r="E383" s="92"/>
      <c r="F383" s="22"/>
    </row>
    <row r="384" spans="1:6" s="15" customFormat="1" x14ac:dyDescent="0.3">
      <c r="A384" s="20"/>
      <c r="B384" s="16"/>
      <c r="C384" s="19"/>
      <c r="D384" s="19"/>
      <c r="E384" s="92"/>
      <c r="F384" s="22"/>
    </row>
    <row r="385" spans="1:6" s="15" customFormat="1" x14ac:dyDescent="0.3">
      <c r="A385" s="20"/>
      <c r="B385" s="16"/>
      <c r="C385" s="19"/>
      <c r="D385" s="19"/>
      <c r="E385" s="92"/>
      <c r="F385" s="22"/>
    </row>
    <row r="386" spans="1:6" s="15" customFormat="1" x14ac:dyDescent="0.3">
      <c r="A386" s="20"/>
      <c r="B386" s="16"/>
      <c r="C386" s="19"/>
      <c r="D386" s="19"/>
      <c r="E386" s="92"/>
      <c r="F386" s="22"/>
    </row>
    <row r="387" spans="1:6" s="15" customFormat="1" x14ac:dyDescent="0.3">
      <c r="A387" s="20"/>
      <c r="B387" s="16"/>
      <c r="C387" s="19"/>
      <c r="D387" s="19"/>
      <c r="E387" s="92"/>
      <c r="F387" s="22"/>
    </row>
    <row r="388" spans="1:6" s="15" customFormat="1" x14ac:dyDescent="0.3">
      <c r="A388" s="20"/>
      <c r="B388" s="16"/>
      <c r="C388" s="19"/>
      <c r="D388" s="19"/>
      <c r="E388" s="91"/>
      <c r="F388" s="22"/>
    </row>
    <row r="389" spans="1:6" s="15" customFormat="1" x14ac:dyDescent="0.3">
      <c r="A389" s="20"/>
      <c r="B389" s="16"/>
      <c r="C389" s="19"/>
      <c r="D389" s="19"/>
      <c r="E389" s="91"/>
      <c r="F389" s="22"/>
    </row>
    <row r="390" spans="1:6" s="15" customFormat="1" x14ac:dyDescent="0.3">
      <c r="A390" s="20"/>
      <c r="B390" s="16"/>
      <c r="C390" s="19"/>
      <c r="D390" s="19"/>
      <c r="E390" s="91"/>
      <c r="F390" s="22"/>
    </row>
    <row r="391" spans="1:6" s="15" customFormat="1" x14ac:dyDescent="0.3">
      <c r="A391" s="20"/>
      <c r="B391" s="16"/>
      <c r="C391" s="19"/>
      <c r="D391" s="19"/>
      <c r="E391" s="91"/>
      <c r="F391" s="22"/>
    </row>
    <row r="392" spans="1:6" s="15" customFormat="1" x14ac:dyDescent="0.3">
      <c r="A392" s="20"/>
      <c r="B392" s="16"/>
      <c r="C392" s="19"/>
      <c r="D392" s="19"/>
      <c r="E392" s="91"/>
      <c r="F392" s="22"/>
    </row>
    <row r="393" spans="1:6" s="15" customFormat="1" x14ac:dyDescent="0.3">
      <c r="A393" s="20"/>
      <c r="B393" s="16"/>
      <c r="C393" s="19"/>
      <c r="D393" s="19"/>
      <c r="E393" s="91"/>
      <c r="F393" s="22"/>
    </row>
    <row r="394" spans="1:6" s="15" customFormat="1" x14ac:dyDescent="0.3">
      <c r="A394" s="20"/>
      <c r="B394" s="16"/>
      <c r="C394" s="19"/>
      <c r="D394" s="19"/>
      <c r="E394" s="91"/>
      <c r="F394" s="22"/>
    </row>
    <row r="395" spans="1:6" s="15" customFormat="1" x14ac:dyDescent="0.3">
      <c r="A395" s="20"/>
      <c r="B395" s="16"/>
      <c r="C395" s="19"/>
      <c r="D395" s="19"/>
      <c r="E395" s="91"/>
      <c r="F395" s="22"/>
    </row>
    <row r="396" spans="1:6" s="15" customFormat="1" x14ac:dyDescent="0.3">
      <c r="A396" s="20"/>
      <c r="B396" s="16"/>
      <c r="C396" s="19"/>
      <c r="D396" s="19"/>
      <c r="E396" s="91"/>
      <c r="F396" s="22"/>
    </row>
    <row r="397" spans="1:6" s="15" customFormat="1" x14ac:dyDescent="0.3">
      <c r="A397" s="20"/>
      <c r="B397" s="16"/>
      <c r="C397" s="19"/>
      <c r="D397" s="19"/>
      <c r="E397" s="91"/>
      <c r="F397" s="22"/>
    </row>
    <row r="398" spans="1:6" s="15" customFormat="1" x14ac:dyDescent="0.3">
      <c r="A398" s="20"/>
      <c r="B398" s="16"/>
      <c r="C398" s="19"/>
      <c r="D398" s="19"/>
      <c r="E398" s="91"/>
      <c r="F398" s="22"/>
    </row>
    <row r="399" spans="1:6" s="15" customFormat="1" x14ac:dyDescent="0.3">
      <c r="A399" s="20"/>
      <c r="B399" s="16"/>
      <c r="C399" s="19"/>
      <c r="D399" s="19"/>
      <c r="E399" s="91"/>
      <c r="F399" s="22"/>
    </row>
    <row r="400" spans="1:6" ht="15" thickBot="1" x14ac:dyDescent="0.35">
      <c r="A400" s="23"/>
      <c r="B400" s="25"/>
      <c r="C400" s="24"/>
      <c r="D400" s="24"/>
      <c r="E400" s="93"/>
      <c r="F400" s="26"/>
    </row>
  </sheetData>
  <autoFilter ref="A1:D400" xr:uid="{00000000-0009-0000-0000-000000000000}"/>
  <pageMargins left="0.23622047244094488" right="0.33566176470588233" top="0.94488188976377951" bottom="0.94488188976377951" header="0.31496062992125984" footer="0.31496062992125984"/>
  <pageSetup paperSize="9" scale="83" orientation="portrait" r:id="rId1"/>
  <headerFooter>
    <oddHeader>&amp;L&amp;G&amp;C&amp;"Arial,Bold"&amp;10Y Fforwm Substructure BoQ&amp;R22/04/2022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2041B-7AEA-4C32-9748-45390232089A}">
  <dimension ref="A1:F26"/>
  <sheetViews>
    <sheetView view="pageBreakPreview" zoomScaleNormal="100" zoomScaleSheetLayoutView="100" zoomScalePageLayoutView="85" workbookViewId="0">
      <selection activeCell="B20" sqref="B20"/>
    </sheetView>
  </sheetViews>
  <sheetFormatPr defaultColWidth="8.88671875" defaultRowHeight="14.4" x14ac:dyDescent="0.3"/>
  <cols>
    <col min="1" max="1" width="10.44140625" style="8" customWidth="1"/>
    <col min="2" max="2" width="60.44140625" style="1" customWidth="1"/>
    <col min="3" max="3" width="7.6640625" style="8" customWidth="1"/>
    <col min="4" max="4" width="5.88671875" style="8" customWidth="1"/>
    <col min="5" max="5" width="13.5546875" style="94" customWidth="1"/>
    <col min="6" max="6" width="19.33203125" style="10" customWidth="1"/>
    <col min="7" max="16384" width="8.88671875" style="15"/>
  </cols>
  <sheetData>
    <row r="1" spans="1:6" x14ac:dyDescent="0.3">
      <c r="A1" s="3"/>
      <c r="B1" s="2" t="s">
        <v>0</v>
      </c>
      <c r="C1" s="7" t="s">
        <v>5</v>
      </c>
      <c r="D1" s="7" t="s">
        <v>1</v>
      </c>
      <c r="E1" s="85" t="s">
        <v>2</v>
      </c>
      <c r="F1" s="9" t="s">
        <v>3</v>
      </c>
    </row>
    <row r="2" spans="1:6" ht="27" x14ac:dyDescent="0.3">
      <c r="A2" s="11"/>
      <c r="B2" s="12" t="s">
        <v>4</v>
      </c>
      <c r="C2" s="13"/>
      <c r="D2" s="13"/>
      <c r="E2" s="86"/>
      <c r="F2" s="14"/>
    </row>
    <row r="3" spans="1:6" x14ac:dyDescent="0.3">
      <c r="A3" s="11"/>
      <c r="B3" s="12"/>
      <c r="C3" s="13"/>
      <c r="D3" s="13"/>
      <c r="E3" s="86"/>
      <c r="F3" s="14"/>
    </row>
    <row r="4" spans="1:6" x14ac:dyDescent="0.3">
      <c r="A4" s="11"/>
      <c r="B4" s="110" t="s">
        <v>233</v>
      </c>
      <c r="C4" s="13"/>
      <c r="D4" s="13"/>
      <c r="E4" s="86"/>
      <c r="F4" s="14"/>
    </row>
    <row r="5" spans="1:6" x14ac:dyDescent="0.3">
      <c r="A5" s="11"/>
      <c r="B5" s="109" t="s">
        <v>234</v>
      </c>
      <c r="C5" s="13"/>
      <c r="D5" s="13"/>
      <c r="E5" s="86"/>
      <c r="F5" s="29"/>
    </row>
    <row r="6" spans="1:6" x14ac:dyDescent="0.3">
      <c r="A6" s="18"/>
      <c r="B6" s="69" t="s">
        <v>15</v>
      </c>
      <c r="C6" s="19"/>
      <c r="D6" s="19"/>
      <c r="E6" s="87"/>
      <c r="F6" s="29"/>
    </row>
    <row r="7" spans="1:6" x14ac:dyDescent="0.3">
      <c r="A7" s="11"/>
      <c r="B7" s="70" t="s">
        <v>22</v>
      </c>
      <c r="C7" s="13"/>
      <c r="D7" s="13"/>
      <c r="E7" s="86"/>
      <c r="F7" s="29"/>
    </row>
    <row r="8" spans="1:6" x14ac:dyDescent="0.3">
      <c r="A8" s="11"/>
      <c r="B8" s="16" t="s">
        <v>185</v>
      </c>
      <c r="C8" s="13"/>
      <c r="D8" s="13"/>
      <c r="E8" s="86"/>
      <c r="F8" s="29"/>
    </row>
    <row r="9" spans="1:6" x14ac:dyDescent="0.3">
      <c r="A9" s="11"/>
      <c r="B9" s="68" t="s">
        <v>52</v>
      </c>
      <c r="C9" s="19">
        <f>1128*1.8</f>
        <v>2030.4</v>
      </c>
      <c r="D9" s="19" t="s">
        <v>18</v>
      </c>
      <c r="E9" s="87">
        <v>8</v>
      </c>
      <c r="F9" s="29">
        <f t="shared" ref="F9:F22" si="0">C9*E9</f>
        <v>16243.2</v>
      </c>
    </row>
    <row r="10" spans="1:6" x14ac:dyDescent="0.3">
      <c r="A10" s="11"/>
      <c r="B10" s="68"/>
      <c r="C10" s="13"/>
      <c r="D10" s="19"/>
      <c r="E10" s="86"/>
      <c r="F10" s="29"/>
    </row>
    <row r="11" spans="1:6" x14ac:dyDescent="0.3">
      <c r="A11" s="18"/>
      <c r="B11" s="71" t="s">
        <v>391</v>
      </c>
      <c r="C11" s="19"/>
      <c r="D11" s="19"/>
      <c r="E11" s="88"/>
      <c r="F11" s="29"/>
    </row>
    <row r="12" spans="1:6" x14ac:dyDescent="0.3">
      <c r="A12" s="18"/>
      <c r="B12" s="73" t="s">
        <v>139</v>
      </c>
      <c r="C12" s="19">
        <f>C9</f>
        <v>2030.4</v>
      </c>
      <c r="D12" s="19" t="s">
        <v>18</v>
      </c>
      <c r="E12" s="88">
        <v>65</v>
      </c>
      <c r="F12" s="29">
        <f t="shared" si="0"/>
        <v>131976</v>
      </c>
    </row>
    <row r="13" spans="1:6" x14ac:dyDescent="0.3">
      <c r="A13" s="11"/>
      <c r="B13" s="68"/>
      <c r="C13" s="13"/>
      <c r="D13" s="19"/>
      <c r="E13" s="86"/>
      <c r="F13" s="29"/>
    </row>
    <row r="14" spans="1:6" x14ac:dyDescent="0.3">
      <c r="A14" s="18"/>
      <c r="B14" s="70" t="s">
        <v>16</v>
      </c>
      <c r="C14" s="19"/>
      <c r="D14" s="19"/>
      <c r="E14" s="88"/>
      <c r="F14" s="29"/>
    </row>
    <row r="15" spans="1:6" x14ac:dyDescent="0.3">
      <c r="A15" s="18"/>
      <c r="B15" s="16" t="s">
        <v>188</v>
      </c>
      <c r="C15" s="19"/>
      <c r="D15" s="19"/>
      <c r="E15" s="88"/>
      <c r="F15" s="29"/>
    </row>
    <row r="16" spans="1:6" x14ac:dyDescent="0.3">
      <c r="A16" s="18"/>
      <c r="B16" s="68" t="s">
        <v>186</v>
      </c>
      <c r="C16" s="31">
        <f>1128*1.5</f>
        <v>1692</v>
      </c>
      <c r="D16" s="19" t="s">
        <v>18</v>
      </c>
      <c r="E16" s="88">
        <v>11.5</v>
      </c>
      <c r="F16" s="29">
        <f t="shared" si="0"/>
        <v>19458</v>
      </c>
    </row>
    <row r="17" spans="1:6" x14ac:dyDescent="0.3">
      <c r="A17" s="18"/>
      <c r="B17" s="68"/>
      <c r="C17" s="31"/>
      <c r="D17" s="19"/>
      <c r="E17" s="88"/>
      <c r="F17" s="29"/>
    </row>
    <row r="18" spans="1:6" x14ac:dyDescent="0.3">
      <c r="A18" s="18"/>
      <c r="B18" s="16" t="s">
        <v>187</v>
      </c>
      <c r="C18" s="19"/>
      <c r="D18" s="19"/>
      <c r="E18" s="88"/>
      <c r="F18" s="29"/>
    </row>
    <row r="19" spans="1:6" x14ac:dyDescent="0.3">
      <c r="A19" s="18"/>
      <c r="B19" s="68" t="s">
        <v>17</v>
      </c>
      <c r="C19" s="31">
        <f>1128*0.3</f>
        <v>338.4</v>
      </c>
      <c r="D19" s="19" t="s">
        <v>18</v>
      </c>
      <c r="E19" s="88">
        <v>16</v>
      </c>
      <c r="F19" s="29">
        <f t="shared" si="0"/>
        <v>5414.4</v>
      </c>
    </row>
    <row r="20" spans="1:6" x14ac:dyDescent="0.3">
      <c r="A20" s="18"/>
      <c r="B20" s="68"/>
      <c r="C20" s="31"/>
      <c r="D20" s="19"/>
      <c r="E20" s="88"/>
      <c r="F20" s="29"/>
    </row>
    <row r="21" spans="1:6" x14ac:dyDescent="0.3">
      <c r="A21" s="18"/>
      <c r="B21" s="70" t="s">
        <v>19</v>
      </c>
      <c r="C21" s="19"/>
      <c r="D21" s="19"/>
      <c r="E21" s="88"/>
      <c r="F21" s="29"/>
    </row>
    <row r="22" spans="1:6" x14ac:dyDescent="0.3">
      <c r="A22" s="18"/>
      <c r="B22" s="68" t="s">
        <v>20</v>
      </c>
      <c r="C22" s="31">
        <v>1128</v>
      </c>
      <c r="D22" s="19" t="s">
        <v>21</v>
      </c>
      <c r="E22" s="88">
        <v>2.8</v>
      </c>
      <c r="F22" s="29">
        <f t="shared" si="0"/>
        <v>3158.3999999999996</v>
      </c>
    </row>
    <row r="23" spans="1:6" x14ac:dyDescent="0.3">
      <c r="A23" s="20"/>
      <c r="B23" s="16"/>
      <c r="C23" s="19"/>
      <c r="D23" s="19"/>
      <c r="E23" s="91"/>
      <c r="F23" s="22"/>
    </row>
    <row r="24" spans="1:6" x14ac:dyDescent="0.3">
      <c r="A24" s="20"/>
      <c r="B24" s="16"/>
      <c r="C24" s="19"/>
      <c r="D24" s="19"/>
      <c r="E24" s="91"/>
      <c r="F24" s="22"/>
    </row>
    <row r="25" spans="1:6" x14ac:dyDescent="0.3">
      <c r="A25" s="20"/>
      <c r="B25" s="72" t="s">
        <v>388</v>
      </c>
      <c r="C25" s="19"/>
      <c r="D25" s="19"/>
      <c r="E25" s="91"/>
      <c r="F25" s="22">
        <f>SUM(F8:F24)</f>
        <v>176250</v>
      </c>
    </row>
    <row r="26" spans="1:6" ht="15" thickBot="1" x14ac:dyDescent="0.35">
      <c r="A26" s="23"/>
      <c r="B26" s="25"/>
      <c r="C26" s="24"/>
      <c r="D26" s="24"/>
      <c r="E26" s="93"/>
      <c r="F26" s="26"/>
    </row>
  </sheetData>
  <autoFilter ref="A1:D26" xr:uid="{00000000-0009-0000-0000-000000000000}"/>
  <pageMargins left="0.23622047244094488" right="0.33566176470588233" top="0.94488188976377951" bottom="0.94488188976377951" header="0.31496062992125984" footer="0.31496062992125984"/>
  <pageSetup paperSize="9" scale="83" orientation="portrait" r:id="rId1"/>
  <headerFooter>
    <oddHeader>&amp;L&amp;G&amp;C&amp;"Arial,Bold"&amp;10Y Fforwm Substructure BoQ&amp;R22/04/2022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372D-0889-46C6-9A3C-0BEECE9E8390}">
  <dimension ref="A1:F9"/>
  <sheetViews>
    <sheetView view="pageBreakPreview" zoomScaleNormal="100" zoomScaleSheetLayoutView="100" zoomScalePageLayoutView="85" workbookViewId="0">
      <selection activeCell="B4" sqref="B4"/>
    </sheetView>
  </sheetViews>
  <sheetFormatPr defaultColWidth="8.88671875" defaultRowHeight="14.4" x14ac:dyDescent="0.3"/>
  <cols>
    <col min="1" max="1" width="10.44140625" style="8" customWidth="1"/>
    <col min="2" max="2" width="60.44140625" style="1" customWidth="1"/>
    <col min="3" max="3" width="7.6640625" style="8" customWidth="1"/>
    <col min="4" max="4" width="5.88671875" style="8" customWidth="1"/>
    <col min="5" max="5" width="13.5546875" style="94" customWidth="1"/>
    <col min="6" max="6" width="19.33203125" style="10" customWidth="1"/>
    <col min="7" max="16384" width="8.88671875" style="15"/>
  </cols>
  <sheetData>
    <row r="1" spans="1:6" x14ac:dyDescent="0.3">
      <c r="A1" s="3"/>
      <c r="B1" s="2" t="s">
        <v>0</v>
      </c>
      <c r="C1" s="7" t="s">
        <v>5</v>
      </c>
      <c r="D1" s="7" t="s">
        <v>1</v>
      </c>
      <c r="E1" s="85" t="s">
        <v>2</v>
      </c>
      <c r="F1" s="9" t="s">
        <v>3</v>
      </c>
    </row>
    <row r="2" spans="1:6" ht="27" x14ac:dyDescent="0.3">
      <c r="A2" s="11"/>
      <c r="B2" s="12" t="s">
        <v>4</v>
      </c>
      <c r="C2" s="13"/>
      <c r="D2" s="13"/>
      <c r="E2" s="86"/>
      <c r="F2" s="14"/>
    </row>
    <row r="3" spans="1:6" x14ac:dyDescent="0.3">
      <c r="A3" s="11"/>
      <c r="B3" s="12"/>
      <c r="C3" s="13"/>
      <c r="D3" s="13"/>
      <c r="E3" s="86"/>
      <c r="F3" s="14"/>
    </row>
    <row r="4" spans="1:6" x14ac:dyDescent="0.3">
      <c r="A4" s="11"/>
      <c r="B4" s="68" t="s">
        <v>194</v>
      </c>
      <c r="C4" s="19">
        <v>14</v>
      </c>
      <c r="D4" s="19" t="s">
        <v>195</v>
      </c>
      <c r="E4" s="87">
        <f>55*8</f>
        <v>440</v>
      </c>
      <c r="F4" s="29">
        <f t="shared" ref="F4:F6" si="0">C4*E4</f>
        <v>6160</v>
      </c>
    </row>
    <row r="5" spans="1:6" x14ac:dyDescent="0.3">
      <c r="A5" s="11"/>
      <c r="B5" s="16"/>
      <c r="C5" s="19"/>
      <c r="D5" s="19"/>
      <c r="E5" s="87"/>
      <c r="F5" s="29"/>
    </row>
    <row r="6" spans="1:6" x14ac:dyDescent="0.3">
      <c r="A6" s="11"/>
      <c r="B6" s="68" t="s">
        <v>392</v>
      </c>
      <c r="C6" s="19">
        <v>28</v>
      </c>
      <c r="D6" s="19" t="s">
        <v>393</v>
      </c>
      <c r="E6" s="87">
        <v>155</v>
      </c>
      <c r="F6" s="29">
        <f t="shared" si="0"/>
        <v>4340</v>
      </c>
    </row>
    <row r="7" spans="1:6" x14ac:dyDescent="0.3">
      <c r="A7" s="11"/>
      <c r="B7" s="16"/>
      <c r="C7" s="19"/>
      <c r="D7" s="19"/>
      <c r="E7" s="87"/>
      <c r="F7" s="29"/>
    </row>
    <row r="8" spans="1:6" x14ac:dyDescent="0.3">
      <c r="A8" s="11"/>
      <c r="B8" s="72" t="s">
        <v>388</v>
      </c>
      <c r="C8" s="19"/>
      <c r="D8" s="19"/>
      <c r="E8" s="87"/>
      <c r="F8" s="107">
        <f>SUM(F4:F6)</f>
        <v>10500</v>
      </c>
    </row>
    <row r="9" spans="1:6" ht="15" thickBot="1" x14ac:dyDescent="0.35">
      <c r="A9" s="23"/>
      <c r="B9" s="25"/>
      <c r="C9" s="24"/>
      <c r="D9" s="24"/>
      <c r="E9" s="93"/>
      <c r="F9" s="26"/>
    </row>
  </sheetData>
  <autoFilter ref="A1:D9" xr:uid="{00000000-0009-0000-0000-000000000000}"/>
  <pageMargins left="0.23622047244094488" right="0.33566176470588233" top="0.94488188976377951" bottom="0.94488188976377951" header="0.31496062992125984" footer="0.31496062992125984"/>
  <pageSetup paperSize="9" scale="83" orientation="portrait" r:id="rId1"/>
  <headerFooter>
    <oddHeader>&amp;L&amp;G&amp;C&amp;"Arial,Bold"&amp;10Y Fforwm Substructure BoQ&amp;R22/04/2022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DBA76-3956-425E-94BF-CF54C2D2924F}">
  <dimension ref="A1:H501"/>
  <sheetViews>
    <sheetView view="pageLayout" zoomScaleNormal="100" workbookViewId="0">
      <selection activeCell="H493" sqref="H493"/>
    </sheetView>
  </sheetViews>
  <sheetFormatPr defaultColWidth="9.109375" defaultRowHeight="14.4" x14ac:dyDescent="0.3"/>
  <cols>
    <col min="1" max="1" width="5.88671875" style="135" customWidth="1"/>
    <col min="2" max="3" width="5.88671875" style="53" customWidth="1"/>
    <col min="4" max="4" width="27.6640625" style="54" customWidth="1"/>
    <col min="5" max="5" width="4.77734375" style="135" customWidth="1"/>
    <col min="6" max="6" width="5" style="53" customWidth="1"/>
    <col min="7" max="7" width="6.33203125" style="53" customWidth="1"/>
    <col min="8" max="8" width="25.6640625" style="53" customWidth="1"/>
    <col min="9" max="16384" width="9.109375" style="53"/>
  </cols>
  <sheetData>
    <row r="1" spans="1:8" x14ac:dyDescent="0.3">
      <c r="A1" s="133" t="s">
        <v>13</v>
      </c>
      <c r="B1" s="65" t="s">
        <v>12</v>
      </c>
      <c r="C1" s="66" t="s">
        <v>11</v>
      </c>
      <c r="D1" s="67" t="s">
        <v>10</v>
      </c>
      <c r="E1" s="133" t="s">
        <v>13</v>
      </c>
      <c r="F1" s="65" t="s">
        <v>12</v>
      </c>
      <c r="G1" s="66" t="s">
        <v>11</v>
      </c>
      <c r="H1" s="65" t="s">
        <v>10</v>
      </c>
    </row>
    <row r="2" spans="1:8" x14ac:dyDescent="0.3">
      <c r="A2" s="114"/>
      <c r="B2" s="60"/>
      <c r="C2" s="59"/>
      <c r="D2" s="143" t="s">
        <v>120</v>
      </c>
      <c r="E2" s="114"/>
      <c r="F2" s="60"/>
      <c r="G2" s="59"/>
      <c r="H2" s="64"/>
    </row>
    <row r="3" spans="1:8" ht="14.25" customHeight="1" x14ac:dyDescent="0.3">
      <c r="A3" s="114"/>
      <c r="B3" s="60"/>
      <c r="C3" s="59"/>
      <c r="D3" s="53" t="s">
        <v>238</v>
      </c>
      <c r="E3" s="114"/>
      <c r="F3" s="60"/>
      <c r="H3" s="117" t="s">
        <v>263</v>
      </c>
    </row>
    <row r="4" spans="1:8" ht="15" customHeight="1" thickBot="1" x14ac:dyDescent="0.35">
      <c r="A4" s="114"/>
      <c r="B4" s="60">
        <v>1128</v>
      </c>
      <c r="C4" s="59"/>
      <c r="D4" s="53"/>
      <c r="E4" s="114"/>
      <c r="F4" s="60"/>
      <c r="G4" s="111">
        <f>C16+C23+C30+C38+C44+C49</f>
        <v>182.47149999999999</v>
      </c>
      <c r="H4" s="116" t="s">
        <v>264</v>
      </c>
    </row>
    <row r="5" spans="1:8" ht="18.75" customHeight="1" thickTop="1" thickBot="1" x14ac:dyDescent="0.35">
      <c r="A5" s="114"/>
      <c r="B5" s="57">
        <v>0.15</v>
      </c>
      <c r="C5" s="112">
        <f>B4*B5</f>
        <v>169.2</v>
      </c>
      <c r="D5" s="113" t="s">
        <v>239</v>
      </c>
      <c r="E5" s="114"/>
      <c r="F5" s="60"/>
      <c r="G5" s="59"/>
      <c r="H5" s="63"/>
    </row>
    <row r="6" spans="1:8" ht="15" thickTop="1" x14ac:dyDescent="0.3">
      <c r="A6" s="114"/>
      <c r="B6" s="61"/>
      <c r="C6" s="60"/>
      <c r="D6" s="144" t="s">
        <v>282</v>
      </c>
      <c r="E6" s="114"/>
      <c r="F6" s="60"/>
      <c r="G6" s="59"/>
      <c r="H6" s="145" t="s">
        <v>265</v>
      </c>
    </row>
    <row r="7" spans="1:8" x14ac:dyDescent="0.3">
      <c r="A7" s="114"/>
      <c r="B7" s="61"/>
      <c r="C7" s="60"/>
      <c r="D7" s="113" t="s">
        <v>283</v>
      </c>
      <c r="E7" s="114"/>
      <c r="F7" s="60"/>
      <c r="G7" s="59"/>
      <c r="H7" s="63"/>
    </row>
    <row r="8" spans="1:8" ht="15" customHeight="1" x14ac:dyDescent="0.3">
      <c r="A8" s="114"/>
      <c r="B8" s="61">
        <v>1.18</v>
      </c>
      <c r="C8" s="60"/>
      <c r="D8" s="53" t="s">
        <v>284</v>
      </c>
      <c r="E8" s="114"/>
      <c r="F8" s="60"/>
      <c r="G8" s="59"/>
      <c r="H8" s="116" t="s">
        <v>266</v>
      </c>
    </row>
    <row r="9" spans="1:8" ht="15" thickBot="1" x14ac:dyDescent="0.35">
      <c r="A9" s="114"/>
      <c r="B9" s="57">
        <v>96</v>
      </c>
      <c r="C9" s="111">
        <f>B8*B9</f>
        <v>113.28</v>
      </c>
      <c r="D9" s="54" t="s">
        <v>18</v>
      </c>
      <c r="E9" s="114"/>
      <c r="F9" s="60"/>
      <c r="G9" s="59"/>
      <c r="H9" s="63"/>
    </row>
    <row r="10" spans="1:8" ht="16.2" customHeight="1" thickTop="1" x14ac:dyDescent="0.3">
      <c r="A10" s="114"/>
      <c r="B10" s="60"/>
      <c r="C10" s="59"/>
      <c r="D10" s="144" t="s">
        <v>49</v>
      </c>
      <c r="E10" s="114"/>
      <c r="F10" s="60"/>
      <c r="G10" s="59"/>
      <c r="H10" s="116" t="s">
        <v>243</v>
      </c>
    </row>
    <row r="11" spans="1:8" x14ac:dyDescent="0.3">
      <c r="A11" s="114"/>
      <c r="B11" s="60"/>
      <c r="C11" s="59"/>
      <c r="D11" s="113" t="s">
        <v>244</v>
      </c>
      <c r="E11" s="114"/>
      <c r="F11" s="60"/>
      <c r="G11" s="57">
        <v>0.75</v>
      </c>
      <c r="H11" s="116"/>
    </row>
    <row r="12" spans="1:8" x14ac:dyDescent="0.3">
      <c r="A12" s="114"/>
      <c r="B12" s="60"/>
      <c r="C12" s="59"/>
      <c r="D12" s="53" t="s">
        <v>243</v>
      </c>
      <c r="E12" s="114"/>
      <c r="F12" s="60"/>
      <c r="G12" s="57">
        <v>0.5</v>
      </c>
      <c r="H12" s="116"/>
    </row>
    <row r="13" spans="1:8" ht="15" thickBot="1" x14ac:dyDescent="0.35">
      <c r="A13" s="114"/>
      <c r="B13" s="60"/>
      <c r="C13" s="59"/>
      <c r="D13" s="53" t="s">
        <v>245</v>
      </c>
      <c r="E13" s="114"/>
      <c r="F13" s="60"/>
      <c r="G13" s="111">
        <f>G11+G12</f>
        <v>1.25</v>
      </c>
      <c r="H13" s="116" t="s">
        <v>267</v>
      </c>
    </row>
    <row r="14" spans="1:8" ht="15" thickTop="1" x14ac:dyDescent="0.3">
      <c r="A14" s="114" t="s">
        <v>242</v>
      </c>
      <c r="B14" s="60">
        <v>0.75</v>
      </c>
      <c r="C14" s="59"/>
      <c r="D14" s="53"/>
      <c r="E14" s="114"/>
      <c r="F14" s="60"/>
      <c r="G14" s="59"/>
      <c r="H14" s="63"/>
    </row>
    <row r="15" spans="1:8" x14ac:dyDescent="0.3">
      <c r="A15" s="114"/>
      <c r="B15" s="60">
        <v>0.75</v>
      </c>
      <c r="C15" s="59"/>
      <c r="D15" s="53"/>
      <c r="E15" s="114"/>
      <c r="F15" s="60">
        <v>1.25</v>
      </c>
      <c r="G15" s="59"/>
      <c r="H15" s="63"/>
    </row>
    <row r="16" spans="1:8" x14ac:dyDescent="0.3">
      <c r="A16" s="114"/>
      <c r="B16" s="57">
        <v>0.8</v>
      </c>
      <c r="C16" s="57">
        <f>(B14*B15*B16)*4</f>
        <v>1.8</v>
      </c>
      <c r="D16" s="53" t="s">
        <v>18</v>
      </c>
      <c r="E16" s="114"/>
      <c r="F16" s="57">
        <v>4</v>
      </c>
      <c r="G16" s="57">
        <f>F15*F16</f>
        <v>5</v>
      </c>
      <c r="H16" s="116" t="s">
        <v>268</v>
      </c>
    </row>
    <row r="17" spans="1:8" x14ac:dyDescent="0.3">
      <c r="A17" s="114"/>
      <c r="B17" s="60"/>
      <c r="C17" s="59"/>
      <c r="D17" s="53"/>
      <c r="E17" s="114"/>
      <c r="F17" s="60"/>
      <c r="G17" s="59"/>
      <c r="H17" s="63"/>
    </row>
    <row r="18" spans="1:8" x14ac:dyDescent="0.3">
      <c r="A18" s="114"/>
      <c r="B18" s="60"/>
      <c r="C18" s="59"/>
      <c r="D18" s="53" t="s">
        <v>246</v>
      </c>
      <c r="E18" s="114">
        <v>4</v>
      </c>
      <c r="F18" s="60">
        <v>5</v>
      </c>
      <c r="G18" s="59"/>
      <c r="H18" s="63"/>
    </row>
    <row r="19" spans="1:8" x14ac:dyDescent="0.3">
      <c r="A19" s="114"/>
      <c r="B19" s="60"/>
      <c r="C19" s="59"/>
      <c r="D19" s="53" t="s">
        <v>247</v>
      </c>
      <c r="E19" s="114"/>
      <c r="F19" s="61">
        <v>0.5</v>
      </c>
      <c r="G19" s="60"/>
      <c r="H19" s="118"/>
    </row>
    <row r="20" spans="1:8" x14ac:dyDescent="0.3">
      <c r="A20" s="114"/>
      <c r="B20" s="60"/>
      <c r="C20" s="59"/>
      <c r="D20" s="53" t="s">
        <v>248</v>
      </c>
      <c r="E20" s="114"/>
      <c r="F20" s="57">
        <v>0.8</v>
      </c>
      <c r="G20" s="57">
        <f>(F18*F19*F20)*4</f>
        <v>8</v>
      </c>
      <c r="H20" s="116" t="s">
        <v>264</v>
      </c>
    </row>
    <row r="21" spans="1:8" x14ac:dyDescent="0.3">
      <c r="A21" s="114" t="s">
        <v>249</v>
      </c>
      <c r="B21" s="60">
        <v>1.3</v>
      </c>
      <c r="C21" s="59"/>
      <c r="D21" s="53"/>
      <c r="E21" s="114"/>
      <c r="F21" s="60"/>
      <c r="G21" s="59"/>
      <c r="H21" s="63"/>
    </row>
    <row r="22" spans="1:8" ht="17.25" customHeight="1" x14ac:dyDescent="0.3">
      <c r="A22" s="114"/>
      <c r="B22" s="60">
        <v>0.75</v>
      </c>
      <c r="C22" s="59"/>
      <c r="D22" s="53"/>
      <c r="E22" s="114"/>
      <c r="F22" s="60"/>
      <c r="G22" s="60"/>
      <c r="H22" s="53" t="s">
        <v>246</v>
      </c>
    </row>
    <row r="23" spans="1:8" x14ac:dyDescent="0.3">
      <c r="A23" s="114"/>
      <c r="B23" s="57">
        <v>0.8</v>
      </c>
      <c r="C23" s="57">
        <f>(B21*B22*B23)*8</f>
        <v>6.2400000000000011</v>
      </c>
      <c r="D23" s="53" t="s">
        <v>18</v>
      </c>
      <c r="E23" s="114"/>
      <c r="F23" s="60"/>
      <c r="G23" s="59"/>
      <c r="H23" s="53" t="s">
        <v>247</v>
      </c>
    </row>
    <row r="24" spans="1:8" x14ac:dyDescent="0.3">
      <c r="A24" s="114"/>
      <c r="B24" s="60"/>
      <c r="C24" s="59"/>
      <c r="D24" s="53"/>
      <c r="E24" s="114" t="s">
        <v>270</v>
      </c>
      <c r="F24" s="60"/>
      <c r="G24" s="57">
        <v>1.3</v>
      </c>
      <c r="H24" s="116"/>
    </row>
    <row r="25" spans="1:8" x14ac:dyDescent="0.3">
      <c r="A25" s="114"/>
      <c r="B25" s="60"/>
      <c r="C25" s="59"/>
      <c r="D25" s="53" t="s">
        <v>250</v>
      </c>
      <c r="E25" s="114"/>
      <c r="F25" s="60"/>
      <c r="G25" s="65">
        <v>0.5</v>
      </c>
      <c r="H25" s="63"/>
    </row>
    <row r="26" spans="1:8" ht="15" thickBot="1" x14ac:dyDescent="0.35">
      <c r="A26" s="114"/>
      <c r="B26" s="60"/>
      <c r="C26" s="59"/>
      <c r="D26" s="53" t="s">
        <v>251</v>
      </c>
      <c r="E26" s="114"/>
      <c r="F26" s="60"/>
      <c r="G26" s="111">
        <f>(G24+G25)*2</f>
        <v>3.6</v>
      </c>
      <c r="H26" s="116" t="s">
        <v>46</v>
      </c>
    </row>
    <row r="27" spans="1:8" ht="15" thickTop="1" x14ac:dyDescent="0.3">
      <c r="A27" s="114"/>
      <c r="B27" s="60"/>
      <c r="C27" s="59"/>
      <c r="D27" s="53" t="s">
        <v>248</v>
      </c>
      <c r="E27" s="114"/>
      <c r="F27" s="60"/>
      <c r="G27" s="59"/>
      <c r="H27" s="63"/>
    </row>
    <row r="28" spans="1:8" x14ac:dyDescent="0.3">
      <c r="A28" s="114" t="s">
        <v>252</v>
      </c>
      <c r="B28" s="60">
        <v>1.3</v>
      </c>
      <c r="C28" s="59"/>
      <c r="D28" s="53"/>
      <c r="E28" s="114" t="s">
        <v>270</v>
      </c>
      <c r="F28" s="60"/>
      <c r="G28" s="57">
        <v>0.75</v>
      </c>
      <c r="H28" s="63"/>
    </row>
    <row r="29" spans="1:8" x14ac:dyDescent="0.3">
      <c r="A29" s="114"/>
      <c r="B29" s="60">
        <v>1.1000000000000001</v>
      </c>
      <c r="C29" s="59"/>
      <c r="D29" s="53"/>
      <c r="E29" s="114"/>
      <c r="F29" s="60"/>
      <c r="G29" s="65">
        <v>0.5</v>
      </c>
      <c r="H29" s="63"/>
    </row>
    <row r="30" spans="1:8" ht="15" thickBot="1" x14ac:dyDescent="0.35">
      <c r="A30" s="114"/>
      <c r="B30" s="57">
        <v>0.8</v>
      </c>
      <c r="C30" s="57">
        <f>(B28*B29*B30)*11</f>
        <v>12.584000000000001</v>
      </c>
      <c r="D30" s="53" t="s">
        <v>18</v>
      </c>
      <c r="E30" s="114"/>
      <c r="F30" s="60"/>
      <c r="G30" s="111">
        <f>(G28+G29)*2</f>
        <v>2.5</v>
      </c>
      <c r="H30" s="116" t="s">
        <v>46</v>
      </c>
    </row>
    <row r="31" spans="1:8" ht="15" thickTop="1" x14ac:dyDescent="0.3">
      <c r="A31" s="114"/>
      <c r="B31" s="60"/>
      <c r="C31" s="59"/>
      <c r="D31" s="53"/>
      <c r="E31" s="114"/>
      <c r="F31" s="60"/>
      <c r="G31" s="59"/>
      <c r="H31" s="63"/>
    </row>
    <row r="32" spans="1:8" x14ac:dyDescent="0.3">
      <c r="A32" s="114"/>
      <c r="B32" s="60"/>
      <c r="C32" s="59"/>
      <c r="D32" s="53" t="s">
        <v>258</v>
      </c>
      <c r="E32" s="114"/>
      <c r="F32" s="60"/>
      <c r="G32" s="57">
        <f>G26</f>
        <v>3.6</v>
      </c>
      <c r="H32" s="63"/>
    </row>
    <row r="33" spans="1:8" x14ac:dyDescent="0.3">
      <c r="A33" s="114"/>
      <c r="B33" s="60"/>
      <c r="C33" s="59"/>
      <c r="D33" s="53" t="s">
        <v>254</v>
      </c>
      <c r="E33" s="114"/>
      <c r="F33" s="60"/>
      <c r="G33" s="65">
        <f>G30</f>
        <v>2.5</v>
      </c>
      <c r="H33" s="63"/>
    </row>
    <row r="34" spans="1:8" ht="15" thickBot="1" x14ac:dyDescent="0.35">
      <c r="A34" s="114"/>
      <c r="B34" s="60"/>
      <c r="C34" s="59"/>
      <c r="D34" s="53" t="s">
        <v>256</v>
      </c>
      <c r="E34" s="114"/>
      <c r="F34" s="60"/>
      <c r="G34" s="111">
        <f>G32+G33</f>
        <v>6.1</v>
      </c>
      <c r="H34" s="116" t="s">
        <v>268</v>
      </c>
    </row>
    <row r="35" spans="1:8" ht="15" thickTop="1" x14ac:dyDescent="0.3">
      <c r="A35" s="114"/>
      <c r="B35" s="60"/>
      <c r="C35" s="60"/>
      <c r="D35" s="53" t="s">
        <v>255</v>
      </c>
      <c r="E35" s="114"/>
      <c r="F35" s="60"/>
      <c r="G35" s="60"/>
      <c r="H35" s="63"/>
    </row>
    <row r="36" spans="1:8" x14ac:dyDescent="0.3">
      <c r="A36" s="114"/>
      <c r="B36" s="60"/>
      <c r="C36" s="59"/>
      <c r="D36" s="53" t="s">
        <v>257</v>
      </c>
      <c r="E36" s="114" t="s">
        <v>249</v>
      </c>
      <c r="F36" s="61">
        <v>6.1</v>
      </c>
      <c r="G36" s="60"/>
      <c r="H36" s="118"/>
    </row>
    <row r="37" spans="1:8" x14ac:dyDescent="0.3">
      <c r="A37" s="114" t="s">
        <v>253</v>
      </c>
      <c r="B37" s="60">
        <v>1.24</v>
      </c>
      <c r="C37" s="59"/>
      <c r="D37" s="53"/>
      <c r="E37" s="114"/>
      <c r="F37" s="60">
        <v>0.5</v>
      </c>
      <c r="G37" s="59"/>
      <c r="H37" s="63"/>
    </row>
    <row r="38" spans="1:8" x14ac:dyDescent="0.3">
      <c r="A38" s="114"/>
      <c r="B38" s="57">
        <v>0.8</v>
      </c>
      <c r="C38" s="57">
        <f>(B37*B38)*10</f>
        <v>9.92</v>
      </c>
      <c r="D38" s="53" t="s">
        <v>18</v>
      </c>
      <c r="E38" s="114"/>
      <c r="F38" s="57">
        <v>0.8</v>
      </c>
      <c r="G38" s="57">
        <f>(F36*F37*F38)*8</f>
        <v>19.52</v>
      </c>
      <c r="H38" s="116" t="s">
        <v>264</v>
      </c>
    </row>
    <row r="39" spans="1:8" x14ac:dyDescent="0.3">
      <c r="A39" s="114"/>
      <c r="B39" s="60"/>
      <c r="C39" s="59"/>
      <c r="D39" s="53"/>
      <c r="E39" s="114"/>
      <c r="F39" s="60"/>
      <c r="G39" s="59"/>
      <c r="H39" s="63"/>
    </row>
    <row r="40" spans="1:8" x14ac:dyDescent="0.3">
      <c r="A40" s="114"/>
      <c r="B40" s="60"/>
      <c r="C40" s="59"/>
      <c r="D40" s="53" t="s">
        <v>259</v>
      </c>
      <c r="E40" s="114"/>
      <c r="F40" s="60"/>
      <c r="G40" s="59"/>
      <c r="H40" s="53" t="s">
        <v>250</v>
      </c>
    </row>
    <row r="41" spans="1:8" x14ac:dyDescent="0.3">
      <c r="A41" s="114"/>
      <c r="B41" s="60"/>
      <c r="C41" s="59"/>
      <c r="D41" s="53" t="s">
        <v>260</v>
      </c>
      <c r="E41" s="114"/>
      <c r="F41" s="60"/>
      <c r="G41" s="59"/>
      <c r="H41" s="53" t="s">
        <v>251</v>
      </c>
    </row>
    <row r="42" spans="1:8" x14ac:dyDescent="0.3">
      <c r="A42" s="114"/>
      <c r="B42" s="60">
        <v>7.9</v>
      </c>
      <c r="C42" s="59"/>
      <c r="D42" s="53"/>
      <c r="E42" s="114" t="s">
        <v>270</v>
      </c>
      <c r="F42" s="60"/>
      <c r="G42" s="57">
        <v>1.3</v>
      </c>
      <c r="H42" s="63"/>
    </row>
    <row r="43" spans="1:8" x14ac:dyDescent="0.3">
      <c r="A43" s="114"/>
      <c r="B43" s="60">
        <v>6.58</v>
      </c>
      <c r="C43" s="59"/>
      <c r="D43" s="53"/>
      <c r="E43" s="114"/>
      <c r="F43" s="60"/>
      <c r="G43" s="65">
        <v>0.5</v>
      </c>
      <c r="H43" s="59"/>
    </row>
    <row r="44" spans="1:8" ht="15" thickBot="1" x14ac:dyDescent="0.35">
      <c r="A44" s="114"/>
      <c r="B44" s="57">
        <v>1.25</v>
      </c>
      <c r="C44" s="57">
        <f>B42*B43*B44</f>
        <v>64.977500000000006</v>
      </c>
      <c r="D44" s="115" t="s">
        <v>18</v>
      </c>
      <c r="E44" s="114"/>
      <c r="F44" s="60"/>
      <c r="G44" s="111">
        <f>(G42+G43)*2</f>
        <v>3.6</v>
      </c>
      <c r="H44" s="59" t="s">
        <v>46</v>
      </c>
    </row>
    <row r="45" spans="1:8" ht="15" thickTop="1" x14ac:dyDescent="0.3">
      <c r="A45" s="114"/>
      <c r="B45" s="60"/>
      <c r="C45" s="59"/>
      <c r="D45" s="62"/>
      <c r="E45" s="114"/>
      <c r="F45" s="60"/>
      <c r="G45" s="59"/>
      <c r="H45" s="59"/>
    </row>
    <row r="46" spans="1:8" x14ac:dyDescent="0.3">
      <c r="A46" s="114"/>
      <c r="B46" s="60"/>
      <c r="C46" s="59"/>
      <c r="D46" s="115" t="s">
        <v>261</v>
      </c>
      <c r="E46" s="114" t="s">
        <v>270</v>
      </c>
      <c r="F46" s="60"/>
      <c r="G46" s="57">
        <v>1.1000000000000001</v>
      </c>
      <c r="H46" s="59"/>
    </row>
    <row r="47" spans="1:8" x14ac:dyDescent="0.3">
      <c r="A47" s="114"/>
      <c r="B47" s="60"/>
      <c r="C47" s="59"/>
      <c r="D47" s="115" t="s">
        <v>262</v>
      </c>
      <c r="E47" s="114"/>
      <c r="F47" s="60"/>
      <c r="G47" s="65">
        <v>0.5</v>
      </c>
      <c r="H47" s="59"/>
    </row>
    <row r="48" spans="1:8" ht="15" thickBot="1" x14ac:dyDescent="0.35">
      <c r="A48" s="114"/>
      <c r="B48" s="60">
        <v>69.56</v>
      </c>
      <c r="C48" s="59"/>
      <c r="D48" s="62"/>
      <c r="E48" s="114"/>
      <c r="F48" s="60"/>
      <c r="G48" s="111">
        <f>(G46+G47)*2</f>
        <v>3.2</v>
      </c>
      <c r="H48" s="59" t="s">
        <v>46</v>
      </c>
    </row>
    <row r="49" spans="1:8" ht="15" thickTop="1" x14ac:dyDescent="0.3">
      <c r="A49" s="114"/>
      <c r="B49" s="57">
        <v>1.25</v>
      </c>
      <c r="C49" s="57">
        <f>B48*B49</f>
        <v>86.95</v>
      </c>
      <c r="D49" s="115" t="s">
        <v>18</v>
      </c>
      <c r="E49" s="134"/>
      <c r="F49" s="57"/>
      <c r="G49" s="56"/>
      <c r="H49" s="56"/>
    </row>
    <row r="50" spans="1:8" x14ac:dyDescent="0.3">
      <c r="A50" s="134"/>
      <c r="B50" s="57"/>
      <c r="C50" s="56"/>
      <c r="D50" s="58"/>
      <c r="F50" s="55"/>
    </row>
    <row r="51" spans="1:8" x14ac:dyDescent="0.3">
      <c r="A51" s="136"/>
      <c r="B51" s="120"/>
      <c r="C51" s="119"/>
      <c r="D51" s="121"/>
      <c r="E51" s="136"/>
      <c r="F51" s="120">
        <f>C98</f>
        <v>30.96</v>
      </c>
      <c r="G51" s="119"/>
      <c r="H51" s="122"/>
    </row>
    <row r="52" spans="1:8" x14ac:dyDescent="0.3">
      <c r="A52" s="124"/>
      <c r="B52" s="95"/>
      <c r="C52" s="57">
        <f>G44</f>
        <v>3.6</v>
      </c>
      <c r="D52" s="96"/>
      <c r="E52" s="124"/>
      <c r="F52" s="95">
        <v>0.5</v>
      </c>
      <c r="G52" s="60"/>
      <c r="H52" s="59"/>
    </row>
    <row r="53" spans="1:8" x14ac:dyDescent="0.3">
      <c r="A53" s="124"/>
      <c r="B53" s="95"/>
      <c r="C53" s="65">
        <f>G48</f>
        <v>3.2</v>
      </c>
      <c r="D53" s="96"/>
      <c r="E53" s="124"/>
      <c r="F53" s="57">
        <v>1.25</v>
      </c>
      <c r="G53" s="57">
        <f>F51*F52*F53</f>
        <v>19.350000000000001</v>
      </c>
      <c r="H53" s="59" t="s">
        <v>18</v>
      </c>
    </row>
    <row r="54" spans="1:8" ht="15" thickBot="1" x14ac:dyDescent="0.35">
      <c r="A54" s="124"/>
      <c r="B54" s="95"/>
      <c r="C54" s="111">
        <f>C52+C53</f>
        <v>6.8000000000000007</v>
      </c>
      <c r="D54" s="96" t="s">
        <v>268</v>
      </c>
      <c r="E54" s="124"/>
      <c r="F54" s="95"/>
      <c r="G54" s="60"/>
      <c r="H54" s="59"/>
    </row>
    <row r="55" spans="1:8" ht="15" thickTop="1" x14ac:dyDescent="0.3">
      <c r="A55" s="124"/>
      <c r="B55" s="95"/>
      <c r="C55" s="60"/>
      <c r="D55" s="96"/>
      <c r="E55" s="124"/>
      <c r="F55" s="95"/>
      <c r="G55" s="60"/>
      <c r="H55" s="115" t="s">
        <v>261</v>
      </c>
    </row>
    <row r="56" spans="1:8" x14ac:dyDescent="0.3">
      <c r="A56" s="124" t="s">
        <v>252</v>
      </c>
      <c r="B56" s="95">
        <v>6.8</v>
      </c>
      <c r="C56" s="60"/>
      <c r="D56" s="96"/>
      <c r="E56" s="124"/>
      <c r="F56" s="95"/>
      <c r="G56" s="57">
        <v>6.31</v>
      </c>
      <c r="H56" s="59"/>
    </row>
    <row r="57" spans="1:8" x14ac:dyDescent="0.3">
      <c r="A57" s="124"/>
      <c r="B57" s="95">
        <v>0.5</v>
      </c>
      <c r="C57" s="60"/>
      <c r="D57" s="96"/>
      <c r="E57" s="124"/>
      <c r="F57" s="95"/>
      <c r="G57" s="65">
        <v>0.5</v>
      </c>
      <c r="H57" s="59"/>
    </row>
    <row r="58" spans="1:8" x14ac:dyDescent="0.3">
      <c r="A58" s="124"/>
      <c r="B58" s="57">
        <v>0.8</v>
      </c>
      <c r="C58" s="57">
        <f>(B56*B57*B58)*11</f>
        <v>29.92</v>
      </c>
      <c r="D58" s="96" t="s">
        <v>264</v>
      </c>
      <c r="E58" s="124"/>
      <c r="F58" s="95"/>
      <c r="G58" s="65">
        <v>5.18</v>
      </c>
      <c r="H58" s="59"/>
    </row>
    <row r="59" spans="1:8" x14ac:dyDescent="0.3">
      <c r="A59" s="124"/>
      <c r="B59" s="95"/>
      <c r="C59" s="60"/>
      <c r="D59" s="96"/>
      <c r="E59" s="124"/>
      <c r="F59" s="95"/>
      <c r="G59" s="65">
        <v>0.5</v>
      </c>
      <c r="H59" s="59"/>
    </row>
    <row r="60" spans="1:8" x14ac:dyDescent="0.3">
      <c r="A60" s="124"/>
      <c r="B60" s="95"/>
      <c r="C60" s="57">
        <v>1.3</v>
      </c>
      <c r="D60" s="96" t="s">
        <v>271</v>
      </c>
      <c r="E60" s="124"/>
      <c r="F60" s="95"/>
      <c r="G60" s="57">
        <v>1.69</v>
      </c>
      <c r="H60" s="59"/>
    </row>
    <row r="61" spans="1:8" x14ac:dyDescent="0.3">
      <c r="A61" s="124"/>
      <c r="B61" s="95"/>
      <c r="C61" s="65">
        <v>0.5</v>
      </c>
      <c r="D61" s="96"/>
      <c r="E61" s="124"/>
      <c r="F61" s="95"/>
      <c r="G61" s="57">
        <v>6.4</v>
      </c>
      <c r="H61" s="59"/>
    </row>
    <row r="62" spans="1:8" ht="15" thickBot="1" x14ac:dyDescent="0.35">
      <c r="A62" s="124"/>
      <c r="B62" s="95"/>
      <c r="C62" s="111">
        <f>C60+C61</f>
        <v>1.8</v>
      </c>
      <c r="D62" s="96" t="s">
        <v>46</v>
      </c>
      <c r="E62" s="124"/>
      <c r="F62" s="95"/>
      <c r="G62" s="57">
        <v>5.5</v>
      </c>
      <c r="H62" s="59"/>
    </row>
    <row r="63" spans="1:8" ht="15" thickTop="1" x14ac:dyDescent="0.3">
      <c r="A63" s="124"/>
      <c r="B63" s="95"/>
      <c r="C63" s="60"/>
      <c r="D63" s="96"/>
      <c r="E63" s="124"/>
      <c r="F63" s="95"/>
      <c r="G63" s="57">
        <v>0.5</v>
      </c>
      <c r="H63" s="59"/>
    </row>
    <row r="64" spans="1:8" x14ac:dyDescent="0.3">
      <c r="A64" s="124" t="s">
        <v>270</v>
      </c>
      <c r="B64" s="95"/>
      <c r="C64" s="57">
        <v>0.44800000000000001</v>
      </c>
      <c r="D64" s="96"/>
      <c r="E64" s="124"/>
      <c r="F64" s="95"/>
      <c r="G64" s="57">
        <v>7.9</v>
      </c>
      <c r="H64" s="59"/>
    </row>
    <row r="65" spans="1:8" x14ac:dyDescent="0.3">
      <c r="A65" s="124"/>
      <c r="B65" s="95"/>
      <c r="C65" s="65">
        <v>0.5</v>
      </c>
      <c r="D65" s="96"/>
      <c r="E65" s="124"/>
      <c r="F65" s="95"/>
      <c r="G65" s="57">
        <v>0.5</v>
      </c>
      <c r="H65" s="59"/>
    </row>
    <row r="66" spans="1:8" ht="15" thickBot="1" x14ac:dyDescent="0.35">
      <c r="A66" s="124"/>
      <c r="B66" s="95"/>
      <c r="C66" s="111">
        <f>(C64+C65)*2</f>
        <v>1.8959999999999999</v>
      </c>
      <c r="D66" s="96" t="s">
        <v>46</v>
      </c>
      <c r="E66" s="124"/>
      <c r="F66" s="95"/>
      <c r="G66" s="57">
        <v>1.03</v>
      </c>
      <c r="H66" s="59"/>
    </row>
    <row r="67" spans="1:8" ht="15" thickTop="1" x14ac:dyDescent="0.3">
      <c r="A67" s="124"/>
      <c r="B67" s="95"/>
      <c r="C67" s="60"/>
      <c r="D67" s="96"/>
      <c r="E67" s="124"/>
      <c r="F67" s="95"/>
      <c r="G67" s="57">
        <v>3.78</v>
      </c>
      <c r="H67" s="59"/>
    </row>
    <row r="68" spans="1:8" ht="15" thickBot="1" x14ac:dyDescent="0.35">
      <c r="A68" s="124" t="s">
        <v>270</v>
      </c>
      <c r="B68" s="95"/>
      <c r="C68" s="57">
        <v>0.80200000000000005</v>
      </c>
      <c r="D68" s="96"/>
      <c r="E68" s="124"/>
      <c r="F68" s="95"/>
      <c r="G68" s="111">
        <f>SUM(G56:G67)</f>
        <v>39.79</v>
      </c>
      <c r="H68" s="59" t="s">
        <v>268</v>
      </c>
    </row>
    <row r="69" spans="1:8" ht="15" thickTop="1" x14ac:dyDescent="0.3">
      <c r="A69" s="124"/>
      <c r="B69" s="95"/>
      <c r="C69" s="65">
        <v>0.5</v>
      </c>
      <c r="D69" s="96"/>
      <c r="E69" s="124"/>
      <c r="F69" s="95"/>
      <c r="G69" s="60"/>
      <c r="H69" s="59"/>
    </row>
    <row r="70" spans="1:8" ht="15" thickBot="1" x14ac:dyDescent="0.35">
      <c r="A70" s="124"/>
      <c r="B70" s="95"/>
      <c r="C70" s="111">
        <f>(C68+C69)*2</f>
        <v>2.6040000000000001</v>
      </c>
      <c r="D70" s="96" t="s">
        <v>46</v>
      </c>
      <c r="E70" s="124"/>
      <c r="F70" s="95">
        <f>G68</f>
        <v>39.79</v>
      </c>
      <c r="G70" s="60"/>
      <c r="H70" s="59"/>
    </row>
    <row r="71" spans="1:8" ht="15" thickTop="1" x14ac:dyDescent="0.3">
      <c r="A71" s="124"/>
      <c r="B71" s="95"/>
      <c r="C71" s="60"/>
      <c r="D71" s="96"/>
      <c r="E71" s="124"/>
      <c r="F71" s="95">
        <v>0.5</v>
      </c>
      <c r="G71" s="60"/>
      <c r="H71" s="59"/>
    </row>
    <row r="72" spans="1:8" x14ac:dyDescent="0.3">
      <c r="A72" s="124"/>
      <c r="B72" s="95"/>
      <c r="C72" s="57">
        <v>0.34100000000000003</v>
      </c>
      <c r="D72" s="96"/>
      <c r="E72" s="124"/>
      <c r="F72" s="57">
        <v>1.25</v>
      </c>
      <c r="G72" s="57">
        <f>F70*F71*F72</f>
        <v>24.868749999999999</v>
      </c>
      <c r="H72" s="59" t="s">
        <v>18</v>
      </c>
    </row>
    <row r="73" spans="1:8" x14ac:dyDescent="0.3">
      <c r="A73" s="124"/>
      <c r="B73" s="95"/>
      <c r="C73" s="65">
        <v>0.5</v>
      </c>
      <c r="D73" s="96"/>
      <c r="E73" s="124"/>
      <c r="F73" s="95"/>
      <c r="G73" s="60"/>
      <c r="H73" s="59"/>
    </row>
    <row r="74" spans="1:8" ht="15" thickBot="1" x14ac:dyDescent="0.35">
      <c r="A74" s="124"/>
      <c r="B74" s="95"/>
      <c r="C74" s="111">
        <f>C72+C73</f>
        <v>0.84099999999999997</v>
      </c>
      <c r="D74" s="96" t="s">
        <v>46</v>
      </c>
      <c r="E74" s="124"/>
      <c r="F74" s="95"/>
      <c r="G74" s="111">
        <f>G20+G38+C58+C84+G53+G72</f>
        <v>130.21875</v>
      </c>
      <c r="H74" s="125" t="s">
        <v>274</v>
      </c>
    </row>
    <row r="75" spans="1:8" ht="15" thickTop="1" x14ac:dyDescent="0.3">
      <c r="A75" s="124"/>
      <c r="B75" s="95"/>
      <c r="C75" s="60"/>
      <c r="D75" s="96"/>
      <c r="E75" s="124"/>
      <c r="F75" s="95"/>
      <c r="G75" s="60"/>
      <c r="H75" s="59"/>
    </row>
    <row r="76" spans="1:8" x14ac:dyDescent="0.3">
      <c r="A76" s="124"/>
      <c r="B76" s="95"/>
      <c r="C76" s="57">
        <f>C62</f>
        <v>1.8</v>
      </c>
      <c r="D76" s="96"/>
      <c r="E76" s="124"/>
      <c r="F76" s="95"/>
      <c r="G76" s="60"/>
      <c r="H76" s="59"/>
    </row>
    <row r="77" spans="1:8" x14ac:dyDescent="0.3">
      <c r="A77" s="124"/>
      <c r="B77" s="95"/>
      <c r="C77" s="65">
        <f>C66</f>
        <v>1.8959999999999999</v>
      </c>
      <c r="D77" s="96"/>
      <c r="E77" s="124"/>
      <c r="F77" s="95"/>
      <c r="G77" s="61"/>
      <c r="H77" s="146" t="s">
        <v>275</v>
      </c>
    </row>
    <row r="78" spans="1:8" x14ac:dyDescent="0.3">
      <c r="A78" s="124"/>
      <c r="B78" s="95"/>
      <c r="C78" s="65">
        <f>C70</f>
        <v>2.6040000000000001</v>
      </c>
      <c r="D78" s="96"/>
      <c r="E78" s="124"/>
      <c r="F78" s="95"/>
      <c r="G78" s="60"/>
      <c r="H78" s="59" t="s">
        <v>254</v>
      </c>
    </row>
    <row r="79" spans="1:8" x14ac:dyDescent="0.3">
      <c r="A79" s="124"/>
      <c r="B79" s="95"/>
      <c r="C79" s="65">
        <f>C74</f>
        <v>0.84099999999999997</v>
      </c>
      <c r="D79" s="96"/>
      <c r="E79" s="124"/>
      <c r="F79" s="95"/>
      <c r="G79" s="60"/>
      <c r="H79" s="59" t="s">
        <v>276</v>
      </c>
    </row>
    <row r="80" spans="1:8" ht="15" thickBot="1" x14ac:dyDescent="0.35">
      <c r="A80" s="124"/>
      <c r="B80" s="95"/>
      <c r="C80" s="112">
        <f>C76+C77+C78+C79</f>
        <v>7.141</v>
      </c>
      <c r="D80" s="96" t="s">
        <v>268</v>
      </c>
      <c r="E80" s="124" t="s">
        <v>242</v>
      </c>
      <c r="F80" s="95">
        <f>0.75+1</f>
        <v>1.75</v>
      </c>
      <c r="G80" s="60"/>
      <c r="H80" s="59"/>
    </row>
    <row r="81" spans="1:8" ht="15" thickTop="1" x14ac:dyDescent="0.3">
      <c r="A81" s="124"/>
      <c r="B81" s="95"/>
      <c r="C81" s="60"/>
      <c r="D81" s="96"/>
      <c r="E81" s="124"/>
      <c r="F81" s="57">
        <f>0.75+1</f>
        <v>1.75</v>
      </c>
      <c r="G81" s="57">
        <f>(F80*F81)*4</f>
        <v>12.25</v>
      </c>
      <c r="H81" s="59" t="s">
        <v>21</v>
      </c>
    </row>
    <row r="82" spans="1:8" x14ac:dyDescent="0.3">
      <c r="A82" s="124" t="s">
        <v>253</v>
      </c>
      <c r="B82" s="95">
        <v>7.14</v>
      </c>
      <c r="C82" s="60"/>
      <c r="D82" s="96"/>
      <c r="E82" s="124"/>
      <c r="F82" s="95"/>
      <c r="G82" s="60"/>
      <c r="H82" s="59"/>
    </row>
    <row r="83" spans="1:8" x14ac:dyDescent="0.3">
      <c r="A83" s="124"/>
      <c r="B83" s="95">
        <v>0.5</v>
      </c>
      <c r="C83" s="60"/>
      <c r="D83" s="96"/>
      <c r="E83" s="124"/>
      <c r="F83" s="95"/>
      <c r="G83" s="60"/>
      <c r="H83" s="53" t="s">
        <v>246</v>
      </c>
    </row>
    <row r="84" spans="1:8" x14ac:dyDescent="0.3">
      <c r="A84" s="124"/>
      <c r="B84" s="57">
        <v>0.8</v>
      </c>
      <c r="C84" s="57">
        <f>(B82*B83*B84)*10</f>
        <v>28.56</v>
      </c>
      <c r="D84" s="96" t="s">
        <v>264</v>
      </c>
      <c r="E84" s="124" t="s">
        <v>249</v>
      </c>
      <c r="F84" s="95">
        <f>1.3+1</f>
        <v>2.2999999999999998</v>
      </c>
      <c r="G84" s="60"/>
      <c r="H84" s="59"/>
    </row>
    <row r="85" spans="1:8" x14ac:dyDescent="0.3">
      <c r="A85" s="124"/>
      <c r="B85" s="95"/>
      <c r="C85" s="60"/>
      <c r="D85" s="96"/>
      <c r="E85" s="124"/>
      <c r="F85" s="57">
        <f>0.75+1</f>
        <v>1.75</v>
      </c>
      <c r="G85" s="57">
        <f>(F84*F85)*8</f>
        <v>32.199999999999996</v>
      </c>
      <c r="H85" s="59" t="s">
        <v>21</v>
      </c>
    </row>
    <row r="86" spans="1:8" x14ac:dyDescent="0.3">
      <c r="A86" s="124"/>
      <c r="B86" s="95"/>
      <c r="C86" s="60"/>
      <c r="D86" s="96" t="s">
        <v>259</v>
      </c>
      <c r="E86" s="124"/>
      <c r="F86" s="95"/>
      <c r="G86" s="60"/>
      <c r="H86" s="59"/>
    </row>
    <row r="87" spans="1:8" x14ac:dyDescent="0.3">
      <c r="A87" s="124"/>
      <c r="B87" s="95"/>
      <c r="C87" s="60"/>
      <c r="D87" s="53" t="s">
        <v>260</v>
      </c>
      <c r="E87" s="124"/>
      <c r="F87" s="95"/>
      <c r="G87" s="60"/>
      <c r="H87" s="59" t="s">
        <v>250</v>
      </c>
    </row>
    <row r="88" spans="1:8" x14ac:dyDescent="0.3">
      <c r="A88" s="124" t="s">
        <v>270</v>
      </c>
      <c r="B88" s="95"/>
      <c r="C88" s="57">
        <v>7.9</v>
      </c>
      <c r="D88" s="96"/>
      <c r="E88" s="124" t="s">
        <v>252</v>
      </c>
      <c r="F88" s="95">
        <f>1.3+1</f>
        <v>2.2999999999999998</v>
      </c>
      <c r="G88" s="60"/>
      <c r="H88" s="59"/>
    </row>
    <row r="89" spans="1:8" x14ac:dyDescent="0.3">
      <c r="A89" s="124"/>
      <c r="B89" s="95"/>
      <c r="C89" s="65">
        <v>0.5</v>
      </c>
      <c r="D89" s="96"/>
      <c r="E89" s="124"/>
      <c r="F89" s="57">
        <f>1.1+1</f>
        <v>2.1</v>
      </c>
      <c r="G89" s="57">
        <f>(F88*F89)*11</f>
        <v>53.13</v>
      </c>
      <c r="H89" s="59" t="s">
        <v>21</v>
      </c>
    </row>
    <row r="90" spans="1:8" ht="15" thickBot="1" x14ac:dyDescent="0.35">
      <c r="A90" s="124"/>
      <c r="B90" s="95"/>
      <c r="C90" s="111">
        <f>(C88+C89)*2</f>
        <v>16.8</v>
      </c>
      <c r="D90" s="96" t="s">
        <v>46</v>
      </c>
      <c r="E90" s="124"/>
      <c r="F90" s="95"/>
      <c r="G90" s="60"/>
      <c r="H90" s="59"/>
    </row>
    <row r="91" spans="1:8" ht="15" thickTop="1" x14ac:dyDescent="0.3">
      <c r="A91" s="124"/>
      <c r="B91" s="95"/>
      <c r="C91" s="60"/>
      <c r="D91" s="96"/>
      <c r="E91" s="124"/>
      <c r="F91" s="95"/>
      <c r="G91" s="60"/>
      <c r="H91" s="59" t="s">
        <v>271</v>
      </c>
    </row>
    <row r="92" spans="1:8" x14ac:dyDescent="0.3">
      <c r="A92" s="124" t="s">
        <v>270</v>
      </c>
      <c r="B92" s="95"/>
      <c r="C92" s="57">
        <v>6.58</v>
      </c>
      <c r="D92" s="96"/>
      <c r="E92" s="124"/>
      <c r="F92" s="95">
        <v>7.141</v>
      </c>
      <c r="G92" s="60"/>
      <c r="H92" s="59"/>
    </row>
    <row r="93" spans="1:8" x14ac:dyDescent="0.3">
      <c r="A93" s="124"/>
      <c r="B93" s="95"/>
      <c r="C93" s="65">
        <v>0.5</v>
      </c>
      <c r="D93" s="96"/>
      <c r="E93" s="124"/>
      <c r="F93" s="57">
        <v>0.5</v>
      </c>
      <c r="G93" s="57">
        <f>F92*F93</f>
        <v>3.5705</v>
      </c>
      <c r="H93" s="59" t="s">
        <v>277</v>
      </c>
    </row>
    <row r="94" spans="1:8" ht="15" thickBot="1" x14ac:dyDescent="0.35">
      <c r="A94" s="124"/>
      <c r="B94" s="95"/>
      <c r="C94" s="111">
        <f>(C92+C93)*2</f>
        <v>14.16</v>
      </c>
      <c r="D94" s="96" t="s">
        <v>273</v>
      </c>
      <c r="E94" s="124"/>
      <c r="F94" s="95"/>
      <c r="G94" s="60"/>
      <c r="H94" s="59"/>
    </row>
    <row r="95" spans="1:8" ht="15" thickTop="1" x14ac:dyDescent="0.3">
      <c r="A95" s="124"/>
      <c r="B95" s="95"/>
      <c r="C95" s="60"/>
      <c r="D95" s="96"/>
      <c r="E95" s="124"/>
      <c r="F95" s="95"/>
      <c r="G95" s="57">
        <f>G93</f>
        <v>3.5705</v>
      </c>
    </row>
    <row r="96" spans="1:8" x14ac:dyDescent="0.3">
      <c r="A96" s="124"/>
      <c r="B96" s="95"/>
      <c r="C96" s="57">
        <f>C90</f>
        <v>16.8</v>
      </c>
      <c r="D96" s="96"/>
      <c r="E96" s="124"/>
      <c r="F96" s="95"/>
      <c r="G96" s="65">
        <v>1.24</v>
      </c>
      <c r="H96" s="59"/>
    </row>
    <row r="97" spans="1:8" ht="15" thickBot="1" x14ac:dyDescent="0.35">
      <c r="A97" s="124"/>
      <c r="B97" s="95"/>
      <c r="C97" s="65">
        <f>C94</f>
        <v>14.16</v>
      </c>
      <c r="D97" s="96"/>
      <c r="E97" s="124"/>
      <c r="F97" s="95"/>
      <c r="G97" s="111">
        <f>G95+G96</f>
        <v>4.8105000000000002</v>
      </c>
      <c r="H97" s="53" t="s">
        <v>278</v>
      </c>
    </row>
    <row r="98" spans="1:8" ht="15.6" thickTop="1" thickBot="1" x14ac:dyDescent="0.35">
      <c r="A98" s="124"/>
      <c r="B98" s="95"/>
      <c r="C98" s="111">
        <f>C96+C97</f>
        <v>30.96</v>
      </c>
      <c r="D98" s="96" t="s">
        <v>268</v>
      </c>
      <c r="E98" s="124"/>
      <c r="F98" s="95"/>
      <c r="G98" s="60"/>
    </row>
    <row r="99" spans="1:8" ht="15" thickTop="1" x14ac:dyDescent="0.3">
      <c r="A99" s="124"/>
      <c r="B99" s="95"/>
      <c r="C99" s="126"/>
      <c r="D99" s="96"/>
      <c r="E99" s="124"/>
      <c r="F99" s="95"/>
      <c r="G99" s="60"/>
    </row>
    <row r="100" spans="1:8" ht="15" thickBot="1" x14ac:dyDescent="0.35">
      <c r="A100" s="124" t="s">
        <v>253</v>
      </c>
      <c r="B100" s="57">
        <v>4.8109999999999999</v>
      </c>
      <c r="C100" s="111">
        <f>B100*10</f>
        <v>48.11</v>
      </c>
      <c r="D100" s="96" t="s">
        <v>269</v>
      </c>
      <c r="E100" s="124"/>
      <c r="F100" s="95"/>
      <c r="G100" s="60"/>
      <c r="H100" s="59" t="s">
        <v>271</v>
      </c>
    </row>
    <row r="101" spans="1:8" ht="15" thickTop="1" x14ac:dyDescent="0.3">
      <c r="A101" s="124"/>
      <c r="B101" s="95"/>
      <c r="C101" s="126"/>
      <c r="D101" s="96"/>
      <c r="E101" s="124"/>
      <c r="F101" s="57">
        <v>1.3</v>
      </c>
      <c r="G101" s="60"/>
      <c r="H101" s="59"/>
    </row>
    <row r="102" spans="1:8" x14ac:dyDescent="0.3">
      <c r="A102" s="124"/>
      <c r="B102" s="95"/>
      <c r="C102" s="60"/>
      <c r="D102" s="96"/>
      <c r="E102" s="124">
        <v>0</v>
      </c>
      <c r="F102" s="65">
        <v>0.8</v>
      </c>
      <c r="G102" s="57">
        <f>F101*F102</f>
        <v>1.04</v>
      </c>
      <c r="H102" s="59" t="s">
        <v>21</v>
      </c>
    </row>
    <row r="103" spans="1:8" x14ac:dyDescent="0.3">
      <c r="A103" s="124"/>
      <c r="B103" s="95"/>
      <c r="C103" s="60"/>
      <c r="D103" s="53" t="s">
        <v>259</v>
      </c>
      <c r="E103" s="124"/>
      <c r="F103" s="95"/>
      <c r="G103" s="60"/>
      <c r="H103" s="59"/>
    </row>
    <row r="104" spans="1:8" x14ac:dyDescent="0.3">
      <c r="A104" s="124"/>
      <c r="B104" s="95">
        <f>7.9+1</f>
        <v>8.9</v>
      </c>
      <c r="C104" s="60"/>
      <c r="D104" s="96"/>
      <c r="E104" s="124" t="s">
        <v>270</v>
      </c>
      <c r="F104" s="57">
        <v>0.44800000000000001</v>
      </c>
      <c r="G104" s="60"/>
      <c r="H104" s="59"/>
    </row>
    <row r="105" spans="1:8" x14ac:dyDescent="0.3">
      <c r="A105" s="124"/>
      <c r="B105" s="57">
        <f>6.58+1</f>
        <v>7.58</v>
      </c>
      <c r="C105" s="57">
        <f>B104*B105</f>
        <v>67.462000000000003</v>
      </c>
      <c r="D105" s="96" t="s">
        <v>21</v>
      </c>
      <c r="E105" s="124"/>
      <c r="F105" s="65">
        <v>0.8</v>
      </c>
      <c r="G105" s="57">
        <f>(F104*F105)*2</f>
        <v>0.7168000000000001</v>
      </c>
      <c r="H105" s="59" t="s">
        <v>21</v>
      </c>
    </row>
    <row r="106" spans="1:8" x14ac:dyDescent="0.3">
      <c r="A106" s="124"/>
      <c r="B106" s="95"/>
      <c r="C106" s="60"/>
      <c r="D106" s="96"/>
      <c r="E106" s="124"/>
      <c r="F106" s="95"/>
      <c r="G106" s="60"/>
      <c r="H106" s="59"/>
    </row>
    <row r="107" spans="1:8" x14ac:dyDescent="0.3">
      <c r="A107" s="124"/>
      <c r="B107" s="95"/>
      <c r="C107" s="60"/>
      <c r="D107" s="115" t="s">
        <v>261</v>
      </c>
      <c r="E107" s="124" t="s">
        <v>270</v>
      </c>
      <c r="F107" s="57">
        <v>0.80200000000000005</v>
      </c>
      <c r="G107" s="60"/>
      <c r="H107" s="59"/>
    </row>
    <row r="108" spans="1:8" x14ac:dyDescent="0.3">
      <c r="A108" s="124"/>
      <c r="B108" s="95"/>
      <c r="C108" s="57">
        <v>69.56</v>
      </c>
      <c r="D108" s="96"/>
      <c r="E108" s="124"/>
      <c r="F108" s="65">
        <v>0.8</v>
      </c>
      <c r="G108" s="57">
        <f>(F107*F108)*2</f>
        <v>1.2832000000000001</v>
      </c>
      <c r="H108" s="59" t="s">
        <v>21</v>
      </c>
    </row>
    <row r="109" spans="1:8" x14ac:dyDescent="0.3">
      <c r="A109" s="124"/>
      <c r="B109" s="95"/>
      <c r="C109" s="65">
        <f>39.79*0.5</f>
        <v>19.895</v>
      </c>
      <c r="D109" s="96"/>
      <c r="E109" s="124"/>
      <c r="F109" s="95"/>
      <c r="G109" s="60"/>
      <c r="H109" s="59"/>
    </row>
    <row r="110" spans="1:8" x14ac:dyDescent="0.3">
      <c r="A110" s="124"/>
      <c r="B110" s="95"/>
      <c r="C110" s="60">
        <f>C108+C109</f>
        <v>89.454999999999998</v>
      </c>
      <c r="D110" s="96" t="s">
        <v>21</v>
      </c>
      <c r="E110" s="124"/>
      <c r="F110" s="57">
        <v>0.34100000000000003</v>
      </c>
      <c r="G110" s="60"/>
      <c r="H110" s="59"/>
    </row>
    <row r="111" spans="1:8" x14ac:dyDescent="0.3">
      <c r="A111" s="124"/>
      <c r="B111" s="95"/>
      <c r="C111" s="60"/>
      <c r="D111" s="96"/>
      <c r="E111" s="124"/>
      <c r="F111" s="65">
        <v>0.8</v>
      </c>
      <c r="G111" s="57">
        <f>F110*F111</f>
        <v>0.27280000000000004</v>
      </c>
      <c r="H111" s="59" t="s">
        <v>21</v>
      </c>
    </row>
    <row r="112" spans="1:8" ht="15" thickBot="1" x14ac:dyDescent="0.35">
      <c r="A112" s="124"/>
      <c r="B112" s="95"/>
      <c r="C112" s="111">
        <f>G81+G85+G89+C100+C105+C110</f>
        <v>302.60699999999997</v>
      </c>
      <c r="D112" s="98" t="s">
        <v>279</v>
      </c>
      <c r="E112" s="124"/>
      <c r="F112" s="95"/>
      <c r="G112" s="60"/>
      <c r="H112" s="59"/>
    </row>
    <row r="113" spans="1:8" ht="15.6" thickTop="1" thickBot="1" x14ac:dyDescent="0.35">
      <c r="A113" s="124"/>
      <c r="B113" s="95"/>
      <c r="C113" s="60"/>
      <c r="D113" s="96"/>
      <c r="E113" s="124"/>
      <c r="F113" s="95"/>
      <c r="G113" s="111">
        <f>G102+G105+G108+G111</f>
        <v>3.3128000000000002</v>
      </c>
      <c r="H113" s="59" t="s">
        <v>291</v>
      </c>
    </row>
    <row r="114" spans="1:8" ht="15" thickTop="1" x14ac:dyDescent="0.3">
      <c r="A114" s="124"/>
      <c r="B114" s="95"/>
      <c r="C114" s="60"/>
      <c r="D114" s="147" t="s">
        <v>285</v>
      </c>
      <c r="E114" s="124"/>
      <c r="F114" s="95"/>
      <c r="G114" s="60"/>
      <c r="H114" s="59"/>
    </row>
    <row r="115" spans="1:8" ht="15" thickBot="1" x14ac:dyDescent="0.35">
      <c r="A115" s="124"/>
      <c r="B115" s="95"/>
      <c r="C115" s="60"/>
      <c r="D115" s="96" t="s">
        <v>286</v>
      </c>
      <c r="E115" s="124" t="s">
        <v>253</v>
      </c>
      <c r="F115" s="57">
        <f>G113</f>
        <v>3.3128000000000002</v>
      </c>
      <c r="G115" s="111">
        <f>F115*10</f>
        <v>33.128</v>
      </c>
      <c r="H115" s="59" t="s">
        <v>269</v>
      </c>
    </row>
    <row r="116" spans="1:8" ht="15" thickTop="1" x14ac:dyDescent="0.3">
      <c r="A116" s="124"/>
      <c r="B116" s="95"/>
      <c r="C116" s="60"/>
      <c r="D116" s="96" t="s">
        <v>241</v>
      </c>
      <c r="E116" s="124"/>
      <c r="F116" s="95"/>
      <c r="G116" s="60"/>
      <c r="H116" s="59"/>
    </row>
    <row r="117" spans="1:8" x14ac:dyDescent="0.3">
      <c r="A117" s="124" t="s">
        <v>242</v>
      </c>
      <c r="B117" s="95">
        <v>0.75</v>
      </c>
      <c r="C117" s="60"/>
      <c r="D117" s="96"/>
      <c r="E117" s="124"/>
      <c r="F117" s="95"/>
      <c r="G117" s="60"/>
      <c r="H117" s="59" t="s">
        <v>259</v>
      </c>
    </row>
    <row r="118" spans="1:8" x14ac:dyDescent="0.3">
      <c r="A118" s="124"/>
      <c r="B118" s="57">
        <v>0.8</v>
      </c>
      <c r="C118" s="57">
        <f>(B117*B118)*4</f>
        <v>2.4000000000000004</v>
      </c>
      <c r="D118" s="96" t="s">
        <v>287</v>
      </c>
      <c r="E118" s="114" t="s">
        <v>270</v>
      </c>
      <c r="F118" s="57">
        <v>7.9</v>
      </c>
      <c r="G118" s="59"/>
      <c r="H118" s="59"/>
    </row>
    <row r="119" spans="1:8" x14ac:dyDescent="0.3">
      <c r="A119" s="124"/>
      <c r="B119" s="95"/>
      <c r="C119" s="60"/>
      <c r="D119" s="96"/>
      <c r="E119" s="124"/>
      <c r="F119" s="57">
        <v>1.25</v>
      </c>
      <c r="G119" s="57">
        <f>(F118*F119)*2</f>
        <v>19.75</v>
      </c>
      <c r="H119" s="59" t="s">
        <v>21</v>
      </c>
    </row>
    <row r="120" spans="1:8" ht="15" thickBot="1" x14ac:dyDescent="0.35">
      <c r="A120" s="124" t="s">
        <v>242</v>
      </c>
      <c r="B120" s="57">
        <v>2.4</v>
      </c>
      <c r="C120" s="112">
        <f>B120*4</f>
        <v>9.6</v>
      </c>
      <c r="D120" s="96" t="s">
        <v>269</v>
      </c>
      <c r="E120" s="124"/>
      <c r="F120" s="95"/>
      <c r="G120" s="60"/>
      <c r="H120" s="59"/>
    </row>
    <row r="121" spans="1:8" ht="15" thickTop="1" x14ac:dyDescent="0.3">
      <c r="A121" s="124"/>
      <c r="B121" s="95"/>
      <c r="C121" s="60"/>
      <c r="D121" s="96"/>
      <c r="E121" s="124" t="s">
        <v>270</v>
      </c>
      <c r="F121" s="57">
        <v>6.58</v>
      </c>
      <c r="G121" s="60"/>
      <c r="H121" s="59"/>
    </row>
    <row r="122" spans="1:8" x14ac:dyDescent="0.3">
      <c r="A122" s="124"/>
      <c r="B122" s="95"/>
      <c r="C122" s="60"/>
      <c r="D122" s="96" t="s">
        <v>288</v>
      </c>
      <c r="E122" s="124"/>
      <c r="F122" s="57">
        <v>1.25</v>
      </c>
      <c r="G122" s="57">
        <f>(F121*F122)*2</f>
        <v>16.45</v>
      </c>
      <c r="H122" s="59" t="s">
        <v>269</v>
      </c>
    </row>
    <row r="123" spans="1:8" x14ac:dyDescent="0.3">
      <c r="A123" s="124" t="s">
        <v>270</v>
      </c>
      <c r="B123" s="95">
        <v>1.3</v>
      </c>
      <c r="C123" s="60"/>
      <c r="D123" s="96"/>
      <c r="E123" s="124"/>
      <c r="F123" s="95"/>
      <c r="G123" s="60"/>
      <c r="H123" s="59"/>
    </row>
    <row r="124" spans="1:8" x14ac:dyDescent="0.3">
      <c r="A124" s="124"/>
      <c r="B124" s="57">
        <v>0.8</v>
      </c>
      <c r="C124" s="57">
        <f>(B123*B124)*2</f>
        <v>2.08</v>
      </c>
      <c r="D124" s="96" t="s">
        <v>21</v>
      </c>
      <c r="E124" s="124"/>
      <c r="F124" s="95"/>
      <c r="G124" s="57">
        <f>G119</f>
        <v>19.75</v>
      </c>
      <c r="H124" s="59"/>
    </row>
    <row r="125" spans="1:8" x14ac:dyDescent="0.3">
      <c r="A125" s="124"/>
      <c r="B125" s="95"/>
      <c r="C125" s="60"/>
      <c r="D125" s="96"/>
      <c r="E125" s="124"/>
      <c r="F125" s="95"/>
      <c r="G125" s="65">
        <f>G122</f>
        <v>16.45</v>
      </c>
      <c r="H125" s="59"/>
    </row>
    <row r="126" spans="1:8" ht="15" thickBot="1" x14ac:dyDescent="0.35">
      <c r="A126" s="124" t="s">
        <v>270</v>
      </c>
      <c r="B126" s="95">
        <v>0.75</v>
      </c>
      <c r="C126" s="60"/>
      <c r="D126" s="96"/>
      <c r="E126" s="124"/>
      <c r="F126" s="95"/>
      <c r="G126" s="111">
        <f>G124+G125</f>
        <v>36.200000000000003</v>
      </c>
      <c r="H126" s="59" t="s">
        <v>269</v>
      </c>
    </row>
    <row r="127" spans="1:8" ht="15" thickTop="1" x14ac:dyDescent="0.3">
      <c r="A127" s="124"/>
      <c r="B127" s="57">
        <v>0.8</v>
      </c>
      <c r="C127" s="57">
        <f>(B126*B127)*2</f>
        <v>1.2000000000000002</v>
      </c>
      <c r="D127" s="96" t="s">
        <v>21</v>
      </c>
      <c r="E127" s="124"/>
      <c r="F127" s="95"/>
      <c r="G127" s="60"/>
      <c r="H127" s="59"/>
    </row>
    <row r="128" spans="1:8" x14ac:dyDescent="0.3">
      <c r="A128" s="124"/>
      <c r="B128" s="95"/>
      <c r="C128" s="60"/>
      <c r="D128" s="96"/>
      <c r="E128" s="124"/>
      <c r="F128" s="95"/>
      <c r="G128" s="60"/>
      <c r="H128" s="59" t="s">
        <v>261</v>
      </c>
    </row>
    <row r="129" spans="1:8" x14ac:dyDescent="0.3">
      <c r="A129" s="124"/>
      <c r="B129" s="95"/>
      <c r="C129" s="60">
        <f>C124</f>
        <v>2.08</v>
      </c>
      <c r="D129" s="96"/>
      <c r="E129" s="124"/>
      <c r="F129" s="57">
        <v>6.31</v>
      </c>
      <c r="G129" s="60"/>
      <c r="H129" s="59"/>
    </row>
    <row r="130" spans="1:8" x14ac:dyDescent="0.3">
      <c r="A130" s="124"/>
      <c r="B130" s="95"/>
      <c r="C130" s="60">
        <f>C127</f>
        <v>1.2000000000000002</v>
      </c>
      <c r="D130" s="96"/>
      <c r="E130" s="124"/>
      <c r="F130" s="65">
        <v>1.25</v>
      </c>
      <c r="G130" s="57">
        <f>F129*F130</f>
        <v>7.8874999999999993</v>
      </c>
      <c r="H130" s="59" t="s">
        <v>21</v>
      </c>
    </row>
    <row r="131" spans="1:8" x14ac:dyDescent="0.3">
      <c r="A131" s="124"/>
      <c r="B131" s="95"/>
      <c r="C131" s="65">
        <f>C129+C130</f>
        <v>3.2800000000000002</v>
      </c>
      <c r="D131" s="96" t="s">
        <v>289</v>
      </c>
      <c r="E131" s="124"/>
      <c r="F131" s="95"/>
      <c r="G131" s="60"/>
      <c r="H131" s="59"/>
    </row>
    <row r="132" spans="1:8" x14ac:dyDescent="0.3">
      <c r="A132" s="124"/>
      <c r="B132" s="95"/>
      <c r="C132" s="60"/>
      <c r="D132" s="96"/>
      <c r="E132" s="124"/>
      <c r="F132" s="57">
        <v>5.18</v>
      </c>
      <c r="G132" s="60"/>
      <c r="H132" s="59"/>
    </row>
    <row r="133" spans="1:8" ht="15" thickBot="1" x14ac:dyDescent="0.35">
      <c r="A133" s="124" t="s">
        <v>249</v>
      </c>
      <c r="B133" s="95">
        <v>3.28</v>
      </c>
      <c r="C133" s="112">
        <f>B133*8</f>
        <v>26.24</v>
      </c>
      <c r="D133" s="96" t="s">
        <v>21</v>
      </c>
      <c r="E133" s="124"/>
      <c r="F133" s="65">
        <v>1.25</v>
      </c>
      <c r="G133" s="57">
        <f>F132*F133</f>
        <v>6.4749999999999996</v>
      </c>
      <c r="H133" s="59" t="s">
        <v>21</v>
      </c>
    </row>
    <row r="134" spans="1:8" ht="15" thickTop="1" x14ac:dyDescent="0.3">
      <c r="A134" s="124"/>
      <c r="B134" s="95"/>
      <c r="C134" s="60"/>
      <c r="D134" s="96"/>
      <c r="E134" s="124"/>
      <c r="F134" s="95"/>
      <c r="G134" s="60"/>
      <c r="H134" s="59"/>
    </row>
    <row r="135" spans="1:8" x14ac:dyDescent="0.3">
      <c r="A135" s="124"/>
      <c r="B135" s="95"/>
      <c r="C135" s="60"/>
      <c r="D135" s="96" t="s">
        <v>250</v>
      </c>
      <c r="E135" s="124"/>
      <c r="F135" s="57">
        <v>1.69</v>
      </c>
      <c r="G135" s="60"/>
      <c r="H135" s="59"/>
    </row>
    <row r="136" spans="1:8" x14ac:dyDescent="0.3">
      <c r="A136" s="124" t="s">
        <v>270</v>
      </c>
      <c r="B136" s="95">
        <v>1.3</v>
      </c>
      <c r="C136" s="60"/>
      <c r="D136" s="96"/>
      <c r="E136" s="124"/>
      <c r="F136" s="57">
        <v>1.25</v>
      </c>
      <c r="G136" s="57">
        <f>F135*F136</f>
        <v>2.1124999999999998</v>
      </c>
      <c r="H136" s="59" t="s">
        <v>21</v>
      </c>
    </row>
    <row r="137" spans="1:8" x14ac:dyDescent="0.3">
      <c r="A137" s="124"/>
      <c r="B137" s="57">
        <v>0.8</v>
      </c>
      <c r="C137" s="57">
        <f>(B136*B137)*2</f>
        <v>2.08</v>
      </c>
      <c r="D137" s="96" t="s">
        <v>21</v>
      </c>
      <c r="E137" s="124"/>
      <c r="F137" s="95"/>
      <c r="G137" s="60"/>
      <c r="H137" s="59"/>
    </row>
    <row r="138" spans="1:8" x14ac:dyDescent="0.3">
      <c r="A138" s="124"/>
      <c r="B138" s="95"/>
      <c r="C138" s="60"/>
      <c r="D138" s="96"/>
      <c r="E138" s="124"/>
      <c r="F138" s="57">
        <v>6.4</v>
      </c>
      <c r="G138" s="60"/>
      <c r="H138" s="59"/>
    </row>
    <row r="139" spans="1:8" x14ac:dyDescent="0.3">
      <c r="A139" s="124" t="s">
        <v>270</v>
      </c>
      <c r="B139" s="95">
        <v>1.1000000000000001</v>
      </c>
      <c r="C139" s="60"/>
      <c r="D139" s="96"/>
      <c r="E139" s="124"/>
      <c r="F139" s="65">
        <v>1.25</v>
      </c>
      <c r="G139" s="57">
        <f>F138*F139</f>
        <v>8</v>
      </c>
      <c r="H139" s="59" t="s">
        <v>21</v>
      </c>
    </row>
    <row r="140" spans="1:8" x14ac:dyDescent="0.3">
      <c r="A140" s="124"/>
      <c r="B140" s="57">
        <v>0.8</v>
      </c>
      <c r="C140" s="57">
        <f>(B139*B140)*2</f>
        <v>1.7600000000000002</v>
      </c>
      <c r="D140" s="96" t="s">
        <v>21</v>
      </c>
      <c r="E140" s="124"/>
      <c r="F140" s="95"/>
      <c r="G140" s="60"/>
      <c r="H140" s="59"/>
    </row>
    <row r="141" spans="1:8" x14ac:dyDescent="0.3">
      <c r="A141" s="124"/>
      <c r="B141" s="95"/>
      <c r="C141" s="60"/>
      <c r="D141" s="96"/>
      <c r="E141" s="124"/>
      <c r="F141" s="57">
        <v>5.5</v>
      </c>
      <c r="G141" s="60"/>
      <c r="H141" s="59"/>
    </row>
    <row r="142" spans="1:8" x14ac:dyDescent="0.3">
      <c r="A142" s="124"/>
      <c r="B142" s="95"/>
      <c r="C142" s="57">
        <f>C137</f>
        <v>2.08</v>
      </c>
      <c r="D142" s="96"/>
      <c r="E142" s="124"/>
      <c r="F142" s="57">
        <v>1.25</v>
      </c>
      <c r="G142" s="57">
        <f>F141*F142</f>
        <v>6.875</v>
      </c>
      <c r="H142" s="59" t="s">
        <v>21</v>
      </c>
    </row>
    <row r="143" spans="1:8" x14ac:dyDescent="0.3">
      <c r="A143" s="124"/>
      <c r="B143" s="95"/>
      <c r="C143" s="65">
        <f>C140</f>
        <v>1.7600000000000002</v>
      </c>
      <c r="D143" s="96"/>
      <c r="E143" s="124"/>
      <c r="F143" s="95"/>
      <c r="G143" s="60"/>
      <c r="H143" s="59"/>
    </row>
    <row r="144" spans="1:8" ht="15" thickBot="1" x14ac:dyDescent="0.35">
      <c r="A144" s="124"/>
      <c r="B144" s="95"/>
      <c r="C144" s="111">
        <f>C142+C143</f>
        <v>3.8400000000000003</v>
      </c>
      <c r="D144" s="96" t="s">
        <v>290</v>
      </c>
      <c r="E144" s="124"/>
      <c r="F144" s="57">
        <v>7.9</v>
      </c>
      <c r="G144" s="60"/>
      <c r="H144" s="59"/>
    </row>
    <row r="145" spans="1:8" ht="15" thickTop="1" x14ac:dyDescent="0.3">
      <c r="A145" s="124"/>
      <c r="B145" s="95"/>
      <c r="C145" s="60"/>
      <c r="D145" s="96"/>
      <c r="E145" s="124"/>
      <c r="F145" s="65">
        <v>1.25</v>
      </c>
      <c r="G145" s="57">
        <f>F144*F145</f>
        <v>9.875</v>
      </c>
      <c r="H145" s="59" t="s">
        <v>21</v>
      </c>
    </row>
    <row r="146" spans="1:8" x14ac:dyDescent="0.3">
      <c r="A146" s="124"/>
      <c r="B146" s="95"/>
      <c r="C146" s="60"/>
      <c r="D146" s="96"/>
      <c r="E146" s="124"/>
      <c r="F146" s="95"/>
      <c r="G146" s="60"/>
      <c r="H146" s="59"/>
    </row>
    <row r="147" spans="1:8" ht="15" thickBot="1" x14ac:dyDescent="0.35">
      <c r="A147" s="124" t="s">
        <v>252</v>
      </c>
      <c r="B147" s="57">
        <f>C144</f>
        <v>3.8400000000000003</v>
      </c>
      <c r="C147" s="112">
        <f>B147*11</f>
        <v>42.24</v>
      </c>
      <c r="D147" s="96" t="s">
        <v>269</v>
      </c>
      <c r="E147" s="124"/>
      <c r="F147" s="95"/>
      <c r="G147" s="60"/>
      <c r="H147" s="59"/>
    </row>
    <row r="148" spans="1:8" ht="15" thickTop="1" x14ac:dyDescent="0.3">
      <c r="A148" s="124"/>
      <c r="B148" s="95"/>
      <c r="C148" s="126"/>
      <c r="D148" s="96"/>
      <c r="E148" s="124"/>
      <c r="F148" s="95"/>
      <c r="G148" s="60"/>
      <c r="H148" s="59"/>
    </row>
    <row r="149" spans="1:8" x14ac:dyDescent="0.3">
      <c r="A149" s="124"/>
      <c r="B149" s="57">
        <v>1.03</v>
      </c>
      <c r="C149" s="60"/>
      <c r="D149" s="96"/>
      <c r="E149" s="124"/>
      <c r="F149" s="95"/>
      <c r="G149" s="60"/>
      <c r="H149" s="59" t="s">
        <v>304</v>
      </c>
    </row>
    <row r="150" spans="1:8" x14ac:dyDescent="0.3">
      <c r="A150" s="124"/>
      <c r="B150" s="57">
        <v>1.25</v>
      </c>
      <c r="C150" s="57">
        <f>B149*B150</f>
        <v>1.2875000000000001</v>
      </c>
      <c r="D150" s="96" t="s">
        <v>21</v>
      </c>
      <c r="E150" s="124"/>
      <c r="F150" s="95">
        <v>69.56</v>
      </c>
      <c r="G150" s="60"/>
      <c r="H150" s="59"/>
    </row>
    <row r="151" spans="1:8" x14ac:dyDescent="0.3">
      <c r="A151" s="124"/>
      <c r="B151" s="95"/>
      <c r="C151" s="60"/>
      <c r="D151" s="96"/>
      <c r="E151" s="124"/>
      <c r="F151" s="57">
        <v>5.1999999999999998E-2</v>
      </c>
      <c r="G151" s="57">
        <f>F150*F151</f>
        <v>3.6171199999999999</v>
      </c>
      <c r="H151" s="59" t="s">
        <v>18</v>
      </c>
    </row>
    <row r="152" spans="1:8" x14ac:dyDescent="0.3">
      <c r="A152" s="124"/>
      <c r="B152" s="57">
        <v>3.78</v>
      </c>
      <c r="C152" s="60"/>
      <c r="D152" s="96"/>
      <c r="E152" s="124"/>
      <c r="F152" s="95"/>
      <c r="G152" s="60"/>
      <c r="H152" s="59"/>
    </row>
    <row r="153" spans="1:8" ht="15" thickBot="1" x14ac:dyDescent="0.35">
      <c r="A153" s="124"/>
      <c r="B153" s="65">
        <v>1.25</v>
      </c>
      <c r="C153" s="57">
        <f>B152*B153</f>
        <v>4.7249999999999996</v>
      </c>
      <c r="D153" s="96" t="s">
        <v>21</v>
      </c>
      <c r="E153" s="124"/>
      <c r="F153" s="95"/>
      <c r="G153" s="129">
        <f>C178+C183+C188+C192+C197+G151</f>
        <v>8.1252200000000006</v>
      </c>
      <c r="H153" s="125" t="s">
        <v>305</v>
      </c>
    </row>
    <row r="154" spans="1:8" ht="15" thickTop="1" x14ac:dyDescent="0.3">
      <c r="A154" s="124"/>
      <c r="B154" s="95"/>
      <c r="C154" s="60"/>
      <c r="D154" s="96"/>
      <c r="E154" s="124"/>
      <c r="F154" s="95"/>
      <c r="G154" s="60"/>
      <c r="H154" s="59"/>
    </row>
    <row r="155" spans="1:8" x14ac:dyDescent="0.3">
      <c r="A155" s="124"/>
      <c r="B155" s="95"/>
      <c r="C155" s="57">
        <f>G130+G133+G136+G139+G142+G145+C150+C153</f>
        <v>47.237499999999997</v>
      </c>
      <c r="D155" s="96" t="s">
        <v>292</v>
      </c>
      <c r="E155" s="124"/>
      <c r="F155" s="95"/>
      <c r="G155" s="60"/>
      <c r="H155" s="148" t="s">
        <v>306</v>
      </c>
    </row>
    <row r="156" spans="1:8" x14ac:dyDescent="0.3">
      <c r="A156" s="124"/>
      <c r="B156" s="95"/>
      <c r="C156" s="60"/>
      <c r="D156" s="96"/>
      <c r="E156" s="124"/>
      <c r="F156" s="95"/>
      <c r="G156" s="60"/>
      <c r="H156" s="130"/>
    </row>
    <row r="157" spans="1:8" ht="15" thickBot="1" x14ac:dyDescent="0.35">
      <c r="A157" s="124"/>
      <c r="B157" s="95"/>
      <c r="C157" s="111">
        <f>C120+C133+C147+G115</f>
        <v>111.208</v>
      </c>
      <c r="D157" s="98" t="s">
        <v>293</v>
      </c>
      <c r="E157" s="124"/>
      <c r="F157" s="95"/>
      <c r="G157" s="60"/>
      <c r="H157" s="96" t="s">
        <v>241</v>
      </c>
    </row>
    <row r="158" spans="1:8" ht="15" thickTop="1" x14ac:dyDescent="0.3">
      <c r="A158" s="124"/>
      <c r="B158" s="95"/>
      <c r="C158" s="60"/>
      <c r="D158" s="96"/>
      <c r="E158" s="124" t="s">
        <v>242</v>
      </c>
      <c r="F158" s="95">
        <v>0.75</v>
      </c>
      <c r="G158" s="60"/>
      <c r="H158" s="96"/>
    </row>
    <row r="159" spans="1:8" ht="15" thickBot="1" x14ac:dyDescent="0.35">
      <c r="A159" s="124"/>
      <c r="B159" s="95"/>
      <c r="C159" s="111">
        <f>G126+C155</f>
        <v>83.4375</v>
      </c>
      <c r="D159" s="98" t="s">
        <v>294</v>
      </c>
      <c r="E159" s="124"/>
      <c r="F159" s="95">
        <v>0.75</v>
      </c>
      <c r="G159" s="60"/>
      <c r="H159" s="96"/>
    </row>
    <row r="160" spans="1:8" ht="15" thickTop="1" x14ac:dyDescent="0.3">
      <c r="A160" s="124"/>
      <c r="B160" s="95"/>
      <c r="C160" s="60"/>
      <c r="D160" s="96"/>
      <c r="E160" s="124"/>
      <c r="F160" s="57">
        <v>0.75</v>
      </c>
      <c r="G160" s="57">
        <f>(F158*F159*F160)*4</f>
        <v>1.6875</v>
      </c>
      <c r="H160" s="96" t="s">
        <v>18</v>
      </c>
    </row>
    <row r="161" spans="1:8" x14ac:dyDescent="0.3">
      <c r="A161" s="124"/>
      <c r="B161" s="95"/>
      <c r="C161" s="60"/>
      <c r="D161" s="147" t="s">
        <v>182</v>
      </c>
      <c r="E161" s="124"/>
      <c r="F161" s="95"/>
      <c r="G161" s="60"/>
      <c r="H161" s="59"/>
    </row>
    <row r="162" spans="1:8" x14ac:dyDescent="0.3">
      <c r="A162" s="124"/>
      <c r="B162" s="95"/>
      <c r="C162" s="60"/>
      <c r="D162" s="96" t="s">
        <v>297</v>
      </c>
      <c r="E162" s="124"/>
      <c r="F162" s="95"/>
      <c r="G162" s="60"/>
      <c r="H162" s="96" t="s">
        <v>302</v>
      </c>
    </row>
    <row r="163" spans="1:8" x14ac:dyDescent="0.3">
      <c r="A163" s="124"/>
      <c r="B163" s="57">
        <v>3</v>
      </c>
      <c r="C163" s="60"/>
      <c r="D163" s="96"/>
      <c r="E163" s="124" t="s">
        <v>249</v>
      </c>
      <c r="F163" s="95">
        <v>1.3</v>
      </c>
      <c r="G163" s="60"/>
      <c r="H163" s="96"/>
    </row>
    <row r="164" spans="1:8" x14ac:dyDescent="0.3">
      <c r="A164" s="124"/>
      <c r="B164" s="57">
        <v>96</v>
      </c>
      <c r="C164" s="57">
        <f>B163*B164</f>
        <v>288</v>
      </c>
      <c r="D164" s="96" t="s">
        <v>31</v>
      </c>
      <c r="E164" s="124"/>
      <c r="F164" s="95">
        <v>0.75</v>
      </c>
      <c r="G164" s="60"/>
      <c r="H164" s="96"/>
    </row>
    <row r="165" spans="1:8" x14ac:dyDescent="0.3">
      <c r="A165" s="124"/>
      <c r="B165" s="95"/>
      <c r="C165" s="60"/>
      <c r="D165" s="96"/>
      <c r="E165" s="124"/>
      <c r="F165" s="57">
        <v>0.75</v>
      </c>
      <c r="G165" s="57">
        <f>(F163*F164*F165)*8</f>
        <v>5.8500000000000005</v>
      </c>
      <c r="H165" s="96" t="s">
        <v>18</v>
      </c>
    </row>
    <row r="166" spans="1:8" x14ac:dyDescent="0.3">
      <c r="A166" s="124"/>
      <c r="B166" s="95"/>
      <c r="C166" s="60"/>
      <c r="D166" s="96" t="s">
        <v>298</v>
      </c>
      <c r="E166" s="124"/>
      <c r="F166" s="95"/>
      <c r="G166" s="60"/>
      <c r="H166" s="59"/>
    </row>
    <row r="167" spans="1:8" x14ac:dyDescent="0.3">
      <c r="A167" s="124"/>
      <c r="B167" s="57">
        <v>1.4</v>
      </c>
      <c r="C167" s="60"/>
      <c r="D167" s="96"/>
      <c r="E167" s="124"/>
      <c r="F167" s="95"/>
      <c r="G167" s="60"/>
      <c r="H167" s="96" t="s">
        <v>303</v>
      </c>
    </row>
    <row r="168" spans="1:8" x14ac:dyDescent="0.3">
      <c r="A168" s="124"/>
      <c r="B168" s="65">
        <v>288</v>
      </c>
      <c r="C168" s="57">
        <f>B167*B168</f>
        <v>403.2</v>
      </c>
      <c r="D168" s="96" t="s">
        <v>273</v>
      </c>
      <c r="E168" s="124" t="s">
        <v>252</v>
      </c>
      <c r="F168" s="95">
        <v>1.3</v>
      </c>
      <c r="G168" s="60"/>
      <c r="H168" s="96"/>
    </row>
    <row r="169" spans="1:8" x14ac:dyDescent="0.3">
      <c r="A169" s="124"/>
      <c r="B169" s="95"/>
      <c r="C169" s="60"/>
      <c r="D169" s="96"/>
      <c r="E169" s="124"/>
      <c r="F169" s="95">
        <v>1.1000000000000001</v>
      </c>
      <c r="G169" s="60"/>
      <c r="H169" s="96"/>
    </row>
    <row r="170" spans="1:8" x14ac:dyDescent="0.3">
      <c r="A170" s="124"/>
      <c r="B170" s="95"/>
      <c r="C170" s="60"/>
      <c r="D170" s="96" t="s">
        <v>299</v>
      </c>
      <c r="E170" s="124"/>
      <c r="F170" s="57">
        <v>0.75</v>
      </c>
      <c r="G170" s="128">
        <f>(F168*F169*F170)*11</f>
        <v>11.797500000000003</v>
      </c>
      <c r="H170" s="96" t="s">
        <v>18</v>
      </c>
    </row>
    <row r="171" spans="1:8" x14ac:dyDescent="0.3">
      <c r="A171" s="124"/>
      <c r="B171" s="57">
        <v>403.2</v>
      </c>
      <c r="C171" s="60"/>
      <c r="D171" s="96"/>
      <c r="E171" s="124"/>
      <c r="F171" s="95"/>
      <c r="G171" s="60"/>
      <c r="H171" s="59"/>
    </row>
    <row r="172" spans="1:8" x14ac:dyDescent="0.3">
      <c r="A172" s="124"/>
      <c r="B172" s="65">
        <v>1.58</v>
      </c>
      <c r="C172" s="57">
        <f>B171*B172</f>
        <v>637.05600000000004</v>
      </c>
      <c r="D172" s="96" t="s">
        <v>300</v>
      </c>
      <c r="E172" s="124"/>
      <c r="F172" s="95"/>
      <c r="G172" s="60"/>
      <c r="H172" s="96" t="s">
        <v>271</v>
      </c>
    </row>
    <row r="173" spans="1:8" x14ac:dyDescent="0.3">
      <c r="A173" s="124"/>
      <c r="B173" s="95"/>
      <c r="C173" s="60"/>
      <c r="D173" s="96"/>
      <c r="E173" s="124" t="s">
        <v>253</v>
      </c>
      <c r="F173" s="95">
        <v>1.24</v>
      </c>
      <c r="G173" s="60"/>
      <c r="H173" s="96"/>
    </row>
    <row r="174" spans="1:8" x14ac:dyDescent="0.3">
      <c r="A174" s="124"/>
      <c r="B174" s="95"/>
      <c r="C174" s="60"/>
      <c r="D174" s="147" t="s">
        <v>301</v>
      </c>
      <c r="E174" s="124"/>
      <c r="F174" s="57">
        <v>0.75</v>
      </c>
      <c r="G174" s="57">
        <f>(F173*F174)*10</f>
        <v>9.2999999999999989</v>
      </c>
      <c r="H174" s="96" t="s">
        <v>18</v>
      </c>
    </row>
    <row r="175" spans="1:8" x14ac:dyDescent="0.3">
      <c r="A175" s="124"/>
      <c r="B175" s="95"/>
      <c r="C175" s="60"/>
      <c r="D175" s="96" t="s">
        <v>241</v>
      </c>
      <c r="E175" s="124"/>
      <c r="F175" s="95"/>
      <c r="G175" s="60"/>
      <c r="H175" s="59"/>
    </row>
    <row r="176" spans="1:8" x14ac:dyDescent="0.3">
      <c r="A176" s="124" t="s">
        <v>242</v>
      </c>
      <c r="B176" s="95">
        <v>0.75</v>
      </c>
      <c r="C176" s="60"/>
      <c r="D176" s="96"/>
      <c r="E176" s="124"/>
      <c r="F176" s="95"/>
      <c r="G176" s="60"/>
      <c r="H176" s="96" t="s">
        <v>259</v>
      </c>
    </row>
    <row r="177" spans="1:8" x14ac:dyDescent="0.3">
      <c r="A177" s="124"/>
      <c r="B177" s="95">
        <v>0.75</v>
      </c>
      <c r="C177" s="60"/>
      <c r="D177" s="96"/>
      <c r="E177" s="124"/>
      <c r="F177" s="95">
        <v>7.9</v>
      </c>
      <c r="G177" s="60"/>
      <c r="H177" s="96"/>
    </row>
    <row r="178" spans="1:8" x14ac:dyDescent="0.3">
      <c r="A178" s="124"/>
      <c r="B178" s="57">
        <v>0.05</v>
      </c>
      <c r="C178" s="57">
        <f>(B176*B177*B178)*4</f>
        <v>0.1125</v>
      </c>
      <c r="D178" s="96" t="s">
        <v>18</v>
      </c>
      <c r="E178" s="124"/>
      <c r="F178" s="95">
        <v>6.58</v>
      </c>
      <c r="G178" s="60"/>
      <c r="H178" s="96"/>
    </row>
    <row r="179" spans="1:8" x14ac:dyDescent="0.3">
      <c r="A179" s="124"/>
      <c r="B179" s="95"/>
      <c r="C179" s="60"/>
      <c r="D179" s="96"/>
      <c r="E179" s="124"/>
      <c r="F179" s="57">
        <v>1.2</v>
      </c>
      <c r="G179" s="128">
        <f>F177*F178*F179</f>
        <v>62.378400000000006</v>
      </c>
      <c r="H179" s="96" t="s">
        <v>18</v>
      </c>
    </row>
    <row r="180" spans="1:8" x14ac:dyDescent="0.3">
      <c r="A180" s="124"/>
      <c r="B180" s="95"/>
      <c r="C180" s="60"/>
      <c r="D180" s="96" t="s">
        <v>302</v>
      </c>
      <c r="E180" s="124"/>
      <c r="F180" s="95"/>
      <c r="G180" s="60"/>
      <c r="H180" s="59"/>
    </row>
    <row r="181" spans="1:8" x14ac:dyDescent="0.3">
      <c r="A181" s="124" t="s">
        <v>249</v>
      </c>
      <c r="B181" s="95">
        <v>1.3</v>
      </c>
      <c r="C181" s="60"/>
      <c r="D181" s="96"/>
      <c r="E181" s="124"/>
      <c r="F181" s="95"/>
      <c r="G181" s="60"/>
      <c r="H181" s="59" t="s">
        <v>304</v>
      </c>
    </row>
    <row r="182" spans="1:8" x14ac:dyDescent="0.3">
      <c r="A182" s="124"/>
      <c r="B182" s="95">
        <v>0.75</v>
      </c>
      <c r="C182" s="60"/>
      <c r="D182" s="96"/>
      <c r="E182" s="124"/>
      <c r="F182" s="95">
        <v>69.56</v>
      </c>
      <c r="G182" s="60"/>
      <c r="H182" s="59"/>
    </row>
    <row r="183" spans="1:8" x14ac:dyDescent="0.3">
      <c r="A183" s="124"/>
      <c r="B183" s="57">
        <v>0.05</v>
      </c>
      <c r="C183" s="57">
        <f>(B181*B182*B183)*8</f>
        <v>0.39000000000000007</v>
      </c>
      <c r="D183" s="96" t="s">
        <v>18</v>
      </c>
      <c r="E183" s="124"/>
      <c r="F183" s="57">
        <v>1.2</v>
      </c>
      <c r="G183" s="57">
        <f>F182*F183</f>
        <v>83.471999999999994</v>
      </c>
      <c r="H183" s="59" t="s">
        <v>18</v>
      </c>
    </row>
    <row r="184" spans="1:8" x14ac:dyDescent="0.3">
      <c r="A184" s="124"/>
      <c r="B184" s="95"/>
      <c r="C184" s="60"/>
      <c r="D184" s="96"/>
      <c r="E184" s="124"/>
      <c r="F184" s="95"/>
      <c r="G184" s="60"/>
      <c r="H184" s="59"/>
    </row>
    <row r="185" spans="1:8" ht="15" thickBot="1" x14ac:dyDescent="0.35">
      <c r="A185" s="124"/>
      <c r="B185" s="95"/>
      <c r="C185" s="60"/>
      <c r="D185" s="96" t="s">
        <v>303</v>
      </c>
      <c r="E185" s="124"/>
      <c r="F185" s="95"/>
      <c r="G185" s="129">
        <f>G160+G165+G170+G174+G179+G183</f>
        <v>174.48540000000003</v>
      </c>
      <c r="H185" s="125" t="s">
        <v>307</v>
      </c>
    </row>
    <row r="186" spans="1:8" ht="15" thickTop="1" x14ac:dyDescent="0.3">
      <c r="A186" s="124" t="s">
        <v>252</v>
      </c>
      <c r="B186" s="95">
        <v>1.3</v>
      </c>
      <c r="C186" s="60"/>
      <c r="D186" s="96"/>
      <c r="E186" s="124"/>
      <c r="F186" s="95"/>
      <c r="G186" s="60"/>
      <c r="H186" s="59"/>
    </row>
    <row r="187" spans="1:8" x14ac:dyDescent="0.3">
      <c r="A187" s="124"/>
      <c r="B187" s="95">
        <v>1.1000000000000001</v>
      </c>
      <c r="C187" s="60"/>
      <c r="D187" s="96"/>
      <c r="E187" s="124"/>
      <c r="F187" s="95"/>
      <c r="G187" s="60"/>
      <c r="H187" s="131" t="s">
        <v>309</v>
      </c>
    </row>
    <row r="188" spans="1:8" x14ac:dyDescent="0.3">
      <c r="A188" s="124"/>
      <c r="B188" s="57">
        <v>0.05</v>
      </c>
      <c r="C188" s="128">
        <f>(B186*B187*B188)*11</f>
        <v>0.78650000000000009</v>
      </c>
      <c r="D188" s="96" t="s">
        <v>18</v>
      </c>
      <c r="E188" s="124"/>
      <c r="F188" s="95"/>
      <c r="G188" s="60"/>
      <c r="H188" s="148" t="s">
        <v>308</v>
      </c>
    </row>
    <row r="189" spans="1:8" x14ac:dyDescent="0.3">
      <c r="A189" s="124"/>
      <c r="B189" s="95"/>
      <c r="C189" s="60"/>
      <c r="D189" s="96"/>
      <c r="E189" s="124"/>
      <c r="F189" s="95">
        <v>3.9</v>
      </c>
      <c r="G189" s="60"/>
      <c r="H189" s="59" t="s">
        <v>310</v>
      </c>
    </row>
    <row r="190" spans="1:8" x14ac:dyDescent="0.3">
      <c r="A190" s="124"/>
      <c r="B190" s="95"/>
      <c r="C190" s="60"/>
      <c r="D190" s="96" t="s">
        <v>271</v>
      </c>
      <c r="E190" s="124"/>
      <c r="F190" s="95">
        <v>2.85</v>
      </c>
      <c r="G190" s="60"/>
      <c r="H190" s="59" t="s">
        <v>311</v>
      </c>
    </row>
    <row r="191" spans="1:8" x14ac:dyDescent="0.3">
      <c r="A191" s="124" t="s">
        <v>253</v>
      </c>
      <c r="B191" s="95">
        <v>1.24</v>
      </c>
      <c r="C191" s="60"/>
      <c r="D191" s="96"/>
      <c r="E191" s="124"/>
      <c r="F191" s="57">
        <v>1</v>
      </c>
      <c r="G191" s="57">
        <f>F189*F190*F191</f>
        <v>11.115</v>
      </c>
      <c r="H191" s="59" t="s">
        <v>264</v>
      </c>
    </row>
    <row r="192" spans="1:8" x14ac:dyDescent="0.3">
      <c r="A192" s="124"/>
      <c r="B192" s="57">
        <v>0.05</v>
      </c>
      <c r="C192" s="57">
        <f>(B191*B192)*10</f>
        <v>0.62</v>
      </c>
      <c r="D192" s="96" t="s">
        <v>18</v>
      </c>
      <c r="E192" s="124"/>
      <c r="F192" s="95"/>
      <c r="G192" s="60"/>
      <c r="H192" s="59"/>
    </row>
    <row r="193" spans="1:8" x14ac:dyDescent="0.3">
      <c r="A193" s="124"/>
      <c r="B193" s="95"/>
      <c r="C193" s="60"/>
      <c r="D193" s="96"/>
      <c r="E193" s="124"/>
      <c r="F193" s="95"/>
      <c r="G193" s="60"/>
      <c r="H193" s="148" t="s">
        <v>312</v>
      </c>
    </row>
    <row r="194" spans="1:8" x14ac:dyDescent="0.3">
      <c r="A194" s="124"/>
      <c r="B194" s="95"/>
      <c r="C194" s="60"/>
      <c r="D194" s="96" t="s">
        <v>259</v>
      </c>
      <c r="E194" s="124" t="s">
        <v>270</v>
      </c>
      <c r="F194" s="95"/>
      <c r="G194" s="60">
        <v>2.85</v>
      </c>
      <c r="H194" s="59"/>
    </row>
    <row r="195" spans="1:8" x14ac:dyDescent="0.3">
      <c r="A195" s="124"/>
      <c r="B195" s="95">
        <v>7.9</v>
      </c>
      <c r="C195" s="60"/>
      <c r="D195" s="96"/>
      <c r="E195" s="124"/>
      <c r="F195" s="95"/>
      <c r="G195" s="60">
        <v>0.7</v>
      </c>
      <c r="H195" s="59"/>
    </row>
    <row r="196" spans="1:8" ht="15" thickBot="1" x14ac:dyDescent="0.35">
      <c r="A196" s="124"/>
      <c r="B196" s="95">
        <v>6.58</v>
      </c>
      <c r="C196" s="60"/>
      <c r="D196" s="96"/>
      <c r="E196" s="124"/>
      <c r="F196" s="95"/>
      <c r="G196" s="111">
        <f>(G194+G195)*2</f>
        <v>7.1</v>
      </c>
      <c r="H196" s="59" t="s">
        <v>273</v>
      </c>
    </row>
    <row r="197" spans="1:8" ht="15" thickTop="1" x14ac:dyDescent="0.3">
      <c r="A197" s="124"/>
      <c r="B197" s="57">
        <v>0.05</v>
      </c>
      <c r="C197" s="128">
        <f>B195*B196*B197</f>
        <v>2.5991000000000004</v>
      </c>
      <c r="D197" s="96" t="s">
        <v>18</v>
      </c>
      <c r="E197" s="124"/>
      <c r="F197" s="95"/>
      <c r="G197" s="60"/>
      <c r="H197" s="59"/>
    </row>
    <row r="198" spans="1:8" x14ac:dyDescent="0.3">
      <c r="A198" s="124"/>
      <c r="B198" s="95"/>
      <c r="C198" s="119"/>
      <c r="D198" s="96"/>
      <c r="E198" s="124"/>
      <c r="F198" s="95"/>
      <c r="G198" s="60"/>
      <c r="H198" s="59"/>
    </row>
    <row r="199" spans="1:8" ht="15" thickBot="1" x14ac:dyDescent="0.35">
      <c r="A199" s="124" t="s">
        <v>270</v>
      </c>
      <c r="B199" s="95"/>
      <c r="C199" s="60">
        <v>3.9</v>
      </c>
      <c r="D199" s="96"/>
      <c r="E199" s="124"/>
      <c r="F199" s="95"/>
      <c r="G199" s="111">
        <f>C235+C238+C242+C245</f>
        <v>31.299999999999997</v>
      </c>
      <c r="H199" s="125" t="s">
        <v>324</v>
      </c>
    </row>
    <row r="200" spans="1:8" ht="15" thickTop="1" x14ac:dyDescent="0.3">
      <c r="A200" s="124"/>
      <c r="B200" s="95"/>
      <c r="C200" s="60">
        <v>0.7</v>
      </c>
      <c r="D200" s="96"/>
      <c r="E200" s="124"/>
      <c r="F200" s="95"/>
      <c r="G200" s="60"/>
      <c r="H200" s="59"/>
    </row>
    <row r="201" spans="1:8" ht="15" thickBot="1" x14ac:dyDescent="0.35">
      <c r="A201" s="124"/>
      <c r="B201" s="95"/>
      <c r="C201" s="111">
        <f>(C199+C200)*2</f>
        <v>9.1999999999999993</v>
      </c>
      <c r="D201" s="96" t="s">
        <v>46</v>
      </c>
      <c r="E201" s="124"/>
      <c r="F201" s="95"/>
      <c r="G201" s="60"/>
      <c r="H201" s="148" t="s">
        <v>325</v>
      </c>
    </row>
    <row r="202" spans="1:8" ht="15" thickTop="1" x14ac:dyDescent="0.3">
      <c r="A202" s="124"/>
      <c r="B202" s="95"/>
      <c r="C202" s="60"/>
      <c r="D202" s="96"/>
      <c r="E202" s="124"/>
      <c r="F202" s="95">
        <v>2.85</v>
      </c>
      <c r="G202" s="60"/>
      <c r="H202" s="59"/>
    </row>
    <row r="203" spans="1:8" ht="15" thickBot="1" x14ac:dyDescent="0.35">
      <c r="A203" s="124"/>
      <c r="B203" s="95"/>
      <c r="C203" s="60">
        <f>G196</f>
        <v>7.1</v>
      </c>
      <c r="D203" s="96"/>
      <c r="E203" s="124"/>
      <c r="F203" s="57">
        <v>3.9</v>
      </c>
      <c r="G203" s="111">
        <f>F202*F203</f>
        <v>11.115</v>
      </c>
      <c r="H203" s="59" t="s">
        <v>21</v>
      </c>
    </row>
    <row r="204" spans="1:8" ht="15" thickTop="1" x14ac:dyDescent="0.3">
      <c r="A204" s="124"/>
      <c r="B204" s="95"/>
      <c r="C204" s="60">
        <f>C201</f>
        <v>9.1999999999999993</v>
      </c>
      <c r="D204" s="96"/>
      <c r="E204" s="124"/>
      <c r="F204" s="95"/>
      <c r="G204" s="60"/>
      <c r="H204" s="59"/>
    </row>
    <row r="205" spans="1:8" ht="15" thickBot="1" x14ac:dyDescent="0.35">
      <c r="A205" s="124"/>
      <c r="B205" s="95"/>
      <c r="C205" s="111">
        <f>C203+C204</f>
        <v>16.299999999999997</v>
      </c>
      <c r="D205" s="96" t="s">
        <v>268</v>
      </c>
      <c r="E205" s="124" t="s">
        <v>270</v>
      </c>
      <c r="F205" s="95">
        <v>2.85</v>
      </c>
      <c r="G205" s="60"/>
      <c r="H205" s="59"/>
    </row>
    <row r="206" spans="1:8" ht="15.6" thickTop="1" thickBot="1" x14ac:dyDescent="0.35">
      <c r="A206" s="124"/>
      <c r="B206" s="95"/>
      <c r="C206" s="60"/>
      <c r="D206" s="96"/>
      <c r="E206" s="124"/>
      <c r="F206" s="57">
        <v>1.3</v>
      </c>
      <c r="G206" s="111">
        <f>(F205*F206)*2</f>
        <v>7.41</v>
      </c>
      <c r="H206" s="59" t="s">
        <v>21</v>
      </c>
    </row>
    <row r="207" spans="1:8" ht="15" thickTop="1" x14ac:dyDescent="0.3">
      <c r="A207" s="124"/>
      <c r="B207" s="95">
        <v>16.3</v>
      </c>
      <c r="C207" s="60"/>
      <c r="D207" s="96"/>
      <c r="E207" s="124"/>
      <c r="F207" s="95"/>
      <c r="G207" s="60"/>
      <c r="H207" s="59"/>
    </row>
    <row r="208" spans="1:8" x14ac:dyDescent="0.3">
      <c r="A208" s="124"/>
      <c r="B208" s="95">
        <v>0.7</v>
      </c>
      <c r="C208" s="60"/>
      <c r="D208" s="96"/>
      <c r="E208" s="124" t="s">
        <v>270</v>
      </c>
      <c r="F208" s="95">
        <v>3.9</v>
      </c>
      <c r="G208" s="60"/>
      <c r="H208" s="59"/>
    </row>
    <row r="209" spans="1:8" ht="15" thickBot="1" x14ac:dyDescent="0.35">
      <c r="A209" s="124"/>
      <c r="B209" s="57">
        <v>1</v>
      </c>
      <c r="C209" s="111">
        <f>B207*B208*B209</f>
        <v>11.41</v>
      </c>
      <c r="D209" s="98" t="s">
        <v>314</v>
      </c>
      <c r="E209" s="124"/>
      <c r="F209" s="57">
        <v>1.3</v>
      </c>
      <c r="G209" s="111">
        <f>(F208*F209)*2</f>
        <v>10.14</v>
      </c>
      <c r="H209" s="59" t="s">
        <v>21</v>
      </c>
    </row>
    <row r="210" spans="1:8" ht="15" thickTop="1" x14ac:dyDescent="0.3">
      <c r="A210" s="124"/>
      <c r="B210" s="95"/>
      <c r="C210" s="60"/>
      <c r="D210" s="96"/>
      <c r="E210" s="124"/>
      <c r="F210" s="95"/>
      <c r="G210" s="60"/>
      <c r="H210" s="59"/>
    </row>
    <row r="211" spans="1:8" ht="15" thickBot="1" x14ac:dyDescent="0.35">
      <c r="A211" s="124"/>
      <c r="B211" s="95"/>
      <c r="C211" s="60"/>
      <c r="D211" s="96"/>
      <c r="E211" s="124"/>
      <c r="F211" s="95"/>
      <c r="G211" s="111">
        <f>G203+G206+G209</f>
        <v>28.664999999999999</v>
      </c>
      <c r="H211" s="125" t="s">
        <v>326</v>
      </c>
    </row>
    <row r="212" spans="1:8" ht="15" thickTop="1" x14ac:dyDescent="0.3">
      <c r="A212" s="124"/>
      <c r="B212" s="95"/>
      <c r="C212" s="60"/>
      <c r="D212" s="147" t="s">
        <v>275</v>
      </c>
      <c r="E212" s="124"/>
      <c r="F212" s="95"/>
      <c r="G212" s="60"/>
      <c r="H212" s="59"/>
    </row>
    <row r="213" spans="1:8" x14ac:dyDescent="0.3">
      <c r="A213" s="124"/>
      <c r="B213" s="95"/>
      <c r="C213" s="57">
        <v>2.85</v>
      </c>
      <c r="D213" s="96"/>
      <c r="E213" s="124"/>
      <c r="F213" s="95"/>
      <c r="G213" s="60"/>
      <c r="H213" s="148" t="s">
        <v>306</v>
      </c>
    </row>
    <row r="214" spans="1:8" x14ac:dyDescent="0.3">
      <c r="A214" s="124"/>
      <c r="B214" s="95"/>
      <c r="C214" s="65">
        <v>1.4</v>
      </c>
      <c r="D214" s="96"/>
      <c r="E214" s="124"/>
      <c r="F214" s="95"/>
      <c r="G214" s="60"/>
      <c r="H214" s="59" t="s">
        <v>327</v>
      </c>
    </row>
    <row r="215" spans="1:8" ht="15" thickBot="1" x14ac:dyDescent="0.35">
      <c r="A215" s="124"/>
      <c r="B215" s="95"/>
      <c r="C215" s="111">
        <f>C213+C214</f>
        <v>4.25</v>
      </c>
      <c r="D215" s="96" t="s">
        <v>46</v>
      </c>
      <c r="E215" s="124"/>
      <c r="F215" s="95">
        <v>3.9</v>
      </c>
      <c r="G215" s="60"/>
      <c r="H215" s="59"/>
    </row>
    <row r="216" spans="1:8" ht="15" thickTop="1" x14ac:dyDescent="0.3">
      <c r="A216" s="124"/>
      <c r="B216" s="95"/>
      <c r="C216" s="60"/>
      <c r="D216" s="96"/>
      <c r="E216" s="124"/>
      <c r="F216" s="95">
        <v>2.85</v>
      </c>
      <c r="G216" s="60"/>
      <c r="H216" s="59"/>
    </row>
    <row r="217" spans="1:8" ht="15" thickBot="1" x14ac:dyDescent="0.35">
      <c r="A217" s="124"/>
      <c r="B217" s="95"/>
      <c r="C217" s="57">
        <v>3.9</v>
      </c>
      <c r="D217" s="96"/>
      <c r="E217" s="124"/>
      <c r="F217" s="57">
        <v>0.3</v>
      </c>
      <c r="G217" s="111">
        <f>F215*F216*F217</f>
        <v>3.3344999999999998</v>
      </c>
      <c r="H217" s="59" t="s">
        <v>18</v>
      </c>
    </row>
    <row r="218" spans="1:8" ht="15" thickTop="1" x14ac:dyDescent="0.3">
      <c r="A218" s="124"/>
      <c r="B218" s="95"/>
      <c r="C218" s="65">
        <v>1.4</v>
      </c>
      <c r="D218" s="96"/>
      <c r="E218" s="124"/>
      <c r="F218" s="95"/>
      <c r="G218" s="60"/>
      <c r="H218" s="59"/>
    </row>
    <row r="219" spans="1:8" ht="15" thickBot="1" x14ac:dyDescent="0.35">
      <c r="A219" s="124"/>
      <c r="B219" s="95"/>
      <c r="C219" s="111">
        <f>C217+C218</f>
        <v>5.3</v>
      </c>
      <c r="D219" s="96" t="s">
        <v>46</v>
      </c>
      <c r="E219" s="124"/>
      <c r="F219" s="95"/>
      <c r="G219" s="60"/>
      <c r="H219" s="59" t="s">
        <v>59</v>
      </c>
    </row>
    <row r="220" spans="1:8" ht="15" thickTop="1" x14ac:dyDescent="0.3">
      <c r="A220" s="124"/>
      <c r="B220" s="95"/>
      <c r="C220" s="60"/>
      <c r="D220" s="96"/>
      <c r="E220" s="124" t="s">
        <v>270</v>
      </c>
      <c r="F220" s="95">
        <v>3.9</v>
      </c>
      <c r="G220" s="60"/>
      <c r="H220" s="59"/>
    </row>
    <row r="221" spans="1:8" x14ac:dyDescent="0.3">
      <c r="A221" s="124"/>
      <c r="B221" s="95">
        <f>C215</f>
        <v>4.25</v>
      </c>
      <c r="C221" s="60"/>
      <c r="D221" s="96"/>
      <c r="E221" s="124"/>
      <c r="F221" s="95">
        <v>0.25</v>
      </c>
      <c r="G221" s="60"/>
      <c r="H221" s="59"/>
    </row>
    <row r="222" spans="1:8" ht="15" thickBot="1" x14ac:dyDescent="0.35">
      <c r="A222" s="124"/>
      <c r="B222" s="57">
        <f>C219</f>
        <v>5.3</v>
      </c>
      <c r="C222" s="111">
        <f>B221*B222</f>
        <v>22.524999999999999</v>
      </c>
      <c r="D222" s="96" t="s">
        <v>315</v>
      </c>
      <c r="E222" s="124"/>
      <c r="F222" s="57">
        <v>1</v>
      </c>
      <c r="G222" s="111">
        <f>(F220*F221*F222)*2</f>
        <v>1.95</v>
      </c>
      <c r="H222" s="59" t="s">
        <v>18</v>
      </c>
    </row>
    <row r="223" spans="1:8" ht="15" thickTop="1" x14ac:dyDescent="0.3">
      <c r="A223" s="124"/>
      <c r="B223" s="95"/>
      <c r="C223" s="60"/>
      <c r="D223" s="96"/>
      <c r="E223" s="124"/>
      <c r="F223" s="95"/>
      <c r="G223" s="60"/>
      <c r="H223" s="59"/>
    </row>
    <row r="224" spans="1:8" x14ac:dyDescent="0.3">
      <c r="A224" s="124"/>
      <c r="B224" s="95"/>
      <c r="C224" s="60"/>
      <c r="D224" s="147" t="s">
        <v>317</v>
      </c>
      <c r="E224" s="124" t="s">
        <v>270</v>
      </c>
      <c r="F224" s="95">
        <v>2.35</v>
      </c>
      <c r="G224" s="60"/>
      <c r="H224" s="59"/>
    </row>
    <row r="225" spans="1:8" x14ac:dyDescent="0.3">
      <c r="A225" s="124"/>
      <c r="B225" s="95"/>
      <c r="C225" s="60"/>
      <c r="D225" s="96" t="s">
        <v>318</v>
      </c>
      <c r="E225" s="124"/>
      <c r="F225" s="95">
        <v>0.25</v>
      </c>
      <c r="G225" s="60"/>
      <c r="H225" s="59"/>
    </row>
    <row r="226" spans="1:8" ht="15" thickBot="1" x14ac:dyDescent="0.35">
      <c r="A226" s="124" t="s">
        <v>270</v>
      </c>
      <c r="B226" s="57">
        <v>2.85</v>
      </c>
      <c r="C226" s="111">
        <f>B226*2</f>
        <v>5.7</v>
      </c>
      <c r="D226" s="96" t="s">
        <v>46</v>
      </c>
      <c r="E226" s="124"/>
      <c r="F226" s="57">
        <v>1</v>
      </c>
      <c r="G226" s="111">
        <f>(F224*F225*F226)*2</f>
        <v>1.175</v>
      </c>
      <c r="H226" s="59" t="s">
        <v>18</v>
      </c>
    </row>
    <row r="227" spans="1:8" ht="15" thickTop="1" x14ac:dyDescent="0.3">
      <c r="A227" s="124"/>
      <c r="B227" s="95"/>
      <c r="C227" s="60"/>
      <c r="D227" s="96"/>
      <c r="E227" s="124"/>
      <c r="F227" s="95"/>
      <c r="G227" s="60"/>
      <c r="H227" s="59"/>
    </row>
    <row r="228" spans="1:8" ht="15" thickBot="1" x14ac:dyDescent="0.35">
      <c r="A228" s="124" t="s">
        <v>319</v>
      </c>
      <c r="B228" s="132">
        <v>3.9</v>
      </c>
      <c r="C228" s="111">
        <f>B228*2</f>
        <v>7.8</v>
      </c>
      <c r="D228" s="96" t="s">
        <v>273</v>
      </c>
      <c r="E228" s="124"/>
      <c r="F228" s="95">
        <v>2.35</v>
      </c>
      <c r="G228" s="60"/>
      <c r="H228" s="59" t="s">
        <v>328</v>
      </c>
    </row>
    <row r="229" spans="1:8" ht="15" thickTop="1" x14ac:dyDescent="0.3">
      <c r="A229" s="124"/>
      <c r="B229" s="95"/>
      <c r="C229" s="60"/>
      <c r="D229" s="96"/>
      <c r="E229" s="124"/>
      <c r="F229" s="95">
        <v>0.2</v>
      </c>
      <c r="G229" s="60"/>
      <c r="H229" s="59"/>
    </row>
    <row r="230" spans="1:8" ht="15" thickBot="1" x14ac:dyDescent="0.35">
      <c r="A230" s="124"/>
      <c r="B230" s="95"/>
      <c r="C230" s="111">
        <f>C226+C228</f>
        <v>13.5</v>
      </c>
      <c r="D230" s="96" t="s">
        <v>320</v>
      </c>
      <c r="E230" s="124"/>
      <c r="F230" s="57">
        <v>1</v>
      </c>
      <c r="G230" s="111">
        <f>F228*F229*F230</f>
        <v>0.47000000000000003</v>
      </c>
      <c r="H230" s="59" t="s">
        <v>18</v>
      </c>
    </row>
    <row r="231" spans="1:8" ht="15" thickTop="1" x14ac:dyDescent="0.3">
      <c r="A231" s="124"/>
      <c r="B231" s="95"/>
      <c r="C231" s="60"/>
      <c r="D231" s="96"/>
      <c r="E231" s="124"/>
      <c r="F231" s="95"/>
      <c r="G231" s="60"/>
      <c r="H231" s="59"/>
    </row>
    <row r="232" spans="1:8" ht="15" thickBot="1" x14ac:dyDescent="0.35">
      <c r="A232" s="124"/>
      <c r="B232" s="95"/>
      <c r="C232" s="60"/>
      <c r="D232" s="96"/>
      <c r="E232" s="124"/>
      <c r="F232" s="95"/>
      <c r="G232" s="111">
        <f>G222+G226+G230</f>
        <v>3.5950000000000002</v>
      </c>
      <c r="H232" s="59" t="s">
        <v>330</v>
      </c>
    </row>
    <row r="233" spans="1:8" ht="15" thickTop="1" x14ac:dyDescent="0.3">
      <c r="A233" s="124"/>
      <c r="B233" s="95"/>
      <c r="C233" s="60"/>
      <c r="D233" s="96" t="s">
        <v>321</v>
      </c>
      <c r="E233" s="124"/>
      <c r="F233" s="95"/>
      <c r="G233" s="60"/>
      <c r="H233" s="59"/>
    </row>
    <row r="234" spans="1:8" x14ac:dyDescent="0.3">
      <c r="A234" s="124" t="s">
        <v>270</v>
      </c>
      <c r="B234" s="95">
        <v>2.85</v>
      </c>
      <c r="C234" s="60"/>
      <c r="D234" s="96"/>
      <c r="E234" s="124"/>
      <c r="F234" s="95"/>
      <c r="G234" s="60"/>
      <c r="H234" s="131" t="s">
        <v>160</v>
      </c>
    </row>
    <row r="235" spans="1:8" ht="15" thickBot="1" x14ac:dyDescent="0.35">
      <c r="A235" s="124"/>
      <c r="B235" s="57">
        <v>1</v>
      </c>
      <c r="C235" s="111">
        <f>(B234*B235)*2</f>
        <v>5.7</v>
      </c>
      <c r="D235" s="96" t="s">
        <v>21</v>
      </c>
      <c r="E235" s="124"/>
      <c r="F235" s="95"/>
      <c r="G235" s="60"/>
      <c r="H235" s="142" t="s">
        <v>331</v>
      </c>
    </row>
    <row r="236" spans="1:8" ht="15" thickTop="1" x14ac:dyDescent="0.3">
      <c r="A236" s="124"/>
      <c r="B236" s="95"/>
      <c r="C236" s="60"/>
      <c r="D236" s="96"/>
      <c r="E236" s="124"/>
      <c r="F236" s="95"/>
      <c r="G236" s="60"/>
      <c r="H236" s="59" t="s">
        <v>350</v>
      </c>
    </row>
    <row r="237" spans="1:8" x14ac:dyDescent="0.3">
      <c r="A237" s="124" t="s">
        <v>270</v>
      </c>
      <c r="B237" s="95">
        <v>3.9</v>
      </c>
      <c r="C237" s="60"/>
      <c r="D237" s="96"/>
      <c r="E237" s="124"/>
      <c r="F237" s="95">
        <v>1.3</v>
      </c>
      <c r="G237" s="60"/>
      <c r="H237" s="59"/>
    </row>
    <row r="238" spans="1:8" ht="15" thickBot="1" x14ac:dyDescent="0.35">
      <c r="A238" s="124"/>
      <c r="B238" s="57">
        <v>1</v>
      </c>
      <c r="C238" s="111">
        <f>(B237+B238)*2</f>
        <v>9.8000000000000007</v>
      </c>
      <c r="D238" s="96" t="s">
        <v>269</v>
      </c>
      <c r="E238" s="124"/>
      <c r="F238" s="95">
        <v>1.3</v>
      </c>
      <c r="G238" s="60"/>
      <c r="H238" s="59"/>
    </row>
    <row r="239" spans="1:8" ht="15.6" thickTop="1" thickBot="1" x14ac:dyDescent="0.35">
      <c r="A239" s="124"/>
      <c r="B239" s="95"/>
      <c r="C239" s="60"/>
      <c r="D239" s="96"/>
      <c r="E239" s="124"/>
      <c r="F239" s="57">
        <v>1.1000000000000001</v>
      </c>
      <c r="G239" s="111">
        <f>F237*F238*F239</f>
        <v>1.8590000000000004</v>
      </c>
      <c r="H239" s="59" t="s">
        <v>18</v>
      </c>
    </row>
    <row r="240" spans="1:8" ht="15" thickTop="1" x14ac:dyDescent="0.3">
      <c r="A240" s="124"/>
      <c r="B240" s="95"/>
      <c r="C240" s="60"/>
      <c r="D240" s="96" t="s">
        <v>322</v>
      </c>
      <c r="E240" s="124"/>
      <c r="F240" s="95"/>
      <c r="G240" s="60"/>
      <c r="H240" s="59"/>
    </row>
    <row r="241" spans="1:8" x14ac:dyDescent="0.3">
      <c r="A241" s="124" t="s">
        <v>323</v>
      </c>
      <c r="B241" s="95">
        <v>1.6</v>
      </c>
      <c r="C241" s="60"/>
      <c r="D241" s="96"/>
      <c r="E241" s="124"/>
      <c r="F241" s="95"/>
      <c r="G241" s="60"/>
      <c r="H241" s="59" t="s">
        <v>351</v>
      </c>
    </row>
    <row r="242" spans="1:8" ht="15" thickBot="1" x14ac:dyDescent="0.35">
      <c r="A242" s="124"/>
      <c r="B242" s="57">
        <v>1</v>
      </c>
      <c r="C242" s="111">
        <f>(B241*B242)*4</f>
        <v>6.4</v>
      </c>
      <c r="D242" s="96" t="s">
        <v>21</v>
      </c>
      <c r="E242" s="124"/>
      <c r="F242" s="95">
        <v>1.9</v>
      </c>
      <c r="G242" s="60"/>
      <c r="H242" s="59"/>
    </row>
    <row r="243" spans="1:8" ht="15" thickTop="1" x14ac:dyDescent="0.3">
      <c r="A243" s="124"/>
      <c r="B243" s="95"/>
      <c r="C243" s="60"/>
      <c r="D243" s="96"/>
      <c r="E243" s="124"/>
      <c r="F243" s="95">
        <v>1.3</v>
      </c>
      <c r="G243" s="60"/>
      <c r="H243" s="59"/>
    </row>
    <row r="244" spans="1:8" ht="15" thickBot="1" x14ac:dyDescent="0.35">
      <c r="A244" s="124" t="s">
        <v>323</v>
      </c>
      <c r="B244" s="95">
        <v>2.35</v>
      </c>
      <c r="C244" s="60"/>
      <c r="D244" s="96"/>
      <c r="E244" s="124"/>
      <c r="F244" s="57">
        <v>1.1000000000000001</v>
      </c>
      <c r="G244" s="111">
        <f>F242*F243*F244</f>
        <v>2.7170000000000001</v>
      </c>
      <c r="H244" s="59" t="s">
        <v>18</v>
      </c>
    </row>
    <row r="245" spans="1:8" ht="15.6" thickTop="1" thickBot="1" x14ac:dyDescent="0.35">
      <c r="A245" s="124"/>
      <c r="B245" s="57">
        <v>1</v>
      </c>
      <c r="C245" s="111">
        <f>(B244*B245)*4</f>
        <v>9.4</v>
      </c>
      <c r="D245" s="96" t="s">
        <v>269</v>
      </c>
      <c r="E245" s="124"/>
      <c r="F245" s="95"/>
      <c r="G245" s="60"/>
      <c r="H245" s="59"/>
    </row>
    <row r="246" spans="1:8" ht="15" thickTop="1" x14ac:dyDescent="0.3">
      <c r="A246" s="124"/>
      <c r="B246" s="95"/>
      <c r="C246" s="126"/>
      <c r="D246" s="96"/>
      <c r="E246" s="124"/>
      <c r="F246" s="95"/>
      <c r="G246" s="60"/>
      <c r="H246" s="59"/>
    </row>
    <row r="247" spans="1:8" ht="15" thickBot="1" x14ac:dyDescent="0.35">
      <c r="A247" s="124"/>
      <c r="B247" s="95"/>
      <c r="C247" s="57">
        <f>G239</f>
        <v>1.8590000000000004</v>
      </c>
      <c r="D247" s="96"/>
      <c r="E247" s="124"/>
      <c r="F247" s="95"/>
      <c r="G247" s="111">
        <f>C289+C293</f>
        <v>16.200000000000003</v>
      </c>
      <c r="H247" s="125" t="s">
        <v>339</v>
      </c>
    </row>
    <row r="248" spans="1:8" ht="15" thickTop="1" x14ac:dyDescent="0.3">
      <c r="A248" s="124"/>
      <c r="B248" s="95"/>
      <c r="C248" s="65">
        <f>G244</f>
        <v>2.7170000000000001</v>
      </c>
      <c r="D248" s="96"/>
      <c r="E248" s="124"/>
      <c r="F248" s="95"/>
      <c r="G248" s="60"/>
      <c r="H248" s="59"/>
    </row>
    <row r="249" spans="1:8" ht="15" thickBot="1" x14ac:dyDescent="0.35">
      <c r="A249" s="124"/>
      <c r="B249" s="95"/>
      <c r="C249" s="111">
        <f>C247+C248</f>
        <v>4.5760000000000005</v>
      </c>
      <c r="D249" s="98" t="s">
        <v>332</v>
      </c>
      <c r="E249" s="124"/>
      <c r="F249" s="95"/>
      <c r="G249" s="60"/>
      <c r="H249" s="148" t="s">
        <v>341</v>
      </c>
    </row>
    <row r="250" spans="1:8" ht="15" thickTop="1" x14ac:dyDescent="0.3">
      <c r="A250" s="124"/>
      <c r="B250" s="95"/>
      <c r="C250" s="60"/>
      <c r="D250" s="96"/>
      <c r="E250" s="124"/>
      <c r="F250" s="95"/>
      <c r="G250" s="60"/>
      <c r="H250" s="59" t="s">
        <v>342</v>
      </c>
    </row>
    <row r="251" spans="1:8" x14ac:dyDescent="0.3">
      <c r="A251" s="124"/>
      <c r="B251" s="95"/>
      <c r="C251" s="60"/>
      <c r="D251" s="147" t="s">
        <v>334</v>
      </c>
      <c r="E251" s="124"/>
      <c r="F251" s="95">
        <v>1.3</v>
      </c>
      <c r="G251" s="60"/>
      <c r="H251" s="59"/>
    </row>
    <row r="252" spans="1:8" ht="15" thickBot="1" x14ac:dyDescent="0.35">
      <c r="A252" s="124"/>
      <c r="B252" s="95"/>
      <c r="C252" s="60"/>
      <c r="D252" s="59" t="s">
        <v>350</v>
      </c>
      <c r="E252" s="124"/>
      <c r="F252" s="57">
        <v>1.3</v>
      </c>
      <c r="G252" s="111">
        <f>F251*F252</f>
        <v>1.6900000000000002</v>
      </c>
      <c r="H252" s="59" t="s">
        <v>21</v>
      </c>
    </row>
    <row r="253" spans="1:8" ht="15" thickTop="1" x14ac:dyDescent="0.3">
      <c r="A253" s="124"/>
      <c r="B253" s="95"/>
      <c r="C253" s="57">
        <v>1.3</v>
      </c>
      <c r="D253" s="96"/>
      <c r="E253" s="124"/>
      <c r="F253" s="95"/>
      <c r="G253" s="60"/>
      <c r="H253" s="59"/>
    </row>
    <row r="254" spans="1:8" x14ac:dyDescent="0.3">
      <c r="A254" s="124"/>
      <c r="B254" s="95"/>
      <c r="C254" s="65">
        <v>0.7</v>
      </c>
      <c r="D254" s="96"/>
      <c r="E254" s="114" t="s">
        <v>242</v>
      </c>
      <c r="F254" s="60">
        <v>1.3</v>
      </c>
      <c r="G254" s="59"/>
      <c r="H254" s="59"/>
    </row>
    <row r="255" spans="1:8" ht="15" thickBot="1" x14ac:dyDescent="0.35">
      <c r="A255" s="124"/>
      <c r="B255" s="95"/>
      <c r="C255" s="111">
        <f>C253+C254</f>
        <v>2</v>
      </c>
      <c r="D255" s="96"/>
      <c r="E255" s="124"/>
      <c r="F255" s="57">
        <v>1.1000000000000001</v>
      </c>
      <c r="G255" s="111">
        <f>(F254*F255)*4</f>
        <v>5.7200000000000006</v>
      </c>
      <c r="H255" s="59" t="s">
        <v>21</v>
      </c>
    </row>
    <row r="256" spans="1:8" ht="15" thickTop="1" x14ac:dyDescent="0.3">
      <c r="A256" s="124"/>
      <c r="B256" s="95"/>
      <c r="C256" s="60"/>
      <c r="D256" s="96"/>
      <c r="E256" s="124"/>
      <c r="F256" s="95"/>
      <c r="G256" s="60"/>
      <c r="H256" s="59"/>
    </row>
    <row r="257" spans="1:8" ht="15" thickBot="1" x14ac:dyDescent="0.35">
      <c r="A257" s="124" t="s">
        <v>323</v>
      </c>
      <c r="B257" s="57">
        <f>C255</f>
        <v>2</v>
      </c>
      <c r="C257" s="111">
        <f>B257*4</f>
        <v>8</v>
      </c>
      <c r="D257" s="96" t="s">
        <v>333</v>
      </c>
      <c r="E257" s="124"/>
      <c r="F257" s="95"/>
      <c r="G257" s="57">
        <v>1.3</v>
      </c>
      <c r="H257" s="59" t="s">
        <v>343</v>
      </c>
    </row>
    <row r="258" spans="1:8" ht="15" thickTop="1" x14ac:dyDescent="0.3">
      <c r="A258" s="124"/>
      <c r="B258" s="95"/>
      <c r="C258" s="60"/>
      <c r="D258" s="96"/>
      <c r="E258" s="124"/>
      <c r="F258" s="95"/>
      <c r="G258" s="65">
        <v>0.15</v>
      </c>
      <c r="H258" s="59"/>
    </row>
    <row r="259" spans="1:8" ht="15" thickBot="1" x14ac:dyDescent="0.35">
      <c r="A259" s="124"/>
      <c r="B259" s="95">
        <f>C257</f>
        <v>8</v>
      </c>
      <c r="C259" s="60"/>
      <c r="D259" s="96"/>
      <c r="E259" s="124"/>
      <c r="F259" s="95"/>
      <c r="G259" s="111">
        <f>G257+G258</f>
        <v>1.45</v>
      </c>
      <c r="H259" s="59" t="s">
        <v>46</v>
      </c>
    </row>
    <row r="260" spans="1:8" ht="15" thickTop="1" x14ac:dyDescent="0.3">
      <c r="A260" s="124"/>
      <c r="B260" s="95">
        <v>0.7</v>
      </c>
      <c r="C260" s="60"/>
      <c r="D260" s="96"/>
      <c r="E260" s="124"/>
      <c r="F260" s="95"/>
      <c r="G260" s="60"/>
      <c r="H260" s="59"/>
    </row>
    <row r="261" spans="1:8" ht="15" thickBot="1" x14ac:dyDescent="0.35">
      <c r="A261" s="124"/>
      <c r="B261" s="57">
        <v>1.1000000000000001</v>
      </c>
      <c r="C261" s="111">
        <f>B259*B260*B261</f>
        <v>6.16</v>
      </c>
      <c r="D261" s="96" t="s">
        <v>264</v>
      </c>
      <c r="E261" s="124" t="s">
        <v>242</v>
      </c>
      <c r="F261" s="57">
        <f>G259</f>
        <v>1.45</v>
      </c>
      <c r="G261" s="111">
        <f>F261*4</f>
        <v>5.8</v>
      </c>
      <c r="H261" s="59" t="s">
        <v>46</v>
      </c>
    </row>
    <row r="262" spans="1:8" ht="15" thickTop="1" x14ac:dyDescent="0.3">
      <c r="A262" s="124"/>
      <c r="B262" s="95"/>
      <c r="C262" s="60"/>
      <c r="D262" s="96"/>
      <c r="E262" s="124"/>
      <c r="F262" s="95"/>
      <c r="G262" s="60"/>
      <c r="H262" s="59"/>
    </row>
    <row r="263" spans="1:8" x14ac:dyDescent="0.3">
      <c r="A263" s="124"/>
      <c r="B263" s="95"/>
      <c r="C263" s="60"/>
      <c r="D263" s="59" t="s">
        <v>351</v>
      </c>
      <c r="E263" s="124"/>
      <c r="F263" s="95">
        <f>G261</f>
        <v>5.8</v>
      </c>
      <c r="G263" s="60"/>
      <c r="H263" s="59"/>
    </row>
    <row r="264" spans="1:8" ht="15" thickBot="1" x14ac:dyDescent="0.35">
      <c r="A264" s="124"/>
      <c r="B264" s="95"/>
      <c r="C264" s="57">
        <v>1.9</v>
      </c>
      <c r="D264" s="96"/>
      <c r="E264" s="124"/>
      <c r="F264" s="57">
        <v>0.15</v>
      </c>
      <c r="G264" s="111">
        <f>F263*F264</f>
        <v>0.87</v>
      </c>
      <c r="H264" s="59" t="s">
        <v>21</v>
      </c>
    </row>
    <row r="265" spans="1:8" ht="15" thickTop="1" x14ac:dyDescent="0.3">
      <c r="A265" s="124"/>
      <c r="B265" s="95"/>
      <c r="C265" s="65">
        <v>0.7</v>
      </c>
      <c r="D265" s="96"/>
      <c r="E265" s="124"/>
      <c r="F265" s="95"/>
      <c r="G265" s="60"/>
      <c r="H265" s="59"/>
    </row>
    <row r="266" spans="1:8" ht="15" thickBot="1" x14ac:dyDescent="0.35">
      <c r="A266" s="124"/>
      <c r="B266" s="95"/>
      <c r="C266" s="111">
        <f>C264+C265</f>
        <v>2.5999999999999996</v>
      </c>
      <c r="D266" s="96" t="s">
        <v>46</v>
      </c>
      <c r="E266" s="124"/>
      <c r="F266" s="95"/>
      <c r="G266" s="111">
        <f>G252+G255+G264</f>
        <v>8.2800000000000011</v>
      </c>
      <c r="H266" s="59" t="s">
        <v>344</v>
      </c>
    </row>
    <row r="267" spans="1:8" ht="15" thickTop="1" x14ac:dyDescent="0.3">
      <c r="A267" s="124"/>
      <c r="B267" s="95"/>
      <c r="C267" s="60"/>
      <c r="D267" s="96"/>
      <c r="E267" s="124"/>
      <c r="F267" s="95"/>
      <c r="G267" s="60"/>
      <c r="H267" s="59"/>
    </row>
    <row r="268" spans="1:8" ht="15" thickBot="1" x14ac:dyDescent="0.35">
      <c r="A268" s="124" t="s">
        <v>270</v>
      </c>
      <c r="B268" s="57">
        <f>C266</f>
        <v>2.5999999999999996</v>
      </c>
      <c r="C268" s="111">
        <f>B268*2</f>
        <v>5.1999999999999993</v>
      </c>
      <c r="D268" s="96" t="s">
        <v>46</v>
      </c>
      <c r="E268" s="124"/>
      <c r="F268" s="95"/>
      <c r="G268" s="60"/>
      <c r="H268" s="59" t="s">
        <v>338</v>
      </c>
    </row>
    <row r="269" spans="1:8" ht="15" thickTop="1" x14ac:dyDescent="0.3">
      <c r="A269" s="124"/>
      <c r="B269" s="95"/>
      <c r="C269" s="60"/>
      <c r="D269" s="96"/>
      <c r="E269" s="124"/>
      <c r="F269" s="95">
        <v>1.9</v>
      </c>
      <c r="G269" s="60"/>
      <c r="H269" s="59"/>
    </row>
    <row r="270" spans="1:8" ht="15" thickBot="1" x14ac:dyDescent="0.35">
      <c r="A270" s="124"/>
      <c r="B270" s="95"/>
      <c r="C270" s="57">
        <v>1.3</v>
      </c>
      <c r="D270" s="96"/>
      <c r="E270" s="124"/>
      <c r="F270" s="57">
        <v>1.3</v>
      </c>
      <c r="G270" s="111">
        <f>F269*F270</f>
        <v>2.4699999999999998</v>
      </c>
      <c r="H270" s="59" t="s">
        <v>21</v>
      </c>
    </row>
    <row r="271" spans="1:8" ht="15" thickTop="1" x14ac:dyDescent="0.3">
      <c r="A271" s="124"/>
      <c r="B271" s="95"/>
      <c r="C271" s="65">
        <v>0.7</v>
      </c>
      <c r="D271" s="96"/>
      <c r="E271" s="124"/>
      <c r="F271" s="95"/>
      <c r="G271" s="60"/>
      <c r="H271" s="59"/>
    </row>
    <row r="272" spans="1:8" ht="15" thickBot="1" x14ac:dyDescent="0.35">
      <c r="A272" s="124"/>
      <c r="B272" s="95"/>
      <c r="C272" s="111">
        <f>C270+C271</f>
        <v>2</v>
      </c>
      <c r="D272" s="96" t="s">
        <v>46</v>
      </c>
      <c r="E272" s="124" t="s">
        <v>270</v>
      </c>
      <c r="F272" s="95">
        <v>1.9</v>
      </c>
      <c r="G272" s="60"/>
      <c r="H272" s="59"/>
    </row>
    <row r="273" spans="1:8" ht="15.6" thickTop="1" thickBot="1" x14ac:dyDescent="0.35">
      <c r="A273" s="124"/>
      <c r="B273" s="95"/>
      <c r="C273" s="60"/>
      <c r="D273" s="96"/>
      <c r="E273" s="124"/>
      <c r="F273" s="57">
        <v>1.1000000000000001</v>
      </c>
      <c r="G273" s="111">
        <f>(F272*F273)*2</f>
        <v>4.18</v>
      </c>
      <c r="H273" s="59" t="s">
        <v>21</v>
      </c>
    </row>
    <row r="274" spans="1:8" ht="15.6" thickTop="1" thickBot="1" x14ac:dyDescent="0.35">
      <c r="A274" s="124" t="s">
        <v>270</v>
      </c>
      <c r="B274" s="57">
        <f>C272</f>
        <v>2</v>
      </c>
      <c r="C274" s="111">
        <f>B274*2</f>
        <v>4</v>
      </c>
      <c r="D274" s="96" t="s">
        <v>46</v>
      </c>
      <c r="E274" s="124"/>
      <c r="F274" s="95"/>
      <c r="G274" s="60"/>
      <c r="H274" s="59"/>
    </row>
    <row r="275" spans="1:8" ht="15" thickTop="1" x14ac:dyDescent="0.3">
      <c r="A275" s="124"/>
      <c r="B275" s="95"/>
      <c r="C275" s="60"/>
      <c r="D275" s="96"/>
      <c r="E275" s="124" t="s">
        <v>270</v>
      </c>
      <c r="F275" s="95">
        <v>1.3</v>
      </c>
      <c r="G275" s="60"/>
      <c r="H275" s="59"/>
    </row>
    <row r="276" spans="1:8" ht="15" thickBot="1" x14ac:dyDescent="0.35">
      <c r="A276" s="124"/>
      <c r="B276" s="95"/>
      <c r="C276" s="57">
        <f>C268</f>
        <v>5.1999999999999993</v>
      </c>
      <c r="D276" s="96"/>
      <c r="E276" s="124"/>
      <c r="F276" s="57">
        <v>1.1000000000000001</v>
      </c>
      <c r="G276" s="111">
        <f>(F275*F276)*2</f>
        <v>2.8600000000000003</v>
      </c>
      <c r="H276" s="59" t="s">
        <v>21</v>
      </c>
    </row>
    <row r="277" spans="1:8" ht="15" thickTop="1" x14ac:dyDescent="0.3">
      <c r="A277" s="124"/>
      <c r="B277" s="95"/>
      <c r="C277" s="65">
        <f>C274</f>
        <v>4</v>
      </c>
      <c r="D277" s="96"/>
      <c r="E277" s="124"/>
      <c r="F277" s="95"/>
      <c r="G277" s="60"/>
      <c r="H277" s="59"/>
    </row>
    <row r="278" spans="1:8" ht="15" thickBot="1" x14ac:dyDescent="0.35">
      <c r="A278" s="124"/>
      <c r="B278" s="95"/>
      <c r="C278" s="111">
        <f>C276+C277</f>
        <v>9.1999999999999993</v>
      </c>
      <c r="D278" s="96" t="s">
        <v>333</v>
      </c>
      <c r="E278" s="124"/>
      <c r="F278" s="95"/>
      <c r="G278" s="57">
        <v>1.9</v>
      </c>
      <c r="H278" s="59" t="s">
        <v>345</v>
      </c>
    </row>
    <row r="279" spans="1:8" ht="15" thickTop="1" x14ac:dyDescent="0.3">
      <c r="A279" s="124"/>
      <c r="B279" s="95"/>
      <c r="C279" s="60"/>
      <c r="D279" s="96"/>
      <c r="E279" s="124"/>
      <c r="F279" s="95"/>
      <c r="G279" s="65">
        <v>0.15</v>
      </c>
      <c r="H279" s="59"/>
    </row>
    <row r="280" spans="1:8" ht="15" thickBot="1" x14ac:dyDescent="0.35">
      <c r="A280" s="124"/>
      <c r="B280" s="95">
        <f>C278</f>
        <v>9.1999999999999993</v>
      </c>
      <c r="C280" s="60"/>
      <c r="D280" s="96"/>
      <c r="E280" s="124"/>
      <c r="F280" s="95"/>
      <c r="G280" s="111">
        <f>G278+G279</f>
        <v>2.0499999999999998</v>
      </c>
      <c r="H280" s="59" t="s">
        <v>46</v>
      </c>
    </row>
    <row r="281" spans="1:8" ht="15" thickTop="1" x14ac:dyDescent="0.3">
      <c r="A281" s="124"/>
      <c r="B281" s="95">
        <v>0.7</v>
      </c>
      <c r="C281" s="60"/>
      <c r="D281" s="96"/>
      <c r="E281" s="124"/>
      <c r="F281" s="95"/>
      <c r="G281" s="60"/>
      <c r="H281" s="59"/>
    </row>
    <row r="282" spans="1:8" ht="15" thickBot="1" x14ac:dyDescent="0.35">
      <c r="A282" s="124"/>
      <c r="B282" s="57">
        <v>1.1000000000000001</v>
      </c>
      <c r="C282" s="111">
        <f>B280*B281*B282</f>
        <v>7.0839999999999996</v>
      </c>
      <c r="D282" s="96" t="s">
        <v>18</v>
      </c>
      <c r="E282" s="124" t="s">
        <v>270</v>
      </c>
      <c r="F282" s="57">
        <f>G280</f>
        <v>2.0499999999999998</v>
      </c>
      <c r="G282" s="111">
        <f>F282*2</f>
        <v>4.0999999999999996</v>
      </c>
      <c r="H282" s="59" t="s">
        <v>46</v>
      </c>
    </row>
    <row r="283" spans="1:8" ht="15" thickTop="1" x14ac:dyDescent="0.3">
      <c r="A283" s="124"/>
      <c r="B283" s="95"/>
      <c r="C283" s="60"/>
      <c r="D283" s="96"/>
      <c r="E283" s="124"/>
      <c r="F283" s="95"/>
      <c r="G283" s="60"/>
      <c r="H283" s="59"/>
    </row>
    <row r="284" spans="1:8" ht="15" thickBot="1" x14ac:dyDescent="0.35">
      <c r="A284" s="124"/>
      <c r="B284" s="95"/>
      <c r="C284" s="111">
        <f>C261+C282</f>
        <v>13.244</v>
      </c>
      <c r="D284" s="96" t="s">
        <v>335</v>
      </c>
      <c r="E284" s="124"/>
      <c r="F284" s="95"/>
      <c r="G284" s="57">
        <v>1.3</v>
      </c>
      <c r="H284" s="59"/>
    </row>
    <row r="285" spans="1:8" ht="15" thickTop="1" x14ac:dyDescent="0.3">
      <c r="A285" s="124"/>
      <c r="B285" s="95"/>
      <c r="C285" s="60"/>
      <c r="D285" s="96"/>
      <c r="E285" s="124"/>
      <c r="F285" s="95"/>
      <c r="G285" s="65">
        <v>0.15</v>
      </c>
      <c r="H285" s="59"/>
    </row>
    <row r="286" spans="1:8" ht="15" thickBot="1" x14ac:dyDescent="0.35">
      <c r="A286" s="124"/>
      <c r="B286" s="95"/>
      <c r="C286" s="60"/>
      <c r="D286" s="147" t="s">
        <v>336</v>
      </c>
      <c r="E286" s="124"/>
      <c r="F286" s="95"/>
      <c r="G286" s="111">
        <f>G284+G285</f>
        <v>1.45</v>
      </c>
      <c r="H286" s="59" t="s">
        <v>46</v>
      </c>
    </row>
    <row r="287" spans="1:8" ht="15" thickTop="1" x14ac:dyDescent="0.3">
      <c r="A287" s="124"/>
      <c r="B287" s="95"/>
      <c r="C287" s="60"/>
      <c r="D287" s="59" t="s">
        <v>337</v>
      </c>
      <c r="E287" s="124"/>
      <c r="F287" s="95"/>
      <c r="G287" s="60"/>
      <c r="H287" s="59"/>
    </row>
    <row r="288" spans="1:8" ht="15" thickBot="1" x14ac:dyDescent="0.35">
      <c r="A288" s="124"/>
      <c r="B288" s="95">
        <f>1.3+1.4</f>
        <v>2.7</v>
      </c>
      <c r="C288" s="60"/>
      <c r="D288" s="96"/>
      <c r="E288" s="124" t="s">
        <v>270</v>
      </c>
      <c r="F288" s="57">
        <f>G286</f>
        <v>1.45</v>
      </c>
      <c r="G288" s="111">
        <f>F288*2</f>
        <v>2.9</v>
      </c>
      <c r="H288" s="59"/>
    </row>
    <row r="289" spans="1:8" ht="15.6" thickTop="1" thickBot="1" x14ac:dyDescent="0.35">
      <c r="A289" s="124"/>
      <c r="B289" s="57">
        <f>1.3+1.4</f>
        <v>2.7</v>
      </c>
      <c r="C289" s="111">
        <f>B288*B289</f>
        <v>7.2900000000000009</v>
      </c>
      <c r="D289" s="96" t="s">
        <v>269</v>
      </c>
      <c r="E289" s="124"/>
      <c r="F289" s="95"/>
      <c r="G289" s="60"/>
      <c r="H289" s="59"/>
    </row>
    <row r="290" spans="1:8" ht="15" thickTop="1" x14ac:dyDescent="0.3">
      <c r="A290" s="124"/>
      <c r="B290" s="95"/>
      <c r="C290" s="60"/>
      <c r="D290" s="96"/>
      <c r="E290" s="124"/>
      <c r="F290" s="95"/>
      <c r="G290" s="57">
        <f>G282</f>
        <v>4.0999999999999996</v>
      </c>
      <c r="H290" s="59"/>
    </row>
    <row r="291" spans="1:8" x14ac:dyDescent="0.3">
      <c r="A291" s="124"/>
      <c r="B291" s="95"/>
      <c r="C291" s="60"/>
      <c r="D291" s="96" t="s">
        <v>338</v>
      </c>
      <c r="E291" s="124"/>
      <c r="F291" s="95"/>
      <c r="G291" s="65">
        <f>G288</f>
        <v>2.9</v>
      </c>
      <c r="H291" s="59"/>
    </row>
    <row r="292" spans="1:8" ht="15" thickBot="1" x14ac:dyDescent="0.35">
      <c r="A292" s="124"/>
      <c r="B292" s="95">
        <f>1.9+1.4</f>
        <v>3.3</v>
      </c>
      <c r="C292" s="60"/>
      <c r="D292" s="96"/>
      <c r="E292" s="124"/>
      <c r="F292" s="95"/>
      <c r="G292" s="111">
        <f>G290+G291</f>
        <v>7</v>
      </c>
      <c r="H292" s="59" t="s">
        <v>273</v>
      </c>
    </row>
    <row r="293" spans="1:8" ht="15.6" thickTop="1" thickBot="1" x14ac:dyDescent="0.35">
      <c r="A293" s="124"/>
      <c r="B293" s="57">
        <f>1.3+1.4</f>
        <v>2.7</v>
      </c>
      <c r="C293" s="111">
        <f>B292*B293</f>
        <v>8.91</v>
      </c>
      <c r="D293" s="96" t="s">
        <v>21</v>
      </c>
      <c r="E293" s="124"/>
      <c r="F293" s="95"/>
      <c r="G293" s="60"/>
      <c r="H293" s="59"/>
    </row>
    <row r="294" spans="1:8" ht="15" thickTop="1" x14ac:dyDescent="0.3">
      <c r="A294" s="124"/>
      <c r="B294" s="95"/>
      <c r="C294" s="126"/>
      <c r="D294" s="96"/>
      <c r="E294" s="124"/>
      <c r="F294" s="95"/>
      <c r="G294" s="60"/>
      <c r="H294" s="59"/>
    </row>
    <row r="295" spans="1:8" x14ac:dyDescent="0.3">
      <c r="A295" s="124"/>
      <c r="B295" s="95">
        <f>G292</f>
        <v>7</v>
      </c>
      <c r="C295" s="60"/>
      <c r="D295" s="96"/>
      <c r="E295" s="124" t="s">
        <v>249</v>
      </c>
      <c r="F295" s="95">
        <f>1.3-0.1</f>
        <v>1.2</v>
      </c>
      <c r="G295" s="60"/>
      <c r="H295" s="59"/>
    </row>
    <row r="296" spans="1:8" ht="15" thickBot="1" x14ac:dyDescent="0.35">
      <c r="A296" s="124"/>
      <c r="B296" s="57">
        <v>0.15</v>
      </c>
      <c r="C296" s="111">
        <f>B295*B296</f>
        <v>1.05</v>
      </c>
      <c r="D296" s="96" t="s">
        <v>352</v>
      </c>
      <c r="E296" s="124"/>
      <c r="F296" s="57">
        <f>0.9-0.05</f>
        <v>0.85</v>
      </c>
      <c r="G296" s="111">
        <f>(F295*F296)*8</f>
        <v>8.16</v>
      </c>
      <c r="H296" s="59" t="s">
        <v>21</v>
      </c>
    </row>
    <row r="297" spans="1:8" ht="15" thickTop="1" x14ac:dyDescent="0.3">
      <c r="A297" s="124"/>
      <c r="B297" s="95"/>
      <c r="C297" s="60"/>
      <c r="D297" s="96"/>
      <c r="E297" s="124"/>
      <c r="F297" s="95"/>
      <c r="G297" s="60"/>
      <c r="H297" s="59"/>
    </row>
    <row r="298" spans="1:8" ht="15" thickBot="1" x14ac:dyDescent="0.35">
      <c r="A298" s="124"/>
      <c r="B298" s="95"/>
      <c r="C298" s="111">
        <f>G270+G273+G276+C296</f>
        <v>10.56</v>
      </c>
      <c r="D298" s="96" t="s">
        <v>346</v>
      </c>
      <c r="E298" s="124"/>
      <c r="F298" s="95"/>
      <c r="G298" s="60"/>
      <c r="H298" s="59" t="s">
        <v>338</v>
      </c>
    </row>
    <row r="299" spans="1:8" ht="15" thickTop="1" x14ac:dyDescent="0.3">
      <c r="A299" s="124"/>
      <c r="B299" s="95"/>
      <c r="C299" s="60"/>
      <c r="D299" s="96"/>
      <c r="E299" s="124" t="s">
        <v>270</v>
      </c>
      <c r="F299" s="95">
        <f>1.9-0.1</f>
        <v>1.7999999999999998</v>
      </c>
      <c r="G299" s="60"/>
      <c r="H299" s="59"/>
    </row>
    <row r="300" spans="1:8" ht="15" thickBot="1" x14ac:dyDescent="0.35">
      <c r="A300" s="124"/>
      <c r="B300" s="95"/>
      <c r="C300" s="111">
        <f>G266+C298</f>
        <v>18.840000000000003</v>
      </c>
      <c r="D300" s="96" t="s">
        <v>347</v>
      </c>
      <c r="E300" s="124"/>
      <c r="F300" s="57">
        <f>1.3-0.1</f>
        <v>1.2</v>
      </c>
      <c r="G300" s="111">
        <f>(F299*F300)*2</f>
        <v>4.3199999999999994</v>
      </c>
      <c r="H300" s="59" t="s">
        <v>21</v>
      </c>
    </row>
    <row r="301" spans="1:8" ht="15" thickTop="1" x14ac:dyDescent="0.3">
      <c r="A301" s="124"/>
      <c r="B301" s="95"/>
      <c r="C301" s="60"/>
      <c r="D301" s="96"/>
      <c r="E301" s="124"/>
      <c r="F301" s="95"/>
      <c r="G301" s="60"/>
      <c r="H301" s="59"/>
    </row>
    <row r="302" spans="1:8" x14ac:dyDescent="0.3">
      <c r="A302" s="124"/>
      <c r="B302" s="95"/>
      <c r="C302" s="60"/>
      <c r="D302" s="147" t="s">
        <v>285</v>
      </c>
      <c r="E302" s="124" t="s">
        <v>242</v>
      </c>
      <c r="F302" s="95">
        <f>1.9-0.1</f>
        <v>1.7999999999999998</v>
      </c>
      <c r="G302" s="60"/>
      <c r="H302" s="59"/>
    </row>
    <row r="303" spans="1:8" ht="15" thickBot="1" x14ac:dyDescent="0.35">
      <c r="A303" s="124"/>
      <c r="B303" s="95"/>
      <c r="C303" s="60"/>
      <c r="D303" s="96" t="s">
        <v>342</v>
      </c>
      <c r="E303" s="124"/>
      <c r="F303" s="57">
        <f>0.9-0.05</f>
        <v>0.85</v>
      </c>
      <c r="G303" s="111">
        <f>(F302*F303)*4</f>
        <v>6.1199999999999992</v>
      </c>
      <c r="H303" s="59" t="s">
        <v>21</v>
      </c>
    </row>
    <row r="304" spans="1:8" ht="15" thickTop="1" x14ac:dyDescent="0.3">
      <c r="A304" s="124"/>
      <c r="B304" s="95"/>
      <c r="C304" s="60"/>
      <c r="D304" s="96" t="s">
        <v>348</v>
      </c>
      <c r="E304" s="124"/>
      <c r="F304" s="95"/>
      <c r="G304" s="60"/>
      <c r="H304" s="59"/>
    </row>
    <row r="305" spans="1:8" ht="15" thickBot="1" x14ac:dyDescent="0.35">
      <c r="A305" s="124" t="s">
        <v>242</v>
      </c>
      <c r="B305" s="57">
        <v>1.3</v>
      </c>
      <c r="C305" s="111">
        <f>B305*4</f>
        <v>5.2</v>
      </c>
      <c r="D305" s="96" t="s">
        <v>273</v>
      </c>
      <c r="E305" s="124" t="s">
        <v>242</v>
      </c>
      <c r="F305" s="95">
        <f>1.3-0.1</f>
        <v>1.2</v>
      </c>
      <c r="G305" s="60"/>
      <c r="H305" s="59"/>
    </row>
    <row r="306" spans="1:8" ht="15.6" thickTop="1" thickBot="1" x14ac:dyDescent="0.35">
      <c r="A306" s="124"/>
      <c r="B306" s="95"/>
      <c r="C306" s="60"/>
      <c r="D306" s="96"/>
      <c r="E306" s="124"/>
      <c r="F306" s="57">
        <f>0.9-0.05</f>
        <v>0.85</v>
      </c>
      <c r="G306" s="111">
        <f>(F305*F306)*4</f>
        <v>4.08</v>
      </c>
      <c r="H306" s="59" t="s">
        <v>21</v>
      </c>
    </row>
    <row r="307" spans="1:8" ht="15" thickTop="1" x14ac:dyDescent="0.3">
      <c r="A307" s="124"/>
      <c r="B307" s="95"/>
      <c r="C307" s="60"/>
      <c r="D307" s="96" t="s">
        <v>338</v>
      </c>
      <c r="E307" s="124"/>
      <c r="F307" s="95"/>
      <c r="G307" s="60"/>
      <c r="H307" s="59"/>
    </row>
    <row r="308" spans="1:8" ht="15" thickBot="1" x14ac:dyDescent="0.35">
      <c r="A308" s="124" t="s">
        <v>270</v>
      </c>
      <c r="B308" s="57">
        <v>1.9</v>
      </c>
      <c r="C308" s="111">
        <f>B308*2</f>
        <v>3.8</v>
      </c>
      <c r="D308" s="96" t="s">
        <v>46</v>
      </c>
      <c r="E308" s="124"/>
      <c r="F308" s="95"/>
      <c r="G308" s="111">
        <f>C341+G296+G300+G303+G306</f>
        <v>25.559999999999995</v>
      </c>
      <c r="H308" s="125" t="s">
        <v>356</v>
      </c>
    </row>
    <row r="309" spans="1:8" ht="15" thickTop="1" x14ac:dyDescent="0.3">
      <c r="A309" s="124"/>
      <c r="B309" s="95"/>
      <c r="C309" s="60"/>
      <c r="D309" s="96"/>
      <c r="E309" s="124"/>
      <c r="F309" s="95"/>
      <c r="G309" s="60"/>
      <c r="H309" s="59"/>
    </row>
    <row r="310" spans="1:8" ht="15" thickBot="1" x14ac:dyDescent="0.35">
      <c r="A310" s="124" t="s">
        <v>270</v>
      </c>
      <c r="B310" s="57">
        <v>1.3</v>
      </c>
      <c r="C310" s="111">
        <f>B310*2</f>
        <v>2.6</v>
      </c>
      <c r="D310" s="96" t="s">
        <v>46</v>
      </c>
      <c r="E310" s="124"/>
      <c r="F310" s="95"/>
      <c r="G310" s="60"/>
      <c r="H310" s="59" t="s">
        <v>357</v>
      </c>
    </row>
    <row r="311" spans="1:8" ht="15" thickTop="1" x14ac:dyDescent="0.3">
      <c r="A311" s="124"/>
      <c r="B311" s="95"/>
      <c r="C311" s="60"/>
      <c r="D311" s="96"/>
      <c r="E311" s="124"/>
      <c r="F311" s="95"/>
      <c r="G311" s="60"/>
      <c r="H311" s="59" t="s">
        <v>358</v>
      </c>
    </row>
    <row r="312" spans="1:8" ht="15" thickBot="1" x14ac:dyDescent="0.35">
      <c r="A312" s="124"/>
      <c r="B312" s="95"/>
      <c r="C312" s="111">
        <f>C305+C308+C310</f>
        <v>11.6</v>
      </c>
      <c r="D312" s="98" t="s">
        <v>349</v>
      </c>
      <c r="E312" s="124"/>
      <c r="F312" s="95"/>
      <c r="G312" s="60"/>
      <c r="H312" s="59" t="s">
        <v>359</v>
      </c>
    </row>
    <row r="313" spans="1:8" ht="15" thickTop="1" x14ac:dyDescent="0.3">
      <c r="A313" s="124"/>
      <c r="B313" s="95"/>
      <c r="C313" s="60"/>
      <c r="D313" s="96"/>
      <c r="E313" s="124"/>
      <c r="F313" s="95"/>
      <c r="G313" s="60"/>
      <c r="H313" s="59" t="s">
        <v>360</v>
      </c>
    </row>
    <row r="314" spans="1:8" x14ac:dyDescent="0.3">
      <c r="A314" s="124"/>
      <c r="B314" s="95"/>
      <c r="C314" s="60"/>
      <c r="D314" s="96" t="s">
        <v>59</v>
      </c>
      <c r="E314" s="124"/>
      <c r="F314" s="95"/>
      <c r="G314" s="60"/>
      <c r="H314" s="59"/>
    </row>
    <row r="315" spans="1:8" x14ac:dyDescent="0.3">
      <c r="A315" s="124" t="s">
        <v>242</v>
      </c>
      <c r="B315" s="95">
        <v>1.3</v>
      </c>
      <c r="C315" s="60"/>
      <c r="D315" s="96" t="s">
        <v>342</v>
      </c>
      <c r="E315" s="124"/>
      <c r="F315" s="95"/>
      <c r="G315" s="60"/>
      <c r="H315" s="142" t="s">
        <v>361</v>
      </c>
    </row>
    <row r="316" spans="1:8" ht="15" thickBot="1" x14ac:dyDescent="0.35">
      <c r="A316" s="124"/>
      <c r="B316" s="57">
        <v>1.1000000000000001</v>
      </c>
      <c r="C316" s="111">
        <f>(B315*B316)*4</f>
        <v>5.7200000000000006</v>
      </c>
      <c r="D316" s="96"/>
      <c r="E316" s="124" t="s">
        <v>270</v>
      </c>
      <c r="F316" s="57">
        <v>1.5</v>
      </c>
      <c r="G316" s="111">
        <f>F316*2</f>
        <v>3</v>
      </c>
      <c r="H316" s="59" t="s">
        <v>46</v>
      </c>
    </row>
    <row r="317" spans="1:8" ht="15" thickTop="1" x14ac:dyDescent="0.3">
      <c r="A317" s="124"/>
      <c r="B317" s="95"/>
      <c r="C317" s="60"/>
      <c r="D317" s="96" t="s">
        <v>21</v>
      </c>
      <c r="E317" s="124"/>
      <c r="F317" s="95"/>
      <c r="G317" s="60"/>
      <c r="H317" s="59"/>
    </row>
    <row r="318" spans="1:8" ht="15" thickBot="1" x14ac:dyDescent="0.35">
      <c r="A318" s="124" t="s">
        <v>242</v>
      </c>
      <c r="B318" s="95">
        <v>0.9</v>
      </c>
      <c r="C318" s="60"/>
      <c r="D318" s="96"/>
      <c r="E318" s="124" t="s">
        <v>270</v>
      </c>
      <c r="F318" s="57">
        <v>0.9</v>
      </c>
      <c r="G318" s="111">
        <f>F318*2</f>
        <v>1.8</v>
      </c>
      <c r="H318" s="59" t="s">
        <v>46</v>
      </c>
    </row>
    <row r="319" spans="1:8" ht="15.6" thickTop="1" thickBot="1" x14ac:dyDescent="0.35">
      <c r="A319" s="124"/>
      <c r="B319" s="57">
        <v>0.9</v>
      </c>
      <c r="C319" s="111">
        <f>(B318*B319)*4</f>
        <v>3.24</v>
      </c>
      <c r="D319" s="96"/>
      <c r="E319" s="124"/>
      <c r="F319" s="95"/>
      <c r="G319" s="60"/>
      <c r="H319" s="59"/>
    </row>
    <row r="320" spans="1:8" ht="15.6" thickTop="1" thickBot="1" x14ac:dyDescent="0.35">
      <c r="A320" s="124"/>
      <c r="B320" s="95"/>
      <c r="C320" s="60"/>
      <c r="D320" s="96" t="s">
        <v>21</v>
      </c>
      <c r="E320" s="124"/>
      <c r="F320" s="95"/>
      <c r="G320" s="111">
        <f>G316+G318</f>
        <v>4.8</v>
      </c>
      <c r="H320" s="59" t="s">
        <v>362</v>
      </c>
    </row>
    <row r="321" spans="1:8" ht="15" thickTop="1" x14ac:dyDescent="0.3">
      <c r="A321" s="124"/>
      <c r="B321" s="95"/>
      <c r="C321" s="60"/>
      <c r="D321" s="96"/>
      <c r="E321" s="124"/>
      <c r="F321" s="95"/>
      <c r="G321" s="60"/>
      <c r="H321" s="59"/>
    </row>
    <row r="322" spans="1:8" x14ac:dyDescent="0.3">
      <c r="A322" s="124" t="s">
        <v>270</v>
      </c>
      <c r="B322" s="95">
        <v>1.9</v>
      </c>
      <c r="C322" s="60"/>
      <c r="D322" s="96" t="s">
        <v>338</v>
      </c>
      <c r="E322" s="124"/>
      <c r="F322" s="95"/>
      <c r="G322" s="60"/>
      <c r="H322" s="142" t="s">
        <v>364</v>
      </c>
    </row>
    <row r="323" spans="1:8" ht="15" thickBot="1" x14ac:dyDescent="0.35">
      <c r="A323" s="124"/>
      <c r="B323" s="57">
        <v>1.1000000000000001</v>
      </c>
      <c r="C323" s="111">
        <f>(B322*B323)*2</f>
        <v>4.18</v>
      </c>
      <c r="D323" s="96"/>
      <c r="E323" s="124"/>
      <c r="F323" s="95"/>
      <c r="G323" s="60"/>
      <c r="H323" s="59" t="s">
        <v>365</v>
      </c>
    </row>
    <row r="324" spans="1:8" ht="15" thickTop="1" x14ac:dyDescent="0.3">
      <c r="A324" s="124"/>
      <c r="B324" s="95"/>
      <c r="C324" s="60"/>
      <c r="D324" s="96" t="s">
        <v>21</v>
      </c>
      <c r="E324" s="124"/>
      <c r="F324" s="95">
        <f>1.5+0.075</f>
        <v>1.575</v>
      </c>
      <c r="G324" s="60"/>
      <c r="H324" s="59"/>
    </row>
    <row r="325" spans="1:8" ht="15" thickBot="1" x14ac:dyDescent="0.35">
      <c r="A325" s="124" t="s">
        <v>270</v>
      </c>
      <c r="B325" s="95">
        <v>1.3</v>
      </c>
      <c r="C325" s="60"/>
      <c r="D325" s="96"/>
      <c r="E325" s="124"/>
      <c r="F325" s="57">
        <f>0.9+0.075</f>
        <v>0.97499999999999998</v>
      </c>
      <c r="G325" s="111">
        <f>F324*F325</f>
        <v>1.535625</v>
      </c>
      <c r="H325" s="59" t="s">
        <v>21</v>
      </c>
    </row>
    <row r="326" spans="1:8" ht="15.6" thickTop="1" thickBot="1" x14ac:dyDescent="0.35">
      <c r="A326" s="124"/>
      <c r="B326" s="57">
        <v>1.1000000000000001</v>
      </c>
      <c r="C326" s="111">
        <f>(B325*B326)*2</f>
        <v>2.8600000000000003</v>
      </c>
      <c r="D326" s="96"/>
      <c r="E326" s="124"/>
      <c r="F326" s="95"/>
      <c r="G326" s="60"/>
      <c r="H326" s="59"/>
    </row>
    <row r="327" spans="1:8" ht="15" thickTop="1" x14ac:dyDescent="0.3">
      <c r="A327" s="124"/>
      <c r="B327" s="95"/>
      <c r="C327" s="60"/>
      <c r="D327" s="96" t="s">
        <v>21</v>
      </c>
      <c r="E327" s="124"/>
      <c r="F327" s="95"/>
      <c r="G327" s="60"/>
      <c r="H327" s="148" t="s">
        <v>366</v>
      </c>
    </row>
    <row r="328" spans="1:8" x14ac:dyDescent="0.3">
      <c r="A328" s="124" t="s">
        <v>270</v>
      </c>
      <c r="B328" s="95">
        <v>1.5</v>
      </c>
      <c r="C328" s="60"/>
      <c r="D328" s="96"/>
      <c r="E328" s="124"/>
      <c r="F328" s="95"/>
      <c r="G328" s="60"/>
      <c r="H328" s="59" t="s">
        <v>342</v>
      </c>
    </row>
    <row r="329" spans="1:8" ht="15" thickBot="1" x14ac:dyDescent="0.35">
      <c r="A329" s="124"/>
      <c r="B329" s="57">
        <v>0.9</v>
      </c>
      <c r="C329" s="111">
        <f>(B328*B329)*2</f>
        <v>2.7</v>
      </c>
      <c r="D329" s="96"/>
      <c r="E329" s="124"/>
      <c r="F329" s="95">
        <v>1.3</v>
      </c>
      <c r="G329" s="60"/>
      <c r="H329" s="59" t="s">
        <v>327</v>
      </c>
    </row>
    <row r="330" spans="1:8" ht="15" thickTop="1" x14ac:dyDescent="0.3">
      <c r="A330" s="124"/>
      <c r="B330" s="95"/>
      <c r="C330" s="60"/>
      <c r="D330" s="96" t="s">
        <v>21</v>
      </c>
      <c r="E330" s="124"/>
      <c r="F330" s="95">
        <v>1.3</v>
      </c>
      <c r="G330" s="60"/>
      <c r="H330" s="59"/>
    </row>
    <row r="331" spans="1:8" ht="15" thickBot="1" x14ac:dyDescent="0.35">
      <c r="A331" s="124" t="s">
        <v>270</v>
      </c>
      <c r="B331" s="95">
        <v>0.9</v>
      </c>
      <c r="C331" s="60"/>
      <c r="D331" s="96"/>
      <c r="E331" s="124"/>
      <c r="F331" s="57">
        <v>0.2</v>
      </c>
      <c r="G331" s="111">
        <f>F329*F330*F331</f>
        <v>0.33800000000000008</v>
      </c>
      <c r="H331" s="59" t="s">
        <v>18</v>
      </c>
    </row>
    <row r="332" spans="1:8" ht="15.6" thickTop="1" thickBot="1" x14ac:dyDescent="0.35">
      <c r="A332" s="124"/>
      <c r="B332" s="57">
        <v>0.9</v>
      </c>
      <c r="C332" s="111">
        <f>(B331*B332)*2</f>
        <v>1.62</v>
      </c>
      <c r="D332" s="96"/>
      <c r="E332" s="124"/>
      <c r="F332" s="95"/>
      <c r="G332" s="60"/>
      <c r="H332" s="59"/>
    </row>
    <row r="333" spans="1:8" ht="15" thickTop="1" x14ac:dyDescent="0.3">
      <c r="A333" s="124"/>
      <c r="B333" s="95"/>
      <c r="C333" s="60"/>
      <c r="D333" s="96" t="s">
        <v>21</v>
      </c>
      <c r="E333" s="124" t="s">
        <v>242</v>
      </c>
      <c r="F333" s="95">
        <v>1.3</v>
      </c>
      <c r="G333" s="60"/>
      <c r="H333" s="59" t="s">
        <v>59</v>
      </c>
    </row>
    <row r="334" spans="1:8" ht="15" thickBot="1" x14ac:dyDescent="0.35">
      <c r="A334" s="124"/>
      <c r="B334" s="95"/>
      <c r="C334" s="111">
        <f>C316+C319+C323+C326+C329+C332</f>
        <v>20.32</v>
      </c>
      <c r="D334" s="96"/>
      <c r="E334" s="124"/>
      <c r="F334" s="95">
        <v>0.2</v>
      </c>
      <c r="G334" s="60"/>
      <c r="H334" s="59"/>
    </row>
    <row r="335" spans="1:8" ht="15.6" thickTop="1" thickBot="1" x14ac:dyDescent="0.35">
      <c r="A335" s="124"/>
      <c r="B335" s="95"/>
      <c r="C335" s="60"/>
      <c r="D335" s="98" t="s">
        <v>353</v>
      </c>
      <c r="E335" s="124"/>
      <c r="F335" s="57">
        <v>0.9</v>
      </c>
      <c r="G335" s="111">
        <f>(F333*F334*F335)*4</f>
        <v>0.93600000000000005</v>
      </c>
      <c r="H335" s="59" t="s">
        <v>18</v>
      </c>
    </row>
    <row r="336" spans="1:8" ht="15" thickTop="1" x14ac:dyDescent="0.3">
      <c r="A336" s="124"/>
      <c r="B336" s="95"/>
      <c r="C336" s="60"/>
      <c r="D336" s="96"/>
      <c r="E336" s="124"/>
      <c r="F336" s="95"/>
      <c r="G336" s="60"/>
      <c r="H336" s="59"/>
    </row>
    <row r="337" spans="1:8" x14ac:dyDescent="0.3">
      <c r="A337" s="124"/>
      <c r="B337" s="95"/>
      <c r="C337" s="60"/>
      <c r="D337" s="147" t="s">
        <v>182</v>
      </c>
      <c r="E337" s="124"/>
      <c r="F337" s="95"/>
      <c r="G337" s="60"/>
      <c r="H337" s="59" t="s">
        <v>338</v>
      </c>
    </row>
    <row r="338" spans="1:8" x14ac:dyDescent="0.3">
      <c r="A338" s="124"/>
      <c r="B338" s="95"/>
      <c r="C338" s="60"/>
      <c r="D338" s="96" t="s">
        <v>355</v>
      </c>
      <c r="E338" s="124"/>
      <c r="F338" s="95">
        <v>1.9</v>
      </c>
      <c r="G338" s="60"/>
      <c r="H338" s="59" t="s">
        <v>327</v>
      </c>
    </row>
    <row r="339" spans="1:8" x14ac:dyDescent="0.3">
      <c r="A339" s="124"/>
      <c r="B339" s="95"/>
      <c r="C339" s="60"/>
      <c r="D339" s="96" t="s">
        <v>354</v>
      </c>
      <c r="E339" s="124"/>
      <c r="F339" s="95">
        <v>1.3</v>
      </c>
      <c r="G339" s="60"/>
      <c r="H339" s="59"/>
    </row>
    <row r="340" spans="1:8" ht="15" thickBot="1" x14ac:dyDescent="0.35">
      <c r="A340" s="124" t="s">
        <v>270</v>
      </c>
      <c r="B340" s="95">
        <f>1.3-0.1</f>
        <v>1.2</v>
      </c>
      <c r="C340" s="60"/>
      <c r="D340" s="96" t="s">
        <v>342</v>
      </c>
      <c r="E340" s="124"/>
      <c r="F340" s="57">
        <v>0.2</v>
      </c>
      <c r="G340" s="111">
        <f>F338*F339*F340</f>
        <v>0.49399999999999999</v>
      </c>
      <c r="H340" s="59" t="s">
        <v>18</v>
      </c>
    </row>
    <row r="341" spans="1:8" ht="15.6" thickTop="1" thickBot="1" x14ac:dyDescent="0.35">
      <c r="A341" s="124"/>
      <c r="B341" s="57">
        <f>1.3-0.1</f>
        <v>1.2</v>
      </c>
      <c r="C341" s="111">
        <f>(B340*B341)*2</f>
        <v>2.88</v>
      </c>
      <c r="D341" s="96" t="s">
        <v>21</v>
      </c>
      <c r="E341" s="124"/>
      <c r="F341" s="95"/>
      <c r="G341" s="60"/>
      <c r="H341" s="59"/>
    </row>
    <row r="342" spans="1:8" ht="15" thickTop="1" x14ac:dyDescent="0.3">
      <c r="A342" s="124"/>
      <c r="B342" s="95"/>
      <c r="C342" s="126"/>
      <c r="D342" s="96" t="s">
        <v>59</v>
      </c>
      <c r="E342" s="124"/>
      <c r="F342" s="95"/>
      <c r="G342" s="60"/>
      <c r="H342" s="59"/>
    </row>
    <row r="343" spans="1:8" x14ac:dyDescent="0.3">
      <c r="A343" s="124" t="s">
        <v>270</v>
      </c>
      <c r="B343" s="95">
        <v>1.9</v>
      </c>
      <c r="C343" s="60"/>
      <c r="D343" s="96"/>
      <c r="E343" s="124"/>
      <c r="F343" s="95"/>
      <c r="G343" s="60"/>
      <c r="H343" s="148" t="s">
        <v>378</v>
      </c>
    </row>
    <row r="344" spans="1:8" x14ac:dyDescent="0.3">
      <c r="A344" s="124"/>
      <c r="B344" s="95">
        <v>0.2</v>
      </c>
      <c r="C344" s="60"/>
      <c r="D344" s="96"/>
      <c r="E344" s="124"/>
      <c r="F344" s="95">
        <v>123.61</v>
      </c>
      <c r="G344" s="60"/>
      <c r="H344" s="59"/>
    </row>
    <row r="345" spans="1:8" ht="15" thickBot="1" x14ac:dyDescent="0.35">
      <c r="A345" s="124"/>
      <c r="B345" s="57">
        <v>0.9</v>
      </c>
      <c r="C345" s="111">
        <f>(B343*B344*B345)*2</f>
        <v>0.68400000000000005</v>
      </c>
      <c r="D345" s="96" t="s">
        <v>18</v>
      </c>
      <c r="E345" s="124"/>
      <c r="F345" s="95">
        <v>0.75</v>
      </c>
      <c r="G345" s="60"/>
      <c r="H345" s="59"/>
    </row>
    <row r="346" spans="1:8" ht="15.6" thickTop="1" thickBot="1" x14ac:dyDescent="0.35">
      <c r="A346" s="124"/>
      <c r="B346" s="95"/>
      <c r="C346" s="60"/>
      <c r="D346" s="96"/>
      <c r="E346" s="124"/>
      <c r="F346" s="57">
        <v>0.05</v>
      </c>
      <c r="G346" s="111">
        <f>F344*F345*F346</f>
        <v>4.6353749999999998</v>
      </c>
      <c r="H346" s="59" t="s">
        <v>264</v>
      </c>
    </row>
    <row r="347" spans="1:8" ht="15" thickTop="1" x14ac:dyDescent="0.3">
      <c r="A347" s="124" t="s">
        <v>270</v>
      </c>
      <c r="B347" s="95">
        <v>0.9</v>
      </c>
      <c r="C347" s="60"/>
      <c r="D347" s="96"/>
      <c r="E347" s="124"/>
      <c r="F347" s="95"/>
      <c r="G347" s="60"/>
      <c r="H347" s="59"/>
    </row>
    <row r="348" spans="1:8" x14ac:dyDescent="0.3">
      <c r="A348" s="124"/>
      <c r="B348" s="95">
        <v>0.2</v>
      </c>
      <c r="C348" s="60"/>
      <c r="D348" s="96"/>
      <c r="E348" s="124"/>
      <c r="F348" s="95"/>
      <c r="G348" s="60"/>
      <c r="H348" s="148" t="s">
        <v>306</v>
      </c>
    </row>
    <row r="349" spans="1:8" ht="15" thickBot="1" x14ac:dyDescent="0.35">
      <c r="A349" s="124"/>
      <c r="B349" s="57">
        <v>0.9</v>
      </c>
      <c r="C349" s="111">
        <f>(B347*B348*B349)*2</f>
        <v>0.32400000000000007</v>
      </c>
      <c r="D349" s="96" t="s">
        <v>18</v>
      </c>
      <c r="E349" s="124"/>
      <c r="F349" s="95">
        <v>123.61</v>
      </c>
      <c r="G349" s="60"/>
      <c r="H349" s="59"/>
    </row>
    <row r="350" spans="1:8" ht="15" thickTop="1" x14ac:dyDescent="0.3">
      <c r="A350" s="124"/>
      <c r="B350" s="95"/>
      <c r="C350" s="60"/>
      <c r="D350" s="96"/>
      <c r="E350" s="124"/>
      <c r="F350" s="95">
        <v>0.75</v>
      </c>
      <c r="G350" s="60"/>
      <c r="H350" s="59"/>
    </row>
    <row r="351" spans="1:8" ht="15" thickBot="1" x14ac:dyDescent="0.35">
      <c r="A351" s="124"/>
      <c r="B351" s="95"/>
      <c r="C351" s="111">
        <f>G331+G340</f>
        <v>0.83200000000000007</v>
      </c>
      <c r="D351" s="96" t="s">
        <v>367</v>
      </c>
      <c r="E351" s="124"/>
      <c r="F351" s="57">
        <v>0.45</v>
      </c>
      <c r="G351" s="111">
        <f>F349*F350*F351</f>
        <v>41.718375000000002</v>
      </c>
      <c r="H351" s="59" t="s">
        <v>18</v>
      </c>
    </row>
    <row r="352" spans="1:8" ht="15" thickTop="1" x14ac:dyDescent="0.3">
      <c r="A352" s="124"/>
      <c r="B352" s="95"/>
      <c r="C352" s="60"/>
      <c r="D352" s="96"/>
      <c r="E352" s="124"/>
      <c r="F352" s="95"/>
      <c r="G352" s="60"/>
      <c r="H352" s="59"/>
    </row>
    <row r="353" spans="1:8" ht="15" thickBot="1" x14ac:dyDescent="0.35">
      <c r="A353" s="124"/>
      <c r="B353" s="95"/>
      <c r="C353" s="111">
        <f>G335+C345+C349</f>
        <v>1.9440000000000002</v>
      </c>
      <c r="D353" s="96" t="s">
        <v>368</v>
      </c>
      <c r="E353" s="124"/>
      <c r="F353" s="95"/>
      <c r="G353" s="60"/>
      <c r="H353" s="131" t="s">
        <v>167</v>
      </c>
    </row>
    <row r="354" spans="1:8" ht="15" thickTop="1" x14ac:dyDescent="0.3">
      <c r="A354" s="124"/>
      <c r="B354" s="95"/>
      <c r="C354" s="60"/>
      <c r="D354" s="96"/>
      <c r="E354" s="124"/>
      <c r="F354" s="95"/>
      <c r="G354" s="60"/>
      <c r="H354" s="142" t="s">
        <v>285</v>
      </c>
    </row>
    <row r="355" spans="1:8" x14ac:dyDescent="0.3">
      <c r="A355" s="124"/>
      <c r="B355" s="95"/>
      <c r="C355" s="60"/>
      <c r="D355" s="149" t="s">
        <v>117</v>
      </c>
      <c r="E355" s="124"/>
      <c r="F355" s="95">
        <v>21.88</v>
      </c>
      <c r="G355" s="60"/>
      <c r="H355" s="59"/>
    </row>
    <row r="356" spans="1:8" ht="15" thickBot="1" x14ac:dyDescent="0.35">
      <c r="A356" s="124"/>
      <c r="B356" s="95">
        <v>2</v>
      </c>
      <c r="C356" s="60"/>
      <c r="D356" s="96"/>
      <c r="E356" s="124"/>
      <c r="F356" s="57">
        <v>0.6</v>
      </c>
      <c r="G356" s="111">
        <f>F355*F356</f>
        <v>13.127999999999998</v>
      </c>
      <c r="H356" s="59" t="s">
        <v>21</v>
      </c>
    </row>
    <row r="357" spans="1:8" ht="15" thickTop="1" x14ac:dyDescent="0.3">
      <c r="A357" s="124"/>
      <c r="B357" s="95">
        <v>2</v>
      </c>
      <c r="C357" s="60"/>
      <c r="D357" s="96"/>
      <c r="E357" s="124"/>
      <c r="F357" s="95"/>
      <c r="G357" s="60"/>
      <c r="H357" s="59"/>
    </row>
    <row r="358" spans="1:8" ht="15" thickBot="1" x14ac:dyDescent="0.35">
      <c r="A358" s="124"/>
      <c r="B358" s="57">
        <v>130</v>
      </c>
      <c r="C358" s="111">
        <f>B356*B357*B358</f>
        <v>520</v>
      </c>
      <c r="D358" s="96" t="s">
        <v>18</v>
      </c>
      <c r="E358" s="124"/>
      <c r="F358" s="95">
        <v>15.75</v>
      </c>
      <c r="G358" s="60"/>
      <c r="H358" s="59"/>
    </row>
    <row r="359" spans="1:8" ht="15.6" thickTop="1" thickBot="1" x14ac:dyDescent="0.35">
      <c r="A359" s="124"/>
      <c r="B359" s="95"/>
      <c r="C359" s="60"/>
      <c r="D359" s="96"/>
      <c r="E359" s="124"/>
      <c r="F359" s="57">
        <v>1</v>
      </c>
      <c r="G359" s="111">
        <f>F358*F359</f>
        <v>15.75</v>
      </c>
      <c r="H359" s="59" t="s">
        <v>21</v>
      </c>
    </row>
    <row r="360" spans="1:8" ht="15" thickTop="1" x14ac:dyDescent="0.3">
      <c r="A360" s="124"/>
      <c r="B360" s="95"/>
      <c r="C360" s="60"/>
      <c r="D360" s="140" t="s">
        <v>375</v>
      </c>
      <c r="E360" s="124"/>
      <c r="F360" s="95"/>
      <c r="G360" s="60"/>
      <c r="H360" s="59"/>
    </row>
    <row r="361" spans="1:8" ht="15" thickBot="1" x14ac:dyDescent="0.35">
      <c r="A361" s="124"/>
      <c r="B361" s="95">
        <v>2</v>
      </c>
      <c r="C361" s="60"/>
      <c r="D361" s="96"/>
      <c r="E361" s="124"/>
      <c r="F361" s="95"/>
      <c r="G361" s="111">
        <f>G356+G359</f>
        <v>28.878</v>
      </c>
      <c r="H361" s="125" t="s">
        <v>353</v>
      </c>
    </row>
    <row r="362" spans="1:8" ht="15" thickTop="1" x14ac:dyDescent="0.3">
      <c r="A362" s="124"/>
      <c r="B362" s="95">
        <v>0.5</v>
      </c>
      <c r="C362" s="60"/>
      <c r="D362" s="96"/>
      <c r="E362" s="124"/>
      <c r="F362" s="95"/>
      <c r="G362" s="60"/>
      <c r="H362" s="59"/>
    </row>
    <row r="363" spans="1:8" ht="15" thickBot="1" x14ac:dyDescent="0.35">
      <c r="A363" s="124"/>
      <c r="B363" s="57">
        <v>64</v>
      </c>
      <c r="C363" s="111">
        <f>B361*B362*B363</f>
        <v>64</v>
      </c>
      <c r="D363" s="96" t="s">
        <v>18</v>
      </c>
      <c r="E363" s="124"/>
      <c r="F363" s="95"/>
      <c r="G363" s="60"/>
      <c r="H363" s="148" t="s">
        <v>366</v>
      </c>
    </row>
    <row r="364" spans="1:8" ht="15" thickTop="1" x14ac:dyDescent="0.3">
      <c r="A364" s="124"/>
      <c r="B364" s="95"/>
      <c r="C364" s="60"/>
      <c r="D364" s="96"/>
      <c r="E364" s="124"/>
      <c r="F364" s="95">
        <v>21.88</v>
      </c>
      <c r="G364" s="60"/>
      <c r="H364" s="59"/>
    </row>
    <row r="365" spans="1:8" x14ac:dyDescent="0.3">
      <c r="A365" s="124"/>
      <c r="B365" s="95"/>
      <c r="C365" s="60"/>
      <c r="D365" s="149" t="s">
        <v>34</v>
      </c>
      <c r="E365" s="124"/>
      <c r="F365" s="95">
        <v>0.25</v>
      </c>
      <c r="G365" s="60"/>
      <c r="H365" s="59"/>
    </row>
    <row r="366" spans="1:8" ht="15" thickBot="1" x14ac:dyDescent="0.35">
      <c r="A366" s="124"/>
      <c r="B366" s="95"/>
      <c r="C366" s="60"/>
      <c r="D366" s="140" t="s">
        <v>308</v>
      </c>
      <c r="E366" s="124"/>
      <c r="F366" s="57">
        <v>0.6</v>
      </c>
      <c r="G366" s="111">
        <f>F364*F365*F366</f>
        <v>3.2819999999999996</v>
      </c>
      <c r="H366" s="59" t="s">
        <v>18</v>
      </c>
    </row>
    <row r="367" spans="1:8" ht="15" thickTop="1" x14ac:dyDescent="0.3">
      <c r="A367" s="124"/>
      <c r="B367" s="95">
        <v>123.61</v>
      </c>
      <c r="C367" s="60"/>
      <c r="D367" s="96" t="s">
        <v>376</v>
      </c>
      <c r="E367" s="124"/>
      <c r="F367" s="95"/>
      <c r="G367" s="60"/>
      <c r="H367" s="59"/>
    </row>
    <row r="368" spans="1:8" x14ac:dyDescent="0.3">
      <c r="A368" s="124"/>
      <c r="B368" s="95">
        <v>0.75</v>
      </c>
      <c r="C368" s="60"/>
      <c r="D368" s="96"/>
      <c r="E368" s="124"/>
      <c r="F368" s="95">
        <v>15.75</v>
      </c>
      <c r="G368" s="60"/>
      <c r="H368" s="59"/>
    </row>
    <row r="369" spans="1:8" ht="15" thickBot="1" x14ac:dyDescent="0.35">
      <c r="A369" s="124"/>
      <c r="B369" s="57">
        <v>0.45</v>
      </c>
      <c r="C369" s="111">
        <f>B367*B368*B369</f>
        <v>41.718375000000002</v>
      </c>
      <c r="D369" s="96" t="s">
        <v>264</v>
      </c>
      <c r="E369" s="124"/>
      <c r="F369" s="95">
        <v>0.25</v>
      </c>
      <c r="G369" s="60"/>
      <c r="H369" s="59"/>
    </row>
    <row r="370" spans="1:8" ht="15.6" thickTop="1" thickBot="1" x14ac:dyDescent="0.35">
      <c r="A370" s="124"/>
      <c r="B370" s="95"/>
      <c r="C370" s="60"/>
      <c r="D370" s="96"/>
      <c r="E370" s="124"/>
      <c r="F370" s="57">
        <v>1</v>
      </c>
      <c r="G370" s="111">
        <f>F368*F369*F370</f>
        <v>3.9375</v>
      </c>
      <c r="H370" s="59" t="s">
        <v>18</v>
      </c>
    </row>
    <row r="371" spans="1:8" ht="15" thickTop="1" x14ac:dyDescent="0.3">
      <c r="A371" s="124"/>
      <c r="B371" s="95"/>
      <c r="C371" s="60"/>
      <c r="D371" s="140" t="s">
        <v>377</v>
      </c>
      <c r="E371" s="124"/>
      <c r="F371" s="95"/>
      <c r="G371" s="60"/>
      <c r="H371" s="59"/>
    </row>
    <row r="372" spans="1:8" ht="15" thickBot="1" x14ac:dyDescent="0.35">
      <c r="A372" s="114"/>
      <c r="B372" s="60">
        <f>123.6+0.7+0.7</f>
        <v>125</v>
      </c>
      <c r="C372" s="59"/>
      <c r="D372" s="96"/>
      <c r="E372" s="124"/>
      <c r="F372" s="95"/>
      <c r="G372" s="111">
        <f>G366+G370</f>
        <v>7.2195</v>
      </c>
      <c r="H372" s="125" t="s">
        <v>379</v>
      </c>
    </row>
    <row r="373" spans="1:8" ht="15" thickTop="1" x14ac:dyDescent="0.3">
      <c r="A373" s="114"/>
      <c r="B373" s="60">
        <f>1.4</f>
        <v>1.4</v>
      </c>
      <c r="C373" s="59"/>
      <c r="D373" s="96"/>
      <c r="E373" s="124"/>
      <c r="F373" s="95"/>
      <c r="G373" s="60"/>
      <c r="H373" s="59"/>
    </row>
    <row r="374" spans="1:8" ht="15" thickBot="1" x14ac:dyDescent="0.35">
      <c r="A374" s="114"/>
      <c r="B374" s="57">
        <v>0.45</v>
      </c>
      <c r="C374" s="111">
        <f>B372*B373*B374</f>
        <v>78.75</v>
      </c>
      <c r="D374" s="96" t="s">
        <v>18</v>
      </c>
      <c r="E374" s="124"/>
      <c r="F374" s="95"/>
      <c r="G374" s="60"/>
      <c r="H374" s="131" t="s">
        <v>67</v>
      </c>
    </row>
    <row r="375" spans="1:8" ht="15" thickTop="1" x14ac:dyDescent="0.3">
      <c r="A375" s="114"/>
      <c r="B375" s="60"/>
      <c r="C375" s="59"/>
      <c r="D375" s="96"/>
      <c r="E375" s="124"/>
      <c r="F375" s="95"/>
      <c r="G375" s="60"/>
      <c r="H375" s="59"/>
    </row>
    <row r="376" spans="1:8" x14ac:dyDescent="0.3">
      <c r="A376" s="114"/>
      <c r="B376" s="60"/>
      <c r="C376" s="59"/>
      <c r="D376" s="140" t="s">
        <v>336</v>
      </c>
      <c r="E376" s="124"/>
      <c r="F376" s="95"/>
      <c r="G376" s="60"/>
      <c r="H376" s="148" t="s">
        <v>380</v>
      </c>
    </row>
    <row r="377" spans="1:8" x14ac:dyDescent="0.3">
      <c r="A377" s="114"/>
      <c r="B377" s="60">
        <v>123.6</v>
      </c>
      <c r="C377" s="59"/>
      <c r="D377" s="96"/>
      <c r="E377" s="124"/>
      <c r="F377" s="95">
        <v>1022.24</v>
      </c>
      <c r="G377" s="60"/>
      <c r="H377" s="59"/>
    </row>
    <row r="378" spans="1:8" ht="15" thickBot="1" x14ac:dyDescent="0.35">
      <c r="A378" s="114"/>
      <c r="B378" s="57">
        <v>0.75</v>
      </c>
      <c r="C378" s="111">
        <f>B377*B378</f>
        <v>92.699999999999989</v>
      </c>
      <c r="D378" s="96" t="s">
        <v>21</v>
      </c>
      <c r="E378" s="124"/>
      <c r="F378" s="57">
        <v>0.15</v>
      </c>
      <c r="G378" s="111">
        <f>F377*F378</f>
        <v>153.33599999999998</v>
      </c>
      <c r="H378" s="59" t="s">
        <v>18</v>
      </c>
    </row>
    <row r="379" spans="1:8" ht="15" thickTop="1" x14ac:dyDescent="0.3">
      <c r="A379" s="114"/>
      <c r="B379" s="60"/>
      <c r="C379" s="59"/>
      <c r="D379" s="96"/>
      <c r="E379" s="124"/>
      <c r="F379" s="95"/>
      <c r="G379" s="60"/>
      <c r="H379" s="59"/>
    </row>
    <row r="380" spans="1:8" x14ac:dyDescent="0.3">
      <c r="A380" s="114"/>
      <c r="B380" s="60">
        <v>125</v>
      </c>
      <c r="C380" s="59"/>
      <c r="D380" s="96"/>
      <c r="E380" s="124"/>
      <c r="F380" s="95"/>
      <c r="G380" s="60"/>
      <c r="H380" s="148" t="s">
        <v>381</v>
      </c>
    </row>
    <row r="381" spans="1:8" ht="15" thickBot="1" x14ac:dyDescent="0.35">
      <c r="A381" s="114"/>
      <c r="B381" s="57">
        <v>1.4</v>
      </c>
      <c r="C381" s="111">
        <f>B380*B381</f>
        <v>175</v>
      </c>
      <c r="D381" s="96" t="s">
        <v>21</v>
      </c>
      <c r="E381" s="124"/>
      <c r="F381" s="95"/>
      <c r="G381" s="60"/>
      <c r="H381" s="59" t="s">
        <v>382</v>
      </c>
    </row>
    <row r="382" spans="1:8" ht="15" thickTop="1" x14ac:dyDescent="0.3">
      <c r="A382" s="124"/>
      <c r="B382" s="95"/>
      <c r="C382" s="60"/>
      <c r="D382" s="96"/>
      <c r="E382" s="124"/>
      <c r="F382" s="95"/>
      <c r="G382" s="60"/>
      <c r="H382" s="59" t="s">
        <v>343</v>
      </c>
    </row>
    <row r="383" spans="1:8" ht="15" thickBot="1" x14ac:dyDescent="0.35">
      <c r="A383" s="124"/>
      <c r="B383" s="95"/>
      <c r="C383" s="111">
        <f>C378+C381</f>
        <v>267.7</v>
      </c>
      <c r="D383" s="98" t="s">
        <v>339</v>
      </c>
      <c r="E383" s="124"/>
      <c r="F383" s="95">
        <v>150.15</v>
      </c>
      <c r="G383" s="60"/>
      <c r="H383" s="59" t="s">
        <v>383</v>
      </c>
    </row>
    <row r="384" spans="1:8" ht="15.6" thickTop="1" thickBot="1" x14ac:dyDescent="0.35">
      <c r="A384" s="124"/>
      <c r="B384" s="95"/>
      <c r="C384" s="60"/>
      <c r="D384" s="96"/>
      <c r="E384" s="124"/>
      <c r="F384" s="57">
        <v>0.15</v>
      </c>
      <c r="G384" s="111">
        <f>F383*F384</f>
        <v>22.522500000000001</v>
      </c>
      <c r="H384" s="59" t="s">
        <v>21</v>
      </c>
    </row>
    <row r="385" spans="1:8" ht="15" thickTop="1" x14ac:dyDescent="0.3">
      <c r="A385" s="124"/>
      <c r="B385" s="95"/>
      <c r="C385" s="60"/>
      <c r="D385" s="147" t="s">
        <v>317</v>
      </c>
      <c r="E385" s="124"/>
      <c r="F385" s="95"/>
      <c r="G385" s="60"/>
      <c r="H385" s="59"/>
    </row>
    <row r="386" spans="1:8" x14ac:dyDescent="0.3">
      <c r="A386" s="124"/>
      <c r="B386" s="95">
        <v>248.92</v>
      </c>
      <c r="C386" s="60"/>
      <c r="D386" s="96"/>
      <c r="E386" s="124"/>
      <c r="F386" s="95"/>
      <c r="G386" s="60"/>
      <c r="H386" s="59"/>
    </row>
    <row r="387" spans="1:8" ht="15" thickBot="1" x14ac:dyDescent="0.35">
      <c r="A387" s="124"/>
      <c r="B387" s="57">
        <v>0.45</v>
      </c>
      <c r="C387" s="111">
        <f>B386*B387</f>
        <v>112.014</v>
      </c>
      <c r="D387" s="96" t="s">
        <v>21</v>
      </c>
      <c r="E387" s="124"/>
      <c r="F387" s="95"/>
      <c r="G387" s="60"/>
      <c r="H387" s="59"/>
    </row>
    <row r="388" spans="1:8" ht="15" thickTop="1" x14ac:dyDescent="0.3">
      <c r="A388" s="124"/>
      <c r="B388" s="95"/>
      <c r="C388" s="60"/>
      <c r="D388" s="96"/>
      <c r="E388" s="124"/>
      <c r="F388" s="95"/>
      <c r="G388" s="60"/>
      <c r="H388" s="59"/>
    </row>
    <row r="389" spans="1:8" x14ac:dyDescent="0.3">
      <c r="A389" s="124"/>
      <c r="B389" s="95"/>
      <c r="C389" s="60"/>
      <c r="D389" s="96"/>
      <c r="E389" s="124"/>
      <c r="F389" s="95"/>
      <c r="G389" s="60"/>
      <c r="H389" s="59"/>
    </row>
    <row r="390" spans="1:8" x14ac:dyDescent="0.3">
      <c r="A390" s="114"/>
      <c r="B390" s="60"/>
      <c r="C390" s="60"/>
      <c r="D390" s="96"/>
      <c r="E390" s="124"/>
      <c r="F390" s="95"/>
      <c r="G390" s="60"/>
      <c r="H390" s="59"/>
    </row>
    <row r="391" spans="1:8" x14ac:dyDescent="0.3">
      <c r="A391" s="114"/>
      <c r="B391" s="60"/>
      <c r="C391" s="60"/>
      <c r="D391" s="96"/>
      <c r="E391" s="124"/>
      <c r="F391" s="95"/>
      <c r="G391" s="60"/>
      <c r="H391" s="59"/>
    </row>
    <row r="392" spans="1:8" x14ac:dyDescent="0.3">
      <c r="A392" s="114"/>
      <c r="B392" s="60"/>
      <c r="C392" s="60"/>
      <c r="D392" s="147" t="s">
        <v>182</v>
      </c>
      <c r="E392" s="124"/>
      <c r="F392" s="95"/>
      <c r="G392" s="60"/>
      <c r="H392" s="59"/>
    </row>
    <row r="393" spans="1:8" x14ac:dyDescent="0.3">
      <c r="A393" s="114"/>
      <c r="B393" s="60"/>
      <c r="C393" s="60"/>
      <c r="D393" s="96" t="s">
        <v>384</v>
      </c>
      <c r="E393" s="124"/>
      <c r="F393" s="95"/>
      <c r="G393" s="60"/>
      <c r="H393" s="59"/>
    </row>
    <row r="394" spans="1:8" x14ac:dyDescent="0.3">
      <c r="A394" s="114"/>
      <c r="B394" s="60"/>
      <c r="C394" s="60"/>
      <c r="D394" s="96" t="s">
        <v>382</v>
      </c>
      <c r="E394" s="124"/>
      <c r="F394" s="95"/>
      <c r="G394" s="60"/>
      <c r="H394" s="59"/>
    </row>
    <row r="395" spans="1:8" x14ac:dyDescent="0.3">
      <c r="A395" s="114"/>
      <c r="B395" s="60"/>
      <c r="C395" s="60"/>
      <c r="D395" s="59" t="s">
        <v>357</v>
      </c>
      <c r="E395" s="124"/>
      <c r="F395" s="95"/>
      <c r="G395" s="60"/>
      <c r="H395" s="59"/>
    </row>
    <row r="396" spans="1:8" x14ac:dyDescent="0.3">
      <c r="A396" s="114"/>
      <c r="B396" s="60"/>
      <c r="C396" s="60"/>
      <c r="D396" s="59" t="s">
        <v>358</v>
      </c>
      <c r="E396" s="124"/>
      <c r="F396" s="95"/>
      <c r="G396" s="60"/>
      <c r="H396" s="59"/>
    </row>
    <row r="397" spans="1:8" x14ac:dyDescent="0.3">
      <c r="A397" s="114"/>
      <c r="B397" s="60"/>
      <c r="C397" s="60"/>
      <c r="D397" s="59" t="s">
        <v>359</v>
      </c>
      <c r="E397" s="124"/>
      <c r="F397" s="95"/>
      <c r="G397" s="60"/>
      <c r="H397" s="59"/>
    </row>
    <row r="398" spans="1:8" x14ac:dyDescent="0.3">
      <c r="A398" s="114"/>
      <c r="B398" s="60"/>
      <c r="C398" s="60"/>
      <c r="D398" s="59" t="s">
        <v>385</v>
      </c>
      <c r="E398" s="124"/>
      <c r="F398" s="95"/>
      <c r="G398" s="60"/>
      <c r="H398" s="59"/>
    </row>
    <row r="399" spans="1:8" x14ac:dyDescent="0.3">
      <c r="A399" s="114"/>
      <c r="B399" s="60"/>
      <c r="C399" s="60"/>
      <c r="D399" s="96"/>
      <c r="E399" s="124"/>
      <c r="F399" s="95"/>
      <c r="G399" s="60"/>
      <c r="H399" s="59"/>
    </row>
    <row r="400" spans="1:8" x14ac:dyDescent="0.3">
      <c r="A400" s="114"/>
      <c r="B400" s="60"/>
      <c r="C400" s="60"/>
      <c r="D400" s="147" t="s">
        <v>301</v>
      </c>
      <c r="E400" s="124"/>
      <c r="F400" s="95"/>
      <c r="G400" s="60"/>
      <c r="H400" s="59"/>
    </row>
    <row r="401" spans="1:8" x14ac:dyDescent="0.3">
      <c r="A401" s="114"/>
      <c r="B401" s="60">
        <v>1022.24</v>
      </c>
      <c r="C401" s="60"/>
      <c r="D401" s="96"/>
      <c r="E401" s="124"/>
      <c r="F401" s="95"/>
      <c r="G401" s="60"/>
      <c r="H401" s="59"/>
    </row>
    <row r="402" spans="1:8" ht="15" thickBot="1" x14ac:dyDescent="0.35">
      <c r="A402" s="114"/>
      <c r="B402" s="57">
        <v>0.05</v>
      </c>
      <c r="C402" s="111">
        <f>B401*B402</f>
        <v>51.112000000000002</v>
      </c>
      <c r="D402" s="96" t="s">
        <v>18</v>
      </c>
      <c r="E402" s="124"/>
      <c r="F402" s="95"/>
      <c r="G402" s="60"/>
      <c r="H402" s="59"/>
    </row>
    <row r="403" spans="1:8" ht="15" thickTop="1" x14ac:dyDescent="0.3">
      <c r="A403" s="114"/>
      <c r="B403" s="60"/>
      <c r="C403" s="60"/>
      <c r="D403" s="96"/>
      <c r="E403" s="124"/>
      <c r="F403" s="95"/>
      <c r="G403" s="60"/>
      <c r="H403" s="59"/>
    </row>
    <row r="404" spans="1:8" x14ac:dyDescent="0.3">
      <c r="A404" s="114"/>
      <c r="B404" s="60"/>
      <c r="C404" s="61"/>
      <c r="D404" s="145" t="s">
        <v>366</v>
      </c>
      <c r="E404" s="139"/>
      <c r="F404" s="95"/>
      <c r="G404" s="60"/>
      <c r="H404" s="59"/>
    </row>
    <row r="405" spans="1:8" x14ac:dyDescent="0.3">
      <c r="A405" s="114"/>
      <c r="B405" s="60">
        <v>1022.24</v>
      </c>
      <c r="C405" s="60"/>
      <c r="D405" s="96"/>
      <c r="E405" s="124"/>
      <c r="F405" s="95"/>
      <c r="G405" s="60"/>
      <c r="H405" s="59"/>
    </row>
    <row r="406" spans="1:8" ht="15" thickBot="1" x14ac:dyDescent="0.35">
      <c r="A406" s="114"/>
      <c r="B406" s="57">
        <v>0.15</v>
      </c>
      <c r="C406" s="111">
        <f>B405*B406</f>
        <v>153.33599999999998</v>
      </c>
      <c r="D406" s="96" t="s">
        <v>18</v>
      </c>
      <c r="E406" s="124"/>
      <c r="F406" s="95"/>
      <c r="G406" s="60"/>
      <c r="H406" s="59"/>
    </row>
    <row r="407" spans="1:8" ht="15" thickTop="1" x14ac:dyDescent="0.3">
      <c r="A407" s="114"/>
      <c r="B407" s="60"/>
      <c r="C407" s="60"/>
      <c r="D407" s="96"/>
      <c r="E407" s="124"/>
      <c r="F407" s="95"/>
      <c r="G407" s="60"/>
      <c r="H407" s="59"/>
    </row>
    <row r="408" spans="1:8" x14ac:dyDescent="0.3">
      <c r="A408" s="114"/>
      <c r="B408" s="60"/>
      <c r="C408" s="60"/>
      <c r="D408" s="97" t="s">
        <v>386</v>
      </c>
      <c r="E408" s="124"/>
      <c r="F408" s="95"/>
      <c r="G408" s="60"/>
      <c r="H408" s="59"/>
    </row>
    <row r="409" spans="1:8" x14ac:dyDescent="0.3">
      <c r="A409" s="114"/>
      <c r="B409" s="60">
        <v>150.15</v>
      </c>
      <c r="C409" s="60"/>
      <c r="D409" s="96" t="s">
        <v>387</v>
      </c>
      <c r="E409" s="124"/>
      <c r="F409" s="95"/>
      <c r="G409" s="60"/>
      <c r="H409" s="59"/>
    </row>
    <row r="410" spans="1:8" x14ac:dyDescent="0.3">
      <c r="A410" s="114"/>
      <c r="B410" s="60">
        <v>0.15</v>
      </c>
      <c r="C410" s="60"/>
      <c r="D410" s="96"/>
      <c r="E410" s="124"/>
      <c r="F410" s="95"/>
      <c r="G410" s="60"/>
      <c r="H410" s="59"/>
    </row>
    <row r="411" spans="1:8" ht="15" thickBot="1" x14ac:dyDescent="0.35">
      <c r="A411" s="114"/>
      <c r="B411" s="57">
        <v>0.15</v>
      </c>
      <c r="C411" s="111">
        <f>B409*B410*B411</f>
        <v>3.3783750000000001</v>
      </c>
      <c r="D411" s="96" t="s">
        <v>18</v>
      </c>
      <c r="E411" s="124"/>
      <c r="F411" s="95"/>
      <c r="G411" s="60"/>
      <c r="H411" s="59"/>
    </row>
    <row r="412" spans="1:8" ht="15" thickTop="1" x14ac:dyDescent="0.3">
      <c r="A412" s="114"/>
      <c r="B412" s="60"/>
      <c r="C412" s="60"/>
      <c r="D412" s="96"/>
      <c r="E412" s="124"/>
      <c r="F412" s="95"/>
      <c r="G412" s="60"/>
      <c r="H412" s="59"/>
    </row>
    <row r="413" spans="1:8" x14ac:dyDescent="0.3">
      <c r="A413" s="114"/>
      <c r="B413" s="60"/>
      <c r="C413" s="60"/>
      <c r="D413" s="96"/>
      <c r="E413" s="124"/>
      <c r="F413" s="95"/>
      <c r="G413" s="60"/>
      <c r="H413" s="59"/>
    </row>
    <row r="414" spans="1:8" x14ac:dyDescent="0.3">
      <c r="A414" s="114"/>
      <c r="B414" s="60"/>
      <c r="C414" s="60"/>
      <c r="D414" s="96"/>
      <c r="E414" s="124"/>
      <c r="F414" s="95"/>
      <c r="G414" s="60"/>
      <c r="H414" s="59"/>
    </row>
    <row r="415" spans="1:8" x14ac:dyDescent="0.3">
      <c r="A415" s="114"/>
      <c r="B415" s="60"/>
      <c r="C415" s="60"/>
      <c r="D415" s="96"/>
      <c r="E415" s="124"/>
      <c r="F415" s="95"/>
      <c r="G415" s="60"/>
      <c r="H415" s="59"/>
    </row>
    <row r="416" spans="1:8" x14ac:dyDescent="0.3">
      <c r="A416" s="114"/>
      <c r="B416" s="60"/>
      <c r="C416" s="60"/>
      <c r="D416" s="96"/>
      <c r="E416" s="124"/>
      <c r="F416" s="95"/>
      <c r="G416" s="60"/>
      <c r="H416" s="59"/>
    </row>
    <row r="417" spans="1:8" x14ac:dyDescent="0.3">
      <c r="A417" s="114"/>
      <c r="B417" s="60"/>
      <c r="C417" s="60"/>
      <c r="D417" s="96"/>
      <c r="E417" s="124"/>
      <c r="F417" s="95"/>
      <c r="G417" s="60"/>
      <c r="H417" s="59"/>
    </row>
    <row r="418" spans="1:8" x14ac:dyDescent="0.3">
      <c r="A418" s="114"/>
      <c r="B418" s="60"/>
      <c r="C418" s="60"/>
      <c r="D418" s="96"/>
      <c r="E418" s="124"/>
      <c r="F418" s="95"/>
      <c r="G418" s="60"/>
      <c r="H418" s="59"/>
    </row>
    <row r="419" spans="1:8" x14ac:dyDescent="0.3">
      <c r="A419" s="114"/>
      <c r="B419" s="60"/>
      <c r="C419" s="60"/>
      <c r="D419" s="96"/>
      <c r="E419" s="124"/>
      <c r="F419" s="95"/>
      <c r="G419" s="60"/>
      <c r="H419" s="59"/>
    </row>
    <row r="420" spans="1:8" x14ac:dyDescent="0.3">
      <c r="A420" s="114"/>
      <c r="B420" s="60"/>
      <c r="C420" s="60"/>
      <c r="D420" s="96"/>
      <c r="E420" s="124"/>
      <c r="F420" s="95"/>
      <c r="G420" s="60"/>
      <c r="H420" s="59"/>
    </row>
    <row r="421" spans="1:8" x14ac:dyDescent="0.3">
      <c r="A421" s="114"/>
      <c r="B421" s="60"/>
      <c r="C421" s="60"/>
      <c r="D421" s="96"/>
      <c r="E421" s="124"/>
      <c r="F421" s="95"/>
      <c r="G421" s="60"/>
      <c r="H421" s="59"/>
    </row>
    <row r="422" spans="1:8" x14ac:dyDescent="0.3">
      <c r="A422" s="114"/>
      <c r="B422" s="60"/>
      <c r="C422" s="60"/>
      <c r="D422" s="96"/>
      <c r="E422" s="124"/>
      <c r="F422" s="95"/>
      <c r="G422" s="60"/>
      <c r="H422" s="59"/>
    </row>
    <row r="423" spans="1:8" x14ac:dyDescent="0.3">
      <c r="A423" s="114"/>
      <c r="B423" s="60"/>
      <c r="C423" s="60"/>
      <c r="D423" s="96"/>
      <c r="E423" s="124"/>
      <c r="F423" s="95"/>
      <c r="G423" s="60"/>
      <c r="H423" s="59"/>
    </row>
    <row r="424" spans="1:8" x14ac:dyDescent="0.3">
      <c r="A424" s="114"/>
      <c r="B424" s="60"/>
      <c r="C424" s="60"/>
      <c r="D424" s="96"/>
      <c r="E424" s="124"/>
      <c r="F424" s="95"/>
      <c r="G424" s="60"/>
      <c r="H424" s="59"/>
    </row>
    <row r="425" spans="1:8" x14ac:dyDescent="0.3">
      <c r="A425" s="114"/>
      <c r="B425" s="60"/>
      <c r="C425" s="60"/>
      <c r="D425" s="96"/>
      <c r="E425" s="124"/>
      <c r="F425" s="95"/>
      <c r="G425" s="60"/>
      <c r="H425" s="59"/>
    </row>
    <row r="426" spans="1:8" x14ac:dyDescent="0.3">
      <c r="A426" s="114"/>
      <c r="B426" s="60"/>
      <c r="C426" s="60"/>
      <c r="D426" s="96"/>
      <c r="E426" s="124"/>
      <c r="F426" s="95"/>
      <c r="G426" s="60"/>
      <c r="H426" s="59"/>
    </row>
    <row r="427" spans="1:8" x14ac:dyDescent="0.3">
      <c r="A427" s="114"/>
      <c r="B427" s="60"/>
      <c r="C427" s="60"/>
      <c r="D427" s="96"/>
      <c r="E427" s="124"/>
      <c r="F427" s="95"/>
      <c r="G427" s="60"/>
      <c r="H427" s="59"/>
    </row>
    <row r="428" spans="1:8" x14ac:dyDescent="0.3">
      <c r="A428" s="114"/>
      <c r="B428" s="60"/>
      <c r="C428" s="60"/>
      <c r="D428" s="96"/>
      <c r="E428" s="124"/>
      <c r="F428" s="95"/>
      <c r="G428" s="60"/>
      <c r="H428" s="59"/>
    </row>
    <row r="429" spans="1:8" x14ac:dyDescent="0.3">
      <c r="A429" s="114"/>
      <c r="B429" s="60"/>
      <c r="C429" s="60"/>
      <c r="D429" s="96"/>
      <c r="E429" s="124"/>
      <c r="F429" s="95"/>
      <c r="G429" s="60"/>
      <c r="H429" s="59"/>
    </row>
    <row r="430" spans="1:8" x14ac:dyDescent="0.3">
      <c r="A430" s="114"/>
      <c r="B430" s="60"/>
      <c r="C430" s="60"/>
      <c r="D430" s="96"/>
      <c r="E430" s="124"/>
      <c r="F430" s="95"/>
      <c r="G430" s="60"/>
      <c r="H430" s="59"/>
    </row>
    <row r="431" spans="1:8" x14ac:dyDescent="0.3">
      <c r="A431" s="114"/>
      <c r="B431" s="60"/>
      <c r="C431" s="60"/>
      <c r="D431" s="96"/>
      <c r="E431" s="124"/>
      <c r="F431" s="95"/>
      <c r="G431" s="60"/>
      <c r="H431" s="59"/>
    </row>
    <row r="432" spans="1:8" x14ac:dyDescent="0.3">
      <c r="A432" s="114"/>
      <c r="B432" s="60"/>
      <c r="C432" s="60"/>
      <c r="D432" s="96"/>
      <c r="E432" s="124"/>
      <c r="F432" s="95"/>
      <c r="G432" s="60"/>
      <c r="H432" s="59"/>
    </row>
    <row r="433" spans="1:8" x14ac:dyDescent="0.3">
      <c r="A433" s="114"/>
      <c r="B433" s="60"/>
      <c r="C433" s="60"/>
      <c r="D433" s="96"/>
      <c r="E433" s="124"/>
      <c r="F433" s="95"/>
      <c r="G433" s="60"/>
      <c r="H433" s="59"/>
    </row>
    <row r="434" spans="1:8" x14ac:dyDescent="0.3">
      <c r="A434" s="114"/>
      <c r="B434" s="60"/>
      <c r="C434" s="60"/>
      <c r="D434" s="96"/>
      <c r="E434" s="124"/>
      <c r="F434" s="95"/>
      <c r="G434" s="60"/>
      <c r="H434" s="59"/>
    </row>
    <row r="435" spans="1:8" x14ac:dyDescent="0.3">
      <c r="A435" s="114"/>
      <c r="B435" s="60"/>
      <c r="C435" s="60"/>
      <c r="D435" s="96"/>
      <c r="E435" s="124"/>
      <c r="F435" s="95"/>
      <c r="G435" s="60"/>
      <c r="H435" s="59"/>
    </row>
    <row r="436" spans="1:8" x14ac:dyDescent="0.3">
      <c r="A436" s="114"/>
      <c r="B436" s="60"/>
      <c r="C436" s="60"/>
      <c r="D436" s="96"/>
      <c r="E436" s="124"/>
      <c r="F436" s="95"/>
      <c r="G436" s="60"/>
      <c r="H436" s="59"/>
    </row>
    <row r="437" spans="1:8" x14ac:dyDescent="0.3">
      <c r="A437" s="114"/>
      <c r="B437" s="60"/>
      <c r="C437" s="60"/>
      <c r="D437" s="96"/>
      <c r="E437" s="124"/>
      <c r="F437" s="95"/>
      <c r="G437" s="60"/>
      <c r="H437" s="59"/>
    </row>
    <row r="438" spans="1:8" x14ac:dyDescent="0.3">
      <c r="A438" s="114"/>
      <c r="B438" s="60"/>
      <c r="C438" s="60"/>
      <c r="D438" s="96"/>
      <c r="E438" s="124"/>
      <c r="F438" s="95"/>
      <c r="G438" s="60"/>
      <c r="H438" s="59"/>
    </row>
    <row r="439" spans="1:8" x14ac:dyDescent="0.3">
      <c r="A439" s="114"/>
      <c r="B439" s="60"/>
      <c r="C439" s="60"/>
      <c r="D439" s="96"/>
      <c r="E439" s="124"/>
      <c r="F439" s="95"/>
      <c r="G439" s="60"/>
      <c r="H439" s="59"/>
    </row>
    <row r="440" spans="1:8" x14ac:dyDescent="0.3">
      <c r="A440" s="114"/>
      <c r="B440" s="95"/>
      <c r="C440" s="95"/>
      <c r="D440" s="96"/>
      <c r="E440" s="124"/>
      <c r="F440" s="95"/>
      <c r="G440" s="95"/>
      <c r="H440" s="59"/>
    </row>
    <row r="441" spans="1:8" x14ac:dyDescent="0.3">
      <c r="A441" s="114"/>
      <c r="B441" s="95"/>
      <c r="C441" s="95"/>
      <c r="D441" s="96"/>
      <c r="E441" s="124"/>
      <c r="F441" s="95"/>
      <c r="G441" s="95"/>
      <c r="H441" s="59"/>
    </row>
    <row r="442" spans="1:8" x14ac:dyDescent="0.3">
      <c r="A442" s="114"/>
      <c r="B442" s="95"/>
      <c r="C442" s="95"/>
      <c r="D442" s="96"/>
      <c r="E442" s="124"/>
      <c r="F442" s="95"/>
      <c r="G442" s="95"/>
      <c r="H442" s="59"/>
    </row>
    <row r="443" spans="1:8" x14ac:dyDescent="0.3">
      <c r="A443" s="114"/>
      <c r="B443" s="95"/>
      <c r="C443" s="95"/>
      <c r="D443" s="96"/>
      <c r="E443" s="124"/>
      <c r="F443" s="95"/>
      <c r="G443" s="95"/>
      <c r="H443" s="59"/>
    </row>
    <row r="444" spans="1:8" x14ac:dyDescent="0.3">
      <c r="A444" s="114"/>
      <c r="B444" s="95"/>
      <c r="C444" s="95"/>
      <c r="D444" s="96"/>
      <c r="E444" s="124"/>
      <c r="F444" s="95"/>
      <c r="G444" s="95"/>
      <c r="H444" s="59"/>
    </row>
    <row r="445" spans="1:8" x14ac:dyDescent="0.3">
      <c r="A445" s="114"/>
      <c r="B445" s="95"/>
      <c r="C445" s="95"/>
      <c r="D445" s="96"/>
      <c r="E445" s="124"/>
      <c r="F445" s="95"/>
      <c r="G445" s="95"/>
      <c r="H445" s="59"/>
    </row>
    <row r="446" spans="1:8" x14ac:dyDescent="0.3">
      <c r="A446" s="114"/>
      <c r="B446" s="95"/>
      <c r="C446" s="95"/>
      <c r="D446" s="96"/>
      <c r="E446" s="124"/>
      <c r="F446" s="95"/>
      <c r="G446" s="95"/>
      <c r="H446" s="59"/>
    </row>
    <row r="447" spans="1:8" x14ac:dyDescent="0.3">
      <c r="A447" s="114"/>
      <c r="B447" s="95"/>
      <c r="C447" s="95"/>
      <c r="D447" s="96"/>
      <c r="E447" s="124"/>
      <c r="F447" s="95"/>
      <c r="G447" s="95"/>
      <c r="H447" s="59"/>
    </row>
    <row r="448" spans="1:8" x14ac:dyDescent="0.3">
      <c r="A448" s="114"/>
      <c r="B448" s="95"/>
      <c r="C448" s="95"/>
      <c r="D448" s="96"/>
      <c r="E448" s="124"/>
      <c r="F448" s="95"/>
      <c r="G448" s="95"/>
      <c r="H448" s="59"/>
    </row>
    <row r="449" spans="1:8" x14ac:dyDescent="0.3">
      <c r="A449" s="114"/>
      <c r="B449" s="95"/>
      <c r="C449" s="95"/>
      <c r="D449" s="96"/>
      <c r="E449" s="124"/>
      <c r="F449" s="95"/>
      <c r="G449" s="95"/>
      <c r="H449" s="59"/>
    </row>
    <row r="450" spans="1:8" x14ac:dyDescent="0.3">
      <c r="A450" s="114"/>
      <c r="B450" s="95"/>
      <c r="C450" s="95"/>
      <c r="D450" s="96"/>
      <c r="E450" s="124"/>
      <c r="F450" s="95"/>
      <c r="G450" s="95"/>
      <c r="H450" s="59"/>
    </row>
    <row r="451" spans="1:8" x14ac:dyDescent="0.3">
      <c r="A451" s="114"/>
      <c r="B451" s="95"/>
      <c r="C451" s="95"/>
      <c r="D451" s="96"/>
      <c r="E451" s="124"/>
      <c r="F451" s="95"/>
      <c r="G451" s="95"/>
      <c r="H451" s="59"/>
    </row>
    <row r="452" spans="1:8" x14ac:dyDescent="0.3">
      <c r="A452" s="114"/>
      <c r="B452" s="95"/>
      <c r="C452" s="95"/>
      <c r="D452" s="96"/>
      <c r="E452" s="124"/>
      <c r="F452" s="95"/>
      <c r="G452" s="95"/>
      <c r="H452" s="59"/>
    </row>
    <row r="453" spans="1:8" x14ac:dyDescent="0.3">
      <c r="A453" s="114"/>
      <c r="B453" s="95"/>
      <c r="C453" s="95"/>
      <c r="D453" s="96"/>
      <c r="E453" s="124"/>
      <c r="F453" s="95"/>
      <c r="G453" s="95"/>
      <c r="H453" s="59"/>
    </row>
    <row r="454" spans="1:8" x14ac:dyDescent="0.3">
      <c r="A454" s="114"/>
      <c r="B454" s="95"/>
      <c r="C454" s="95"/>
      <c r="D454" s="96"/>
      <c r="E454" s="124"/>
      <c r="F454" s="95"/>
      <c r="G454" s="95"/>
      <c r="H454" s="59"/>
    </row>
    <row r="455" spans="1:8" x14ac:dyDescent="0.3">
      <c r="A455" s="114"/>
      <c r="B455" s="95"/>
      <c r="C455" s="95"/>
      <c r="D455" s="96"/>
      <c r="E455" s="124"/>
      <c r="F455" s="95"/>
      <c r="G455" s="95"/>
      <c r="H455" s="59"/>
    </row>
    <row r="456" spans="1:8" x14ac:dyDescent="0.3">
      <c r="A456" s="114"/>
      <c r="B456" s="95"/>
      <c r="C456" s="95"/>
      <c r="D456" s="96"/>
      <c r="E456" s="124"/>
      <c r="F456" s="95"/>
      <c r="G456" s="95"/>
      <c r="H456" s="59"/>
    </row>
    <row r="457" spans="1:8" x14ac:dyDescent="0.3">
      <c r="A457" s="114"/>
      <c r="B457" s="95"/>
      <c r="C457" s="95"/>
      <c r="D457" s="96"/>
      <c r="E457" s="124"/>
      <c r="F457" s="95"/>
      <c r="G457" s="95"/>
      <c r="H457" s="59"/>
    </row>
    <row r="458" spans="1:8" x14ac:dyDescent="0.3">
      <c r="A458" s="114"/>
      <c r="B458" s="95"/>
      <c r="C458" s="95"/>
      <c r="D458" s="96"/>
      <c r="E458" s="124"/>
      <c r="F458" s="95"/>
      <c r="G458" s="95"/>
      <c r="H458" s="59"/>
    </row>
    <row r="459" spans="1:8" x14ac:dyDescent="0.3">
      <c r="A459" s="114"/>
      <c r="B459" s="95"/>
      <c r="C459" s="95"/>
      <c r="D459" s="96"/>
      <c r="E459" s="124"/>
      <c r="F459" s="95"/>
      <c r="G459" s="95"/>
      <c r="H459" s="59"/>
    </row>
    <row r="460" spans="1:8" x14ac:dyDescent="0.3">
      <c r="A460" s="114"/>
      <c r="B460" s="95"/>
      <c r="C460" s="95"/>
      <c r="D460" s="96"/>
      <c r="E460" s="124"/>
      <c r="F460" s="95"/>
      <c r="G460" s="95"/>
      <c r="H460" s="59"/>
    </row>
    <row r="461" spans="1:8" x14ac:dyDescent="0.3">
      <c r="A461" s="114"/>
      <c r="B461" s="95"/>
      <c r="C461" s="95"/>
      <c r="D461" s="96"/>
      <c r="E461" s="124"/>
      <c r="F461" s="95"/>
      <c r="G461" s="95"/>
      <c r="H461" s="59"/>
    </row>
    <row r="462" spans="1:8" x14ac:dyDescent="0.3">
      <c r="A462" s="114"/>
      <c r="B462" s="95"/>
      <c r="C462" s="95"/>
      <c r="D462" s="96"/>
      <c r="E462" s="124"/>
      <c r="F462" s="95"/>
      <c r="G462" s="95"/>
      <c r="H462" s="59"/>
    </row>
    <row r="463" spans="1:8" x14ac:dyDescent="0.3">
      <c r="A463" s="114"/>
      <c r="B463" s="95"/>
      <c r="C463" s="95"/>
      <c r="D463" s="96"/>
      <c r="E463" s="124"/>
      <c r="F463" s="95"/>
      <c r="G463" s="95"/>
      <c r="H463" s="59"/>
    </row>
    <row r="464" spans="1:8" x14ac:dyDescent="0.3">
      <c r="A464" s="114"/>
      <c r="B464" s="95"/>
      <c r="C464" s="95"/>
      <c r="D464" s="96"/>
      <c r="E464" s="124"/>
      <c r="F464" s="95"/>
      <c r="G464" s="95"/>
      <c r="H464" s="59"/>
    </row>
    <row r="465" spans="1:8" x14ac:dyDescent="0.3">
      <c r="A465" s="114"/>
      <c r="B465" s="95"/>
      <c r="C465" s="95"/>
      <c r="D465" s="96"/>
      <c r="E465" s="124"/>
      <c r="F465" s="95"/>
      <c r="G465" s="95"/>
      <c r="H465" s="59"/>
    </row>
    <row r="466" spans="1:8" x14ac:dyDescent="0.3">
      <c r="A466" s="114"/>
      <c r="B466" s="95"/>
      <c r="C466" s="95"/>
      <c r="D466" s="96"/>
      <c r="E466" s="124"/>
      <c r="F466" s="95"/>
      <c r="G466" s="95"/>
      <c r="H466" s="59"/>
    </row>
    <row r="467" spans="1:8" x14ac:dyDescent="0.3">
      <c r="A467" s="114"/>
      <c r="B467" s="95"/>
      <c r="C467" s="95"/>
      <c r="D467" s="96"/>
      <c r="E467" s="124"/>
      <c r="F467" s="95"/>
      <c r="G467" s="95"/>
      <c r="H467" s="59"/>
    </row>
    <row r="468" spans="1:8" x14ac:dyDescent="0.3">
      <c r="A468" s="114"/>
      <c r="B468" s="95"/>
      <c r="C468" s="95"/>
      <c r="D468" s="96"/>
      <c r="E468" s="124"/>
      <c r="F468" s="95"/>
      <c r="G468" s="95"/>
      <c r="H468" s="59"/>
    </row>
    <row r="469" spans="1:8" x14ac:dyDescent="0.3">
      <c r="A469" s="114"/>
      <c r="B469" s="95"/>
      <c r="C469" s="95"/>
      <c r="D469" s="96"/>
      <c r="E469" s="124"/>
      <c r="F469" s="95"/>
      <c r="G469" s="95"/>
      <c r="H469" s="59"/>
    </row>
    <row r="470" spans="1:8" x14ac:dyDescent="0.3">
      <c r="A470" s="114"/>
      <c r="B470" s="95"/>
      <c r="C470" s="95"/>
      <c r="D470" s="96"/>
      <c r="E470" s="124"/>
      <c r="F470" s="95"/>
      <c r="G470" s="95"/>
      <c r="H470" s="59"/>
    </row>
    <row r="471" spans="1:8" x14ac:dyDescent="0.3">
      <c r="A471" s="114"/>
      <c r="B471" s="95"/>
      <c r="C471" s="95"/>
      <c r="D471" s="96"/>
      <c r="E471" s="124"/>
      <c r="F471" s="95"/>
      <c r="G471" s="95"/>
      <c r="H471" s="59"/>
    </row>
    <row r="472" spans="1:8" x14ac:dyDescent="0.3">
      <c r="A472" s="114"/>
      <c r="B472" s="95"/>
      <c r="C472" s="95"/>
      <c r="D472" s="96"/>
      <c r="E472" s="124"/>
      <c r="F472" s="95"/>
      <c r="G472" s="95"/>
      <c r="H472" s="59"/>
    </row>
    <row r="473" spans="1:8" x14ac:dyDescent="0.3">
      <c r="A473" s="114"/>
      <c r="B473" s="95"/>
      <c r="C473" s="95"/>
      <c r="D473" s="96"/>
      <c r="E473" s="124"/>
      <c r="F473" s="95"/>
      <c r="G473" s="95"/>
      <c r="H473" s="59"/>
    </row>
    <row r="474" spans="1:8" x14ac:dyDescent="0.3">
      <c r="A474" s="114"/>
      <c r="B474" s="95"/>
      <c r="C474" s="95"/>
      <c r="D474" s="96"/>
      <c r="E474" s="124"/>
      <c r="F474" s="95"/>
      <c r="G474" s="95"/>
      <c r="H474" s="59"/>
    </row>
    <row r="475" spans="1:8" x14ac:dyDescent="0.3">
      <c r="A475" s="114"/>
      <c r="B475" s="95"/>
      <c r="C475" s="95"/>
      <c r="D475" s="96"/>
      <c r="E475" s="124"/>
      <c r="F475" s="95"/>
      <c r="G475" s="95"/>
      <c r="H475" s="59"/>
    </row>
    <row r="476" spans="1:8" x14ac:dyDescent="0.3">
      <c r="A476" s="114"/>
      <c r="B476" s="95"/>
      <c r="C476" s="95"/>
      <c r="D476" s="96"/>
      <c r="E476" s="124"/>
      <c r="F476" s="95"/>
      <c r="G476" s="95"/>
      <c r="H476" s="59"/>
    </row>
    <row r="477" spans="1:8" x14ac:dyDescent="0.3">
      <c r="A477" s="114"/>
      <c r="B477" s="95"/>
      <c r="C477" s="95"/>
      <c r="D477" s="96"/>
      <c r="E477" s="124"/>
      <c r="F477" s="95"/>
      <c r="G477" s="95"/>
      <c r="H477" s="59"/>
    </row>
    <row r="478" spans="1:8" x14ac:dyDescent="0.3">
      <c r="A478" s="114"/>
      <c r="B478" s="95"/>
      <c r="C478" s="95"/>
      <c r="D478" s="96"/>
      <c r="E478" s="124"/>
      <c r="F478" s="95"/>
      <c r="G478" s="95"/>
      <c r="H478" s="59"/>
    </row>
    <row r="479" spans="1:8" x14ac:dyDescent="0.3">
      <c r="A479" s="114"/>
      <c r="B479" s="95"/>
      <c r="C479" s="95"/>
      <c r="D479" s="96"/>
      <c r="E479" s="124"/>
      <c r="F479" s="95"/>
      <c r="G479" s="95"/>
      <c r="H479" s="59"/>
    </row>
    <row r="480" spans="1:8" x14ac:dyDescent="0.3">
      <c r="A480" s="114"/>
      <c r="B480" s="95"/>
      <c r="C480" s="95"/>
      <c r="D480" s="96"/>
      <c r="E480" s="124"/>
      <c r="F480" s="95"/>
      <c r="G480" s="95"/>
      <c r="H480" s="59"/>
    </row>
    <row r="481" spans="1:8" x14ac:dyDescent="0.3">
      <c r="A481" s="114"/>
      <c r="B481" s="95"/>
      <c r="C481" s="95"/>
      <c r="D481" s="96"/>
      <c r="E481" s="124"/>
      <c r="F481" s="95"/>
      <c r="G481" s="95"/>
      <c r="H481" s="59"/>
    </row>
    <row r="482" spans="1:8" x14ac:dyDescent="0.3">
      <c r="A482" s="114"/>
      <c r="B482" s="95"/>
      <c r="C482" s="95"/>
      <c r="D482" s="96"/>
      <c r="E482" s="124"/>
      <c r="F482" s="95"/>
      <c r="G482" s="95"/>
      <c r="H482" s="59"/>
    </row>
    <row r="483" spans="1:8" x14ac:dyDescent="0.3">
      <c r="A483" s="114"/>
      <c r="B483" s="95"/>
      <c r="C483" s="95"/>
      <c r="D483" s="96"/>
      <c r="E483" s="124"/>
      <c r="F483" s="95"/>
      <c r="G483" s="95"/>
      <c r="H483" s="59"/>
    </row>
    <row r="484" spans="1:8" x14ac:dyDescent="0.3">
      <c r="A484" s="114"/>
      <c r="B484" s="95"/>
      <c r="C484" s="95"/>
      <c r="D484" s="96"/>
      <c r="E484" s="124"/>
      <c r="F484" s="95"/>
      <c r="G484" s="95"/>
      <c r="H484" s="59"/>
    </row>
    <row r="485" spans="1:8" x14ac:dyDescent="0.3">
      <c r="A485" s="114"/>
      <c r="B485" s="95"/>
      <c r="C485" s="95"/>
      <c r="D485" s="96"/>
      <c r="E485" s="124"/>
      <c r="F485" s="95"/>
      <c r="G485" s="95"/>
      <c r="H485" s="59"/>
    </row>
    <row r="486" spans="1:8" x14ac:dyDescent="0.3">
      <c r="A486" s="114"/>
      <c r="B486" s="95"/>
      <c r="C486" s="95"/>
      <c r="D486" s="96"/>
      <c r="E486" s="124"/>
      <c r="F486" s="95"/>
      <c r="G486" s="95"/>
      <c r="H486" s="59"/>
    </row>
    <row r="487" spans="1:8" x14ac:dyDescent="0.3">
      <c r="A487" s="114"/>
      <c r="B487" s="95"/>
      <c r="C487" s="95"/>
      <c r="D487" s="96"/>
      <c r="E487" s="124"/>
      <c r="F487" s="95"/>
      <c r="G487" s="95"/>
      <c r="H487" s="59"/>
    </row>
    <row r="488" spans="1:8" x14ac:dyDescent="0.3">
      <c r="A488" s="114"/>
      <c r="B488" s="95"/>
      <c r="C488" s="95"/>
      <c r="D488" s="96"/>
      <c r="E488" s="124"/>
      <c r="F488" s="95"/>
      <c r="G488" s="95"/>
      <c r="H488" s="59"/>
    </row>
    <row r="489" spans="1:8" x14ac:dyDescent="0.3">
      <c r="A489" s="114"/>
      <c r="B489" s="95"/>
      <c r="C489" s="95"/>
      <c r="D489" s="96"/>
      <c r="E489" s="124"/>
      <c r="F489" s="95"/>
      <c r="G489" s="95"/>
      <c r="H489" s="59"/>
    </row>
    <row r="490" spans="1:8" x14ac:dyDescent="0.3">
      <c r="A490" s="137"/>
      <c r="B490" s="95"/>
      <c r="C490" s="95"/>
      <c r="D490" s="96"/>
      <c r="E490" s="137"/>
      <c r="F490" s="95"/>
      <c r="G490" s="95"/>
      <c r="H490" s="59"/>
    </row>
    <row r="491" spans="1:8" x14ac:dyDescent="0.3">
      <c r="A491" s="137"/>
      <c r="B491" s="95"/>
      <c r="C491" s="95"/>
      <c r="D491" s="96"/>
      <c r="E491" s="137"/>
      <c r="F491" s="95"/>
      <c r="G491" s="95"/>
      <c r="H491" s="59"/>
    </row>
    <row r="492" spans="1:8" x14ac:dyDescent="0.3">
      <c r="A492" s="137"/>
      <c r="B492" s="95"/>
      <c r="C492" s="95"/>
      <c r="D492" s="96"/>
      <c r="E492" s="137"/>
      <c r="F492" s="95"/>
      <c r="G492" s="95"/>
      <c r="H492" s="59"/>
    </row>
    <row r="493" spans="1:8" x14ac:dyDescent="0.3">
      <c r="A493" s="137"/>
      <c r="B493" s="95"/>
      <c r="C493" s="95"/>
      <c r="D493" s="96"/>
      <c r="E493" s="137"/>
      <c r="F493" s="95"/>
      <c r="G493" s="95"/>
      <c r="H493" s="59"/>
    </row>
    <row r="494" spans="1:8" x14ac:dyDescent="0.3">
      <c r="A494" s="137"/>
      <c r="B494" s="95"/>
      <c r="C494" s="95"/>
      <c r="D494" s="96"/>
      <c r="E494" s="137"/>
      <c r="F494" s="95"/>
      <c r="G494" s="95"/>
      <c r="H494" s="59"/>
    </row>
    <row r="495" spans="1:8" x14ac:dyDescent="0.3">
      <c r="A495" s="137"/>
      <c r="B495" s="95"/>
      <c r="C495" s="95"/>
      <c r="D495" s="96"/>
      <c r="E495" s="137"/>
      <c r="F495" s="95"/>
      <c r="G495" s="95"/>
      <c r="H495" s="59"/>
    </row>
    <row r="496" spans="1:8" x14ac:dyDescent="0.3">
      <c r="A496" s="137"/>
      <c r="B496" s="95"/>
      <c r="C496" s="95"/>
      <c r="D496" s="96"/>
      <c r="E496" s="137"/>
      <c r="F496" s="95"/>
      <c r="G496" s="95"/>
      <c r="H496" s="59"/>
    </row>
    <row r="497" spans="1:8" x14ac:dyDescent="0.3">
      <c r="A497" s="137"/>
      <c r="B497" s="95"/>
      <c r="C497" s="95"/>
      <c r="D497" s="96"/>
      <c r="E497" s="137"/>
      <c r="F497" s="95"/>
      <c r="G497" s="95"/>
      <c r="H497" s="59"/>
    </row>
    <row r="498" spans="1:8" x14ac:dyDescent="0.3">
      <c r="A498" s="137"/>
      <c r="B498" s="95"/>
      <c r="C498" s="95"/>
      <c r="D498" s="96"/>
      <c r="E498" s="137"/>
      <c r="F498" s="95"/>
      <c r="G498" s="95"/>
      <c r="H498" s="59"/>
    </row>
    <row r="499" spans="1:8" x14ac:dyDescent="0.3">
      <c r="A499" s="137"/>
      <c r="B499" s="95"/>
      <c r="C499" s="95"/>
      <c r="D499" s="96"/>
      <c r="E499" s="137"/>
      <c r="F499" s="95"/>
      <c r="G499" s="95"/>
      <c r="H499" s="59"/>
    </row>
    <row r="500" spans="1:8" x14ac:dyDescent="0.3">
      <c r="E500" s="137"/>
      <c r="F500" s="95"/>
      <c r="G500" s="95"/>
      <c r="H500" s="59"/>
    </row>
    <row r="501" spans="1:8" x14ac:dyDescent="0.3">
      <c r="E501" s="138"/>
      <c r="F501" s="123"/>
      <c r="G501" s="123"/>
      <c r="H501" s="56"/>
    </row>
  </sheetData>
  <pageMargins left="0.7" right="0.7" top="0.75" bottom="0.75" header="0.3" footer="0.3"/>
  <pageSetup paperSize="9" orientation="portrait" r:id="rId1"/>
  <headerFooter>
    <oddHeader>&amp;L&amp;G&amp;CY Fforwm Substructure Take-Off&amp;R22/04/2022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Cover</vt:lpstr>
      <vt:lpstr>Form of Tender</vt:lpstr>
      <vt:lpstr>Summary</vt:lpstr>
      <vt:lpstr>Preliminaries</vt:lpstr>
      <vt:lpstr>Measured Works</vt:lpstr>
      <vt:lpstr>Risks</vt:lpstr>
      <vt:lpstr>Dayworks</vt:lpstr>
      <vt:lpstr>Take 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Meyrick Williams</dc:creator>
  <cp:lastModifiedBy>sophie morgan</cp:lastModifiedBy>
  <cp:lastPrinted>2019-10-11T12:43:06Z</cp:lastPrinted>
  <dcterms:created xsi:type="dcterms:W3CDTF">2016-07-04T08:31:27Z</dcterms:created>
  <dcterms:modified xsi:type="dcterms:W3CDTF">2022-04-22T20:37:08Z</dcterms:modified>
</cp:coreProperties>
</file>