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24226"/>
  <xr:revisionPtr revIDLastSave="0" documentId="8_{DF36B59D-3AF1-49E3-9714-E70862FF6544}" xr6:coauthVersionLast="47" xr6:coauthVersionMax="47" xr10:uidLastSave="{00000000-0000-0000-0000-000000000000}"/>
  <bookViews>
    <workbookView xWindow="-108" yWindow="-108" windowWidth="23256" windowHeight="12456" tabRatio="840" activeTab="3" xr2:uid="{00000000-000D-0000-FFFF-FFFF00000000}"/>
  </bookViews>
  <sheets>
    <sheet name="Public Sector Value" sheetId="44" r:id="rId1"/>
    <sheet name="Private Sector Value" sheetId="46" r:id="rId2"/>
    <sheet name="Firm Size" sheetId="52" r:id="rId3"/>
    <sheet name="No. of Firms - Turnover" sheetId="61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5" i="44" l="1"/>
  <c r="D35" i="44"/>
  <c r="E35" i="44"/>
  <c r="F35" i="44"/>
  <c r="G35" i="44"/>
  <c r="H35" i="44"/>
  <c r="I35" i="44"/>
  <c r="J35" i="44"/>
  <c r="K35" i="44"/>
  <c r="L35" i="44"/>
  <c r="M35" i="44"/>
  <c r="N35" i="44"/>
  <c r="O35" i="44"/>
  <c r="B35" i="44"/>
  <c r="C34" i="44"/>
  <c r="D34" i="44"/>
  <c r="E34" i="44"/>
  <c r="F34" i="44"/>
  <c r="G34" i="44"/>
  <c r="H34" i="44"/>
  <c r="I34" i="44"/>
  <c r="J34" i="44"/>
  <c r="K34" i="44"/>
  <c r="L34" i="44"/>
  <c r="M34" i="44"/>
  <c r="N34" i="44"/>
  <c r="O34" i="44"/>
  <c r="B34" i="44"/>
  <c r="AE5" i="52"/>
  <c r="AE6" i="52"/>
  <c r="AE7" i="52"/>
  <c r="AE8" i="52"/>
  <c r="AE9" i="52"/>
  <c r="AE10" i="52"/>
  <c r="AE11" i="52"/>
  <c r="AE12" i="52"/>
  <c r="AE13" i="52"/>
  <c r="AE14" i="52"/>
  <c r="AE15" i="52"/>
  <c r="AE16" i="52"/>
  <c r="AE17" i="52"/>
  <c r="AE4" i="52"/>
  <c r="C33" i="44"/>
  <c r="D33" i="44"/>
  <c r="E33" i="44"/>
  <c r="F33" i="44"/>
  <c r="G33" i="44"/>
  <c r="H33" i="44"/>
  <c r="I33" i="44"/>
  <c r="J33" i="44"/>
  <c r="K33" i="44"/>
  <c r="L33" i="44"/>
  <c r="M33" i="44"/>
  <c r="N33" i="44"/>
  <c r="O33" i="44"/>
  <c r="B33" i="44"/>
  <c r="AC17" i="52" l="1"/>
  <c r="AD17" i="52"/>
  <c r="C33" i="52"/>
  <c r="D33" i="52"/>
  <c r="E33" i="52"/>
  <c r="F33" i="52"/>
  <c r="G33" i="52"/>
  <c r="H33" i="52"/>
  <c r="I33" i="52"/>
  <c r="J33" i="52"/>
  <c r="K33" i="52"/>
  <c r="L33" i="52"/>
  <c r="M33" i="52"/>
  <c r="N33" i="52"/>
  <c r="O33" i="52"/>
  <c r="P33" i="52"/>
  <c r="Q33" i="52"/>
  <c r="R33" i="52"/>
  <c r="S33" i="52"/>
  <c r="T33" i="52"/>
  <c r="U33" i="52"/>
  <c r="V33" i="52"/>
  <c r="W33" i="52"/>
  <c r="X33" i="52"/>
  <c r="Y33" i="52"/>
  <c r="Z33" i="52"/>
  <c r="AA33" i="52"/>
  <c r="AB33" i="52"/>
  <c r="C34" i="52"/>
  <c r="D34" i="52"/>
  <c r="E34" i="52"/>
  <c r="F34" i="52"/>
  <c r="G34" i="52"/>
  <c r="H34" i="52"/>
  <c r="I34" i="52"/>
  <c r="J34" i="52"/>
  <c r="K34" i="52"/>
  <c r="L34" i="52"/>
  <c r="M34" i="52"/>
  <c r="N34" i="52"/>
  <c r="O34" i="52"/>
  <c r="P34" i="52"/>
  <c r="Q34" i="52"/>
  <c r="R34" i="52"/>
  <c r="S34" i="52"/>
  <c r="T34" i="52"/>
  <c r="U34" i="52"/>
  <c r="V34" i="52"/>
  <c r="W34" i="52"/>
  <c r="X34" i="52"/>
  <c r="Y34" i="52"/>
  <c r="Z34" i="52"/>
  <c r="AA34" i="52"/>
  <c r="AB34" i="52"/>
  <c r="C35" i="52"/>
  <c r="D35" i="52"/>
  <c r="E35" i="52"/>
  <c r="F35" i="52"/>
  <c r="G35" i="52"/>
  <c r="H35" i="52"/>
  <c r="I35" i="52"/>
  <c r="J35" i="52"/>
  <c r="K35" i="52"/>
  <c r="L35" i="52"/>
  <c r="M35" i="52"/>
  <c r="N35" i="52"/>
  <c r="O35" i="52"/>
  <c r="P35" i="52"/>
  <c r="Q35" i="52"/>
  <c r="R35" i="52"/>
  <c r="S35" i="52"/>
  <c r="T35" i="52"/>
  <c r="U35" i="52"/>
  <c r="V35" i="52"/>
  <c r="W35" i="52"/>
  <c r="X35" i="52"/>
  <c r="Y35" i="52"/>
  <c r="Z35" i="52"/>
  <c r="AA35" i="52"/>
  <c r="AB35" i="52"/>
  <c r="C36" i="52"/>
  <c r="D36" i="52"/>
  <c r="E36" i="52"/>
  <c r="F36" i="52"/>
  <c r="G36" i="52"/>
  <c r="H36" i="52"/>
  <c r="I36" i="52"/>
  <c r="J36" i="52"/>
  <c r="K36" i="52"/>
  <c r="L36" i="52"/>
  <c r="M36" i="52"/>
  <c r="N36" i="52"/>
  <c r="O36" i="52"/>
  <c r="P36" i="52"/>
  <c r="Q36" i="52"/>
  <c r="R36" i="52"/>
  <c r="S36" i="52"/>
  <c r="T36" i="52"/>
  <c r="U36" i="52"/>
  <c r="V36" i="52"/>
  <c r="W36" i="52"/>
  <c r="X36" i="52"/>
  <c r="Y36" i="52"/>
  <c r="Z36" i="52"/>
  <c r="AA36" i="52"/>
  <c r="AB36" i="52"/>
  <c r="C37" i="52"/>
  <c r="D37" i="52"/>
  <c r="E37" i="52"/>
  <c r="F37" i="52"/>
  <c r="G37" i="52"/>
  <c r="H37" i="52"/>
  <c r="I37" i="52"/>
  <c r="J37" i="52"/>
  <c r="K37" i="52"/>
  <c r="L37" i="52"/>
  <c r="M37" i="52"/>
  <c r="N37" i="52"/>
  <c r="O37" i="52"/>
  <c r="P37" i="52"/>
  <c r="Q37" i="52"/>
  <c r="R37" i="52"/>
  <c r="S37" i="52"/>
  <c r="T37" i="52"/>
  <c r="U37" i="52"/>
  <c r="V37" i="52"/>
  <c r="W37" i="52"/>
  <c r="X37" i="52"/>
  <c r="Y37" i="52"/>
  <c r="Z37" i="52"/>
  <c r="AA37" i="52"/>
  <c r="AB37" i="52"/>
  <c r="C38" i="52"/>
  <c r="D38" i="52"/>
  <c r="E38" i="52"/>
  <c r="F38" i="52"/>
  <c r="G38" i="52"/>
  <c r="H38" i="52"/>
  <c r="I38" i="52"/>
  <c r="J38" i="52"/>
  <c r="K38" i="52"/>
  <c r="L38" i="52"/>
  <c r="M38" i="52"/>
  <c r="N38" i="52"/>
  <c r="O38" i="52"/>
  <c r="P38" i="52"/>
  <c r="Q38" i="52"/>
  <c r="R38" i="52"/>
  <c r="S38" i="52"/>
  <c r="T38" i="52"/>
  <c r="U38" i="52"/>
  <c r="V38" i="52"/>
  <c r="W38" i="52"/>
  <c r="X38" i="52"/>
  <c r="Y38" i="52"/>
  <c r="Z38" i="52"/>
  <c r="AA38" i="52"/>
  <c r="AB38" i="52"/>
  <c r="C28" i="52"/>
  <c r="D28" i="52"/>
  <c r="E28" i="52"/>
  <c r="F28" i="52"/>
  <c r="G28" i="52"/>
  <c r="H28" i="52"/>
  <c r="I28" i="52"/>
  <c r="J28" i="52"/>
  <c r="K28" i="52"/>
  <c r="L28" i="52"/>
  <c r="M28" i="52"/>
  <c r="N28" i="52"/>
  <c r="O28" i="52"/>
  <c r="P28" i="52"/>
  <c r="Q28" i="52"/>
  <c r="R28" i="52"/>
  <c r="S28" i="52"/>
  <c r="T28" i="52"/>
  <c r="U28" i="52"/>
  <c r="V28" i="52"/>
  <c r="W28" i="52"/>
  <c r="X28" i="52"/>
  <c r="Y28" i="52"/>
  <c r="Z28" i="52"/>
  <c r="AA28" i="52"/>
  <c r="AB28" i="52"/>
  <c r="C29" i="52"/>
  <c r="D29" i="52"/>
  <c r="E29" i="52"/>
  <c r="F29" i="52"/>
  <c r="G29" i="52"/>
  <c r="H29" i="52"/>
  <c r="I29" i="52"/>
  <c r="J29" i="52"/>
  <c r="K29" i="52"/>
  <c r="L29" i="52"/>
  <c r="M29" i="52"/>
  <c r="N29" i="52"/>
  <c r="O29" i="52"/>
  <c r="P29" i="52"/>
  <c r="Q29" i="52"/>
  <c r="R29" i="52"/>
  <c r="S29" i="52"/>
  <c r="T29" i="52"/>
  <c r="U29" i="52"/>
  <c r="V29" i="52"/>
  <c r="W29" i="52"/>
  <c r="X29" i="52"/>
  <c r="Y29" i="52"/>
  <c r="Z29" i="52"/>
  <c r="AA29" i="52"/>
  <c r="AB29" i="52"/>
  <c r="C30" i="52"/>
  <c r="D30" i="52"/>
  <c r="E30" i="52"/>
  <c r="F30" i="52"/>
  <c r="G30" i="52"/>
  <c r="H30" i="52"/>
  <c r="I30" i="52"/>
  <c r="J30" i="52"/>
  <c r="K30" i="52"/>
  <c r="L30" i="52"/>
  <c r="M30" i="52"/>
  <c r="N30" i="52"/>
  <c r="O30" i="52"/>
  <c r="P30" i="52"/>
  <c r="Q30" i="52"/>
  <c r="R30" i="52"/>
  <c r="S30" i="52"/>
  <c r="T30" i="52"/>
  <c r="U30" i="52"/>
  <c r="V30" i="52"/>
  <c r="W30" i="52"/>
  <c r="X30" i="52"/>
  <c r="Y30" i="52"/>
  <c r="Z30" i="52"/>
  <c r="AA30" i="52"/>
  <c r="AB30" i="52"/>
  <c r="C31" i="52"/>
  <c r="D31" i="52"/>
  <c r="E31" i="52"/>
  <c r="F31" i="52"/>
  <c r="G31" i="52"/>
  <c r="H31" i="52"/>
  <c r="I31" i="52"/>
  <c r="J31" i="52"/>
  <c r="K31" i="52"/>
  <c r="L31" i="52"/>
  <c r="M31" i="52"/>
  <c r="N31" i="52"/>
  <c r="O31" i="52"/>
  <c r="P31" i="52"/>
  <c r="Q31" i="52"/>
  <c r="R31" i="52"/>
  <c r="S31" i="52"/>
  <c r="T31" i="52"/>
  <c r="U31" i="52"/>
  <c r="V31" i="52"/>
  <c r="W31" i="52"/>
  <c r="X31" i="52"/>
  <c r="Y31" i="52"/>
  <c r="Z31" i="52"/>
  <c r="AA31" i="52"/>
  <c r="AB31" i="52"/>
  <c r="C32" i="52"/>
  <c r="D32" i="52"/>
  <c r="E32" i="52"/>
  <c r="F32" i="52"/>
  <c r="G32" i="52"/>
  <c r="H32" i="52"/>
  <c r="I32" i="52"/>
  <c r="J32" i="52"/>
  <c r="K32" i="52"/>
  <c r="L32" i="52"/>
  <c r="M32" i="52"/>
  <c r="N32" i="52"/>
  <c r="O32" i="52"/>
  <c r="P32" i="52"/>
  <c r="Q32" i="52"/>
  <c r="R32" i="52"/>
  <c r="S32" i="52"/>
  <c r="T32" i="52"/>
  <c r="U32" i="52"/>
  <c r="V32" i="52"/>
  <c r="W32" i="52"/>
  <c r="X32" i="52"/>
  <c r="Y32" i="52"/>
  <c r="Z32" i="52"/>
  <c r="AA32" i="52"/>
  <c r="AB32" i="52"/>
  <c r="C27" i="52"/>
  <c r="D27" i="52"/>
  <c r="E27" i="52"/>
  <c r="F27" i="52"/>
  <c r="G27" i="52"/>
  <c r="H27" i="52"/>
  <c r="I27" i="52"/>
  <c r="J27" i="52"/>
  <c r="K27" i="52"/>
  <c r="L27" i="52"/>
  <c r="M27" i="52"/>
  <c r="N27" i="52"/>
  <c r="O27" i="52"/>
  <c r="P27" i="52"/>
  <c r="Q27" i="52"/>
  <c r="R27" i="52"/>
  <c r="S27" i="52"/>
  <c r="T27" i="52"/>
  <c r="U27" i="52"/>
  <c r="V27" i="52"/>
  <c r="W27" i="52"/>
  <c r="X27" i="52"/>
  <c r="Y27" i="52"/>
  <c r="Z27" i="52"/>
  <c r="AA27" i="52"/>
  <c r="AB27" i="52"/>
  <c r="D26" i="52"/>
  <c r="E26" i="52"/>
  <c r="F26" i="52"/>
  <c r="G26" i="52"/>
  <c r="H26" i="52"/>
  <c r="I26" i="52"/>
  <c r="J26" i="52"/>
  <c r="K26" i="52"/>
  <c r="L26" i="52"/>
  <c r="M26" i="52"/>
  <c r="N26" i="52"/>
  <c r="O26" i="52"/>
  <c r="P26" i="52"/>
  <c r="Q26" i="52"/>
  <c r="R26" i="52"/>
  <c r="S26" i="52"/>
  <c r="T26" i="52"/>
  <c r="U26" i="52"/>
  <c r="V26" i="52"/>
  <c r="W26" i="52"/>
  <c r="X26" i="52"/>
  <c r="Y26" i="52"/>
  <c r="Z26" i="52"/>
  <c r="AA26" i="52"/>
  <c r="AB26" i="52"/>
  <c r="C26" i="52"/>
  <c r="AD5" i="52"/>
  <c r="AD6" i="52"/>
  <c r="AD7" i="52"/>
  <c r="AD8" i="52"/>
  <c r="AD9" i="52"/>
  <c r="AD10" i="52"/>
  <c r="AD11" i="52"/>
  <c r="AD12" i="52"/>
  <c r="AD13" i="52"/>
  <c r="AD14" i="52"/>
  <c r="AD15" i="52"/>
  <c r="AD16" i="52"/>
  <c r="AC5" i="52"/>
  <c r="AC6" i="52"/>
  <c r="AC7" i="52"/>
  <c r="AC8" i="52"/>
  <c r="AC9" i="52"/>
  <c r="AC10" i="52"/>
  <c r="AC11" i="52"/>
  <c r="AC12" i="52"/>
  <c r="AC13" i="52"/>
  <c r="AC14" i="52"/>
  <c r="AC15" i="52"/>
  <c r="AC16" i="52"/>
  <c r="AD4" i="52"/>
  <c r="AC4" i="52"/>
  <c r="C46" i="46"/>
  <c r="D46" i="46"/>
  <c r="E46" i="46"/>
  <c r="F46" i="46"/>
  <c r="G46" i="46"/>
  <c r="H46" i="46"/>
  <c r="I46" i="46"/>
  <c r="J46" i="46"/>
  <c r="K46" i="46"/>
  <c r="L46" i="46"/>
  <c r="M46" i="46"/>
  <c r="N46" i="46"/>
  <c r="O46" i="46"/>
  <c r="P46" i="46"/>
  <c r="B46" i="46"/>
  <c r="C45" i="46"/>
  <c r="D45" i="46"/>
  <c r="E45" i="46"/>
  <c r="F45" i="46"/>
  <c r="G45" i="46"/>
  <c r="H45" i="46"/>
  <c r="I45" i="46"/>
  <c r="J45" i="46"/>
  <c r="K45" i="46"/>
  <c r="L45" i="46"/>
  <c r="M45" i="46"/>
  <c r="N45" i="46"/>
  <c r="O45" i="46"/>
  <c r="P45" i="46"/>
  <c r="B45" i="46"/>
  <c r="AC36" i="52" l="1"/>
  <c r="AC32" i="52"/>
  <c r="AC31" i="52"/>
  <c r="AC34" i="52"/>
  <c r="AC33" i="52"/>
  <c r="AC30" i="52"/>
  <c r="AC26" i="52"/>
  <c r="AC37" i="52"/>
  <c r="AC35" i="52"/>
  <c r="AC29" i="52"/>
  <c r="AC28" i="52"/>
  <c r="AC27" i="52"/>
  <c r="AC38" i="52"/>
</calcChain>
</file>

<file path=xl/sharedStrings.xml><?xml version="1.0" encoding="utf-8"?>
<sst xmlns="http://schemas.openxmlformats.org/spreadsheetml/2006/main" count="194" uniqueCount="114">
  <si>
    <t>Value of construction output by type of work: New Work for Public Sector, Great Britain, Current Prices</t>
  </si>
  <si>
    <t>£ million</t>
  </si>
  <si>
    <t>Time period</t>
  </si>
  <si>
    <t>Total public new housing</t>
  </si>
  <si>
    <t>Total public infrastructure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</si>
  <si>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</si>
  <si>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</si>
  <si>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</si>
  <si>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</si>
  <si>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</si>
  <si>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</si>
  <si>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</si>
  <si>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</si>
  <si>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</si>
  <si>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</si>
  <si>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</si>
  <si>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All Public Sector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</si>
  <si>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</si>
  <si>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Value of construction output by type of work: New Work for Private Sector, Great Britain, Current Prices</t>
  </si>
  <si>
    <t>Total private new housing</t>
  </si>
  <si>
    <t>Total private Infrastructure</t>
  </si>
  <si>
    <t>Private industrial: factories</t>
  </si>
  <si>
    <t>Private industrial: warehouses</t>
  </si>
  <si>
    <t>Private industrial: oil, steel &amp; coal</t>
  </si>
  <si>
    <t>All private industrial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</si>
  <si>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</si>
  <si>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</si>
  <si>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</si>
  <si>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</si>
  <si>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</si>
  <si>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</si>
  <si>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</si>
  <si>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>All private commercial</t>
  </si>
  <si>
    <t>All Private Sector</t>
  </si>
  <si>
    <t xml:space="preserve"> Construction firms:  Number of Firms, by size of Firm, Great Britain    </t>
  </si>
  <si>
    <t xml:space="preserve">Size of Firm 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</si>
  <si>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</si>
  <si>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</si>
  <si>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</si>
  <si>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</si>
  <si>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</si>
  <si>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</si>
  <si>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</si>
  <si>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</si>
  <si>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</si>
  <si>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</si>
  <si>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</si>
  <si>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</si>
  <si>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</si>
  <si>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</si>
  <si>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</si>
  <si>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</si>
  <si>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</si>
  <si>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</si>
  <si>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</si>
  <si>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</si>
  <si>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</si>
  <si>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</si>
  <si>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</si>
  <si>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</si>
  <si>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</si>
  <si>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</si>
  <si>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</si>
  <si>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</si>
  <si>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</si>
  <si>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</si>
  <si>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</si>
  <si>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</si>
  <si>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</si>
  <si>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</si>
  <si>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</si>
  <si>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</si>
  <si>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</si>
  <si>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</si>
  <si>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</si>
  <si>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</si>
  <si>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</si>
  <si>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 xml:space="preserve">Construction firms:  Number of Firms, By turnover size band, Great Britain       </t>
  </si>
  <si>
    <t>Size of firm (by turnover size band)</t>
  </si>
  <si>
    <t xml:space="preserve">2009 </t>
  </si>
  <si>
    <t xml:space="preserve">2010 </t>
  </si>
  <si>
    <t xml:space="preserve">2011 </t>
  </si>
  <si>
    <t xml:space="preserve">2012 </t>
  </si>
  <si>
    <t xml:space="preserve">2013 </t>
  </si>
  <si>
    <t xml:space="preserve">2014 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</si>
  <si>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</si>
  <si>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</si>
  <si>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</si>
  <si>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</si>
  <si>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</si>
  <si>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</si>
  <si>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 xml:space="preserve">2021 </t>
  </si>
  <si>
    <t xml:space="preserve">2022 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</si>
  <si>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</si>
  <si>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</si>
  <si>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</si>
  <si>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</si>
  <si>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</si>
  <si>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</si>
  <si>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</si>
  <si>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</si>
  <si>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</si>
  <si>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</si>
  <si>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</si>
  <si>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</si>
  <si>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Range</t>
  </si>
  <si>
    <t>Std Dev</t>
  </si>
  <si>
    <t>Amount(£ million)1998-2023</t>
  </si>
  <si>
    <t>Mean amount (£ million) per year</t>
  </si>
  <si>
    <t>Standard Deviation</t>
  </si>
  <si>
    <t>%Change In Number of Firms By Size Each Year</t>
  </si>
  <si>
    <t>Median</t>
  </si>
  <si>
    <t>Median Amount (£ million) per year</t>
  </si>
  <si>
    <t>Mode Amount (£ million) per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</si>
</sst>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3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4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</cellStyleXfs>
  <cellXfs count="54">
    <xf numFmtId="0" fontId="0" fillId="0" borderId="0" xfId="0"/>
    <xf numFmtId="164" fontId="1" fillId="0" borderId="0" xfId="0" applyNumberFormat="1" applyFont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4" fontId="8" fillId="0" borderId="6" xfId="11" applyFont="1" applyBorder="1" applyAlignment="1">
      <alignment horizontal="left" wrapText="1"/>
    </xf>
    <xf numFmtId="164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0" fontId="12" fillId="0" borderId="0" xfId="0" applyFont="1" applyAlignment="1">
      <alignment horizontal="right"/>
    </xf>
    <xf numFmtId="4" fontId="0" fillId="0" borderId="21" xfId="0" applyNumberFormat="1" applyBorder="1"/>
    <xf numFmtId="0" fontId="0" fillId="0" borderId="21" xfId="0" applyBorder="1"/>
    <xf numFmtId="0" fontId="12" fillId="0" borderId="21" xfId="0" applyFont="1" applyBorder="1" applyAlignment="1">
      <alignment horizontal="left"/>
    </xf>
    <xf numFmtId="10" fontId="0" fillId="0" borderId="21" xfId="0" applyNumberFormat="1" applyBorder="1"/>
    <xf numFmtId="164" fontId="8" fillId="0" borderId="20" xfId="11" applyFont="1" applyBorder="1" applyAlignment="1">
      <alignment horizontal="left" wrapText="1"/>
    </xf>
    <xf numFmtId="10" fontId="0" fillId="0" borderId="23" xfId="0" applyNumberFormat="1" applyBorder="1"/>
    <xf numFmtId="10" fontId="0" fillId="0" borderId="22" xfId="0" applyNumberFormat="1" applyBorder="1"/>
    <xf numFmtId="0" fontId="0" fillId="0" borderId="22" xfId="0" applyBorder="1"/>
    <xf numFmtId="0" fontId="32" fillId="0" borderId="21" xfId="0" applyFont="1" applyBorder="1" applyAlignment="1">
      <alignment horizontal="right" wrapText="1"/>
    </xf>
    <xf numFmtId="0" fontId="32" fillId="0" borderId="3" xfId="0" applyFont="1" applyBorder="1" applyAlignment="1">
      <alignment horizontal="right" wrapText="1"/>
    </xf>
    <xf numFmtId="0" fontId="32" fillId="0" borderId="20" xfId="0" applyFont="1" applyBorder="1" applyAlignment="1">
      <alignment horizontal="right" wrapText="1"/>
    </xf>
    <xf numFmtId="37" fontId="2" fillId="0" borderId="21" xfId="0" applyNumberFormat="1" applyFont="1" applyBorder="1" applyAlignment="1">
      <alignment horizontal="right" wrapText="1"/>
    </xf>
    <xf numFmtId="0" fontId="34" fillId="0" borderId="3" xfId="0" applyFont="1" applyBorder="1" applyAlignment="1">
      <alignment horizontal="right"/>
    </xf>
    <xf numFmtId="0" fontId="34" fillId="0" borderId="20" xfId="0" applyFont="1" applyBorder="1" applyAlignment="1">
      <alignment horizontal="right"/>
    </xf>
    <xf numFmtId="0" fontId="15" fillId="0" borderId="18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32" fillId="0" borderId="20" xfId="0" applyFont="1" applyBorder="1" applyAlignment="1">
      <alignment horizontal="left"/>
    </xf>
    <xf numFmtId="3" fontId="12" fillId="0" borderId="7" xfId="0" applyNumberFormat="1" applyFont="1" applyBorder="1" applyAlignment="1">
      <alignment horizontal="right"/>
    </xf>
    <xf numFmtId="164" fontId="1" fillId="0" borderId="21" xfId="0" applyNumberFormat="1" applyFont="1" applyBorder="1" applyAlignment="1">
      <alignment horizontal="left" vertical="center" wrapText="1"/>
    </xf>
    <xf numFmtId="3" fontId="12" fillId="0" borderId="21" xfId="0" applyNumberFormat="1" applyFont="1" applyBorder="1" applyAlignment="1">
      <alignment horizontal="right"/>
    </xf>
    <xf numFmtId="0" fontId="12" fillId="0" borderId="21" xfId="0" applyFont="1" applyBorder="1" applyAlignment="1">
      <alignment horizontal="right"/>
    </xf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4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Comparison</a:t>
            </a:r>
            <a:r>
              <a:rPr lang="en-GB" baseline="0"/>
              <a:t> of Spending on Public and Private Housing Over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'Public Sector Value'!$B$37</c:f>
              <c:strCache>
                <c:ptCount val="1"/>
                <c:pt idx="0">
                  <c:v>Total private new housing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'Public Sector Value'!$A$37:$A$63</c15:sqref>
                  </c15:fullRef>
                </c:ext>
              </c:extLst>
              <c:f>'Public Sector Value'!$A$38:$A$63</c:f>
              <c:strCache>
                <c:ptCount val="26"/>
                <c:pt idx="0">
                  <c:v>1998 </c:v>
                </c:pt>
                <c:pt idx="1">
                  <c:v>1999 </c:v>
                </c:pt>
                <c:pt idx="2">
                  <c:v>2000 </c:v>
                </c:pt>
                <c:pt idx="3">
                  <c:v>2001 </c:v>
                </c:pt>
                <c:pt idx="4">
                  <c:v>2002 </c:v>
                </c:pt>
                <c:pt idx="5">
                  <c:v>2003 </c:v>
                </c:pt>
                <c:pt idx="6">
                  <c:v>2004 </c:v>
                </c:pt>
                <c:pt idx="7">
                  <c:v>2005 </c:v>
                </c:pt>
                <c:pt idx="8">
                  <c:v>2006 </c:v>
                </c:pt>
                <c:pt idx="9">
                  <c:v>2007 </c:v>
                </c:pt>
                <c:pt idx="10">
                  <c:v>2008 </c:v>
                </c:pt>
                <c:pt idx="11">
                  <c:v>2009 </c:v>
                </c:pt>
                <c:pt idx="12">
                  <c:v>2010 </c:v>
                </c:pt>
                <c:pt idx="13">
                  <c:v>2011 </c:v>
                </c:pt>
                <c:pt idx="14">
                  <c:v>2012 </c:v>
                </c:pt>
                <c:pt idx="15">
                  <c:v>2013 </c:v>
                </c:pt>
                <c:pt idx="16">
                  <c:v>2014 </c:v>
                </c:pt>
                <c:pt idx="17">
                  <c:v>2015 </c:v>
                </c:pt>
                <c:pt idx="18">
                  <c:v>2016 </c:v>
                </c:pt>
                <c:pt idx="19">
                  <c:v>2017 </c:v>
                </c:pt>
                <c:pt idx="20">
                  <c:v>2018 </c:v>
                </c:pt>
                <c:pt idx="21">
                  <c:v>2019 </c:v>
                </c:pt>
                <c:pt idx="22">
                  <c:v>2020 </c:v>
                </c:pt>
                <c:pt idx="23">
                  <c:v>2021 </c:v>
                </c:pt>
                <c:pt idx="24">
                  <c:v>2022 </c:v>
                </c:pt>
                <c:pt idx="25">
                  <c:v>2023 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'Public Sector Value'!$B$38:$B$63</c15:sqref>
                  </c15:fullRef>
                </c:ext>
              </c:extLst>
              <c:f>'Public Sector Value'!$B$39:$B$63</c:f>
              <c:numCache>
                <c:formatCode>#,##0</c:formatCode>
                <c:ptCount val="25"/>
                <c:pt idx="0">
                  <c:v>8079</c:v>
                </c:pt>
                <c:pt idx="1">
                  <c:v>9475</c:v>
                </c:pt>
                <c:pt idx="2">
                  <c:v>9639</c:v>
                </c:pt>
                <c:pt idx="3">
                  <c:v>11453</c:v>
                </c:pt>
                <c:pt idx="4">
                  <c:v>15017</c:v>
                </c:pt>
                <c:pt idx="5">
                  <c:v>18977</c:v>
                </c:pt>
                <c:pt idx="6">
                  <c:v>20715</c:v>
                </c:pt>
                <c:pt idx="7">
                  <c:v>21765</c:v>
                </c:pt>
                <c:pt idx="8">
                  <c:v>22146</c:v>
                </c:pt>
                <c:pt idx="9">
                  <c:v>18138</c:v>
                </c:pt>
                <c:pt idx="10">
                  <c:v>12592</c:v>
                </c:pt>
                <c:pt idx="11">
                  <c:v>14839</c:v>
                </c:pt>
                <c:pt idx="12">
                  <c:v>16334</c:v>
                </c:pt>
                <c:pt idx="13">
                  <c:v>16066</c:v>
                </c:pt>
                <c:pt idx="14">
                  <c:v>18088</c:v>
                </c:pt>
                <c:pt idx="15">
                  <c:v>23717</c:v>
                </c:pt>
                <c:pt idx="16">
                  <c:v>26261</c:v>
                </c:pt>
                <c:pt idx="17">
                  <c:v>30573</c:v>
                </c:pt>
                <c:pt idx="18">
                  <c:v>34406</c:v>
                </c:pt>
                <c:pt idx="19">
                  <c:v>37669</c:v>
                </c:pt>
                <c:pt idx="20">
                  <c:v>40668</c:v>
                </c:pt>
                <c:pt idx="21">
                  <c:v>33319</c:v>
                </c:pt>
                <c:pt idx="22">
                  <c:v>41031</c:v>
                </c:pt>
                <c:pt idx="23">
                  <c:v>50479</c:v>
                </c:pt>
                <c:pt idx="24">
                  <c:v>46255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4E9-4C24-AA32-0D638E884793}"/>
            </c:ext>
          </c:extLst>
        </c:ser>
        <c:ser>
          <c:idx val="2"/>
          <c:order val="1"/>
          <c:tx>
            <c:strRef>
              <c:f>'Public Sector Value'!$C$37</c:f>
              <c:strCache>
                <c:ptCount val="1"/>
                <c:pt idx="0">
                  <c:v>Total public new housing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'Public Sector Value'!$A$37:$A$63</c15:sqref>
                  </c15:fullRef>
                </c:ext>
              </c:extLst>
              <c:f>'Public Sector Value'!$A$38:$A$63</c:f>
              <c:strCache>
                <c:ptCount val="26"/>
                <c:pt idx="0">
                  <c:v>1998 </c:v>
                </c:pt>
                <c:pt idx="1">
                  <c:v>1999 </c:v>
                </c:pt>
                <c:pt idx="2">
                  <c:v>2000 </c:v>
                </c:pt>
                <c:pt idx="3">
                  <c:v>2001 </c:v>
                </c:pt>
                <c:pt idx="4">
                  <c:v>2002 </c:v>
                </c:pt>
                <c:pt idx="5">
                  <c:v>2003 </c:v>
                </c:pt>
                <c:pt idx="6">
                  <c:v>2004 </c:v>
                </c:pt>
                <c:pt idx="7">
                  <c:v>2005 </c:v>
                </c:pt>
                <c:pt idx="8">
                  <c:v>2006 </c:v>
                </c:pt>
                <c:pt idx="9">
                  <c:v>2007 </c:v>
                </c:pt>
                <c:pt idx="10">
                  <c:v>2008 </c:v>
                </c:pt>
                <c:pt idx="11">
                  <c:v>2009 </c:v>
                </c:pt>
                <c:pt idx="12">
                  <c:v>2010 </c:v>
                </c:pt>
                <c:pt idx="13">
                  <c:v>2011 </c:v>
                </c:pt>
                <c:pt idx="14">
                  <c:v>2012 </c:v>
                </c:pt>
                <c:pt idx="15">
                  <c:v>2013 </c:v>
                </c:pt>
                <c:pt idx="16">
                  <c:v>2014 </c:v>
                </c:pt>
                <c:pt idx="17">
                  <c:v>2015 </c:v>
                </c:pt>
                <c:pt idx="18">
                  <c:v>2016 </c:v>
                </c:pt>
                <c:pt idx="19">
                  <c:v>2017 </c:v>
                </c:pt>
                <c:pt idx="20">
                  <c:v>2018 </c:v>
                </c:pt>
                <c:pt idx="21">
                  <c:v>2019 </c:v>
                </c:pt>
                <c:pt idx="22">
                  <c:v>2020 </c:v>
                </c:pt>
                <c:pt idx="23">
                  <c:v>2021 </c:v>
                </c:pt>
                <c:pt idx="24">
                  <c:v>2022 </c:v>
                </c:pt>
                <c:pt idx="25">
                  <c:v>2023 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'Public Sector Value'!$C$38:$C$63</c15:sqref>
                  </c15:fullRef>
                </c:ext>
              </c:extLst>
              <c:f>'Public Sector Value'!$C$39:$C$63</c:f>
              <c:numCache>
                <c:formatCode>#,##0</c:formatCode>
                <c:ptCount val="25"/>
                <c:pt idx="0">
                  <c:v>824</c:v>
                </c:pt>
                <c:pt idx="1">
                  <c:v>1075</c:v>
                </c:pt>
                <c:pt idx="2">
                  <c:v>1174</c:v>
                </c:pt>
                <c:pt idx="3">
                  <c:v>1411</c:v>
                </c:pt>
                <c:pt idx="4">
                  <c:v>1706</c:v>
                </c:pt>
                <c:pt idx="5">
                  <c:v>2210</c:v>
                </c:pt>
                <c:pt idx="6">
                  <c:v>2251</c:v>
                </c:pt>
                <c:pt idx="7">
                  <c:v>2853</c:v>
                </c:pt>
                <c:pt idx="8">
                  <c:v>3480</c:v>
                </c:pt>
                <c:pt idx="9">
                  <c:v>3299</c:v>
                </c:pt>
                <c:pt idx="10">
                  <c:v>3327</c:v>
                </c:pt>
                <c:pt idx="11">
                  <c:v>4893</c:v>
                </c:pt>
                <c:pt idx="12">
                  <c:v>4938</c:v>
                </c:pt>
                <c:pt idx="13">
                  <c:v>4049</c:v>
                </c:pt>
                <c:pt idx="14">
                  <c:v>4323</c:v>
                </c:pt>
                <c:pt idx="15">
                  <c:v>5809</c:v>
                </c:pt>
                <c:pt idx="16">
                  <c:v>4908</c:v>
                </c:pt>
                <c:pt idx="17">
                  <c:v>4806</c:v>
                </c:pt>
                <c:pt idx="18">
                  <c:v>5826</c:v>
                </c:pt>
                <c:pt idx="19">
                  <c:v>5886</c:v>
                </c:pt>
                <c:pt idx="20">
                  <c:v>7038</c:v>
                </c:pt>
                <c:pt idx="21">
                  <c:v>4781</c:v>
                </c:pt>
                <c:pt idx="22">
                  <c:v>5027</c:v>
                </c:pt>
                <c:pt idx="23">
                  <c:v>6148</c:v>
                </c:pt>
                <c:pt idx="24">
                  <c:v>6850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4E9-4C24-AA32-0D638E8847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60150831"/>
        <c:axId val="1760149391"/>
      </c:lineChart>
      <c:catAx>
        <c:axId val="176015083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0149391"/>
        <c:crosses val="autoZero"/>
        <c:auto val="1"/>
        <c:lblAlgn val="ctr"/>
        <c:lblOffset val="100"/>
        <c:noMultiLvlLbl val="0"/>
      </c:catAx>
      <c:valAx>
        <c:axId val="17601493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£ Million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01508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Amount(£ million) spent on</a:t>
            </a:r>
            <a:r>
              <a:rPr lang="en-GB" baseline="0"/>
              <a:t> each type of construction work 1998-2023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'Private Sector Value'!$A$45</c:f>
              <c:strCache>
                <c:ptCount val="1"/>
                <c:pt idx="0">
                  <c:v>Amount(£ million)1998-2023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'Private Sector Value'!$B$44:$P$44</c:f>
              <c:strCache>
                <c:ptCount val="15"/>
                <c:pt idx="0">
                  <c:v>Total private new housing</c:v>
                </c:pt>
                <c:pt idx="1">
                  <c:v>Total private Infrastructure</c:v>
                </c:pt>
                <c:pt idx="2">
                  <c:v>Private industrial: factories</c:v>
                </c:pt>
                <c:pt idx="3">
                  <c:v>Private industrial: warehouses</c:v>
                </c:pt>
                <c:pt idx="4">
                  <c:v>Private industrial: oil, steel &amp; coal</c:v>
                </c:pt>
                <c:pt idx="5">
                  <c:v>All private industrial</c:v>
                </c:pt>
                <c:pt idx="6">
                  <c:v>Private commercial: schools &amp; universities</c:v>
                </c:pt>
                <c:pt idx="7">
                  <c:v>Private commercial: health</c:v>
                </c:pt>
                <c:pt idx="8">
                  <c:v>Private commercial: offices</c:v>
                </c:pt>
                <c:pt idx="9">
                  <c:v>Private commercial: entertainment</c:v>
                </c:pt>
                <c:pt idx="10">
                  <c:v>Private commercial: garages</c:v>
                </c:pt>
                <c:pt idx="11">
                  <c:v>Private commercial: shops</c:v>
                </c:pt>
                <c:pt idx="12">
                  <c:v>Private commercial: agriculture &amp; miscellaneous</c:v>
                </c:pt>
                <c:pt idx="13">
                  <c:v>All private commercial</c:v>
                </c:pt>
                <c:pt idx="14">
                  <c:v>All Private Sector</c:v>
                </c:pt>
              </c:strCache>
            </c:strRef>
          </c:cat>
          <c:val>
            <c:numRef>
              <c:f>'Private Sector Value'!$B$45:$P$45</c:f>
              <c:numCache>
                <c:formatCode>#,##0.00</c:formatCode>
                <c:ptCount val="15"/>
                <c:pt idx="0">
                  <c:v>605847</c:v>
                </c:pt>
                <c:pt idx="1">
                  <c:v>224541</c:v>
                </c:pt>
                <c:pt idx="2">
                  <c:v>67954</c:v>
                </c:pt>
                <c:pt idx="3">
                  <c:v>59325</c:v>
                </c:pt>
                <c:pt idx="4">
                  <c:v>4246</c:v>
                </c:pt>
                <c:pt idx="5">
                  <c:v>131526</c:v>
                </c:pt>
                <c:pt idx="6">
                  <c:v>79984</c:v>
                </c:pt>
                <c:pt idx="7">
                  <c:v>39080</c:v>
                </c:pt>
                <c:pt idx="8">
                  <c:v>227092</c:v>
                </c:pt>
                <c:pt idx="9">
                  <c:v>138541</c:v>
                </c:pt>
                <c:pt idx="10">
                  <c:v>13282</c:v>
                </c:pt>
                <c:pt idx="11">
                  <c:v>129635</c:v>
                </c:pt>
                <c:pt idx="12">
                  <c:v>40044</c:v>
                </c:pt>
                <c:pt idx="13">
                  <c:v>667649</c:v>
                </c:pt>
                <c:pt idx="14">
                  <c:v>1629563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EC-4FE2-9AE6-B41C1DAF4B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13399311"/>
        <c:axId val="513399791"/>
        <c:axId val="0"/>
      </c:bar3DChart>
      <c:catAx>
        <c:axId val="5133993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Construction</a:t>
                </a:r>
                <a:r>
                  <a:rPr lang="en-GB" b="1" baseline="0"/>
                  <a:t> Sector</a:t>
                </a:r>
              </a:p>
              <a:p>
                <a:pPr>
                  <a:defRPr/>
                </a:pPr>
                <a:endParaRPr lang="en-GB"/>
              </a:p>
            </c:rich>
          </c:tx>
          <c:layout>
            <c:manualLayout>
              <c:xMode val="edge"/>
              <c:yMode val="edge"/>
              <c:x val="0.43923289049673409"/>
              <c:y val="0.9108022984379725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3399791"/>
        <c:crosses val="autoZero"/>
        <c:auto val="1"/>
        <c:lblAlgn val="ctr"/>
        <c:lblOffset val="100"/>
        <c:noMultiLvlLbl val="0"/>
      </c:catAx>
      <c:valAx>
        <c:axId val="5133997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800" b="1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Amount(£ million)</a:t>
                </a:r>
                <a:endParaRPr lang="en-GB" b="1"/>
              </a:p>
            </c:rich>
          </c:tx>
          <c:layout>
            <c:manualLayout>
              <c:xMode val="edge"/>
              <c:yMode val="edge"/>
              <c:x val="2.4720956777303967E-2"/>
              <c:y val="0.3824356496090383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33993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Mean Amount (£ million) per year spent per sector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'Private Sector Value'!$A$46</c:f>
              <c:strCache>
                <c:ptCount val="1"/>
                <c:pt idx="0">
                  <c:v>Mean amount (£ million) per year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6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7"/>
            <c:bubble3D val="0"/>
            <c:spPr>
              <a:gradFill rotWithShape="1">
                <a:gsLst>
                  <a:gs pos="0">
                    <a:schemeClr val="accent2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2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2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8"/>
            <c:bubble3D val="0"/>
            <c:spPr>
              <a:gradFill rotWithShape="1">
                <a:gsLst>
                  <a:gs pos="0">
                    <a:schemeClr val="accent3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9"/>
            <c:bubble3D val="0"/>
            <c:spPr>
              <a:gradFill rotWithShape="1">
                <a:gsLst>
                  <a:gs pos="0">
                    <a:schemeClr val="accent4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4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4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0"/>
            <c:bubble3D val="0"/>
            <c:spPr>
              <a:gradFill rotWithShape="1">
                <a:gsLst>
                  <a:gs pos="0">
                    <a:schemeClr val="accent5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5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5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1"/>
            <c:bubble3D val="0"/>
            <c:spPr>
              <a:gradFill rotWithShape="1">
                <a:gsLst>
                  <a:gs pos="0">
                    <a:schemeClr val="accent6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6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6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2"/>
            <c:bubble3D val="0"/>
            <c:spPr>
              <a:gradFill rotWithShape="1">
                <a:gsLst>
                  <a:gs pos="0">
                    <a:schemeClr val="accent1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3"/>
            <c:bubble3D val="0"/>
            <c:spPr>
              <a:gradFill rotWithShape="1">
                <a:gsLst>
                  <a:gs pos="0">
                    <a:schemeClr val="accent2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2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2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'Private Sector Value'!$B$4:$O$4</c:f>
              <c:strCache>
                <c:ptCount val="14"/>
                <c:pt idx="0">
                  <c:v>Total private new housing</c:v>
                </c:pt>
                <c:pt idx="1">
                  <c:v>Total private Infrastructure</c:v>
                </c:pt>
                <c:pt idx="2">
                  <c:v>Private industrial: factories</c:v>
                </c:pt>
                <c:pt idx="3">
                  <c:v>Private industrial: warehouses</c:v>
                </c:pt>
                <c:pt idx="4">
                  <c:v>Private industrial: oil, steel &amp; coal</c:v>
                </c:pt>
                <c:pt idx="5">
                  <c:v>All private industrial</c:v>
                </c:pt>
                <c:pt idx="6">
                  <c:v>Private commercial: schools &amp; universities</c:v>
                </c:pt>
                <c:pt idx="7">
                  <c:v>Private commercial: health</c:v>
                </c:pt>
                <c:pt idx="8">
                  <c:v>Private commercial: offices</c:v>
                </c:pt>
                <c:pt idx="9">
                  <c:v>Private commercial: entertainment</c:v>
                </c:pt>
                <c:pt idx="10">
                  <c:v>Private commercial: garages</c:v>
                </c:pt>
                <c:pt idx="11">
                  <c:v>Private commercial: shops</c:v>
                </c:pt>
                <c:pt idx="12">
                  <c:v>Private commercial: agriculture &amp; miscellaneous</c:v>
                </c:pt>
                <c:pt idx="13">
                  <c:v>All private commercial</c:v>
                </c:pt>
              </c:strCache>
            </c:strRef>
          </c:cat>
          <c:val>
            <c:numRef>
              <c:f>'Private Sector Value'!$B$46:$O$46</c:f>
              <c:numCache>
                <c:formatCode>#,##0.00</c:formatCode>
                <c:ptCount val="14"/>
                <c:pt idx="0">
                  <c:v>23301.807692307691</c:v>
                </c:pt>
                <c:pt idx="1">
                  <c:v>8636.1923076923085</c:v>
                </c:pt>
                <c:pt idx="2">
                  <c:v>2613.6153846153848</c:v>
                </c:pt>
                <c:pt idx="3">
                  <c:v>2281.7307692307691</c:v>
                </c:pt>
                <c:pt idx="4">
                  <c:v>163.30769230769232</c:v>
                </c:pt>
                <c:pt idx="5">
                  <c:v>5058.6923076923076</c:v>
                </c:pt>
                <c:pt idx="6">
                  <c:v>3076.3076923076924</c:v>
                </c:pt>
                <c:pt idx="7">
                  <c:v>1503.0769230769231</c:v>
                </c:pt>
                <c:pt idx="8">
                  <c:v>8734.3076923076915</c:v>
                </c:pt>
                <c:pt idx="9">
                  <c:v>5328.5</c:v>
                </c:pt>
                <c:pt idx="10">
                  <c:v>510.84615384615387</c:v>
                </c:pt>
                <c:pt idx="11">
                  <c:v>4985.9615384615381</c:v>
                </c:pt>
                <c:pt idx="12">
                  <c:v>1540.1538461538462</c:v>
                </c:pt>
                <c:pt idx="13">
                  <c:v>25678.807692307691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DC-42F6-A022-F9FA1D5494B3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%Change In Number of Small,</a:t>
            </a:r>
            <a:r>
              <a:rPr lang="en-GB" baseline="0"/>
              <a:t> Medium and Large Size</a:t>
            </a:r>
            <a:r>
              <a:rPr lang="en-GB"/>
              <a:t> Firms Each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'Firm Size'!$A$26</c:f>
              <c:strCache>
                <c:ptCount val="1"/>
                <c:pt idx="0">
                  <c:v>1</c:v>
                </c:pt>
              </c:strCache>
            </c:strRef>
          </c:tx>
          <c:spPr>
            <a:ln w="28575" cap="rnd">
              <a:solidFill>
                <a:schemeClr val="accent1">
                  <a:shade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'Firm Size'!$B$25:$AC$25</c15:sqref>
                  </c15:fullRef>
                </c:ext>
              </c:extLst>
              <c:f>'Firm Size'!$B$25:$AB$25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'Firm Size'!$B$26:$AC$26</c15:sqref>
                  </c15:fullRef>
                </c:ext>
              </c:extLst>
              <c:f>'Firm Size'!$B$26:$AB$26</c:f>
              <c:numCache>
                <c:formatCode>0.00%</c:formatCode>
                <c:ptCount val="27"/>
                <c:pt idx="0">
                  <c:v>0</c:v>
                </c:pt>
                <c:pt idx="1">
                  <c:v>1.8175706221238219E-2</c:v>
                </c:pt>
                <c:pt idx="2">
                  <c:v>2.0606350399034576E-3</c:v>
                </c:pt>
                <c:pt idx="3">
                  <c:v>-3.4765616123974643E-3</c:v>
                </c:pt>
                <c:pt idx="4">
                  <c:v>-0.11156968259759212</c:v>
                </c:pt>
                <c:pt idx="5">
                  <c:v>-8.3348304801991638E-2</c:v>
                </c:pt>
                <c:pt idx="6">
                  <c:v>-1.485349498117064E-2</c:v>
                </c:pt>
                <c:pt idx="7">
                  <c:v>1.7763251385533609E-2</c:v>
                </c:pt>
                <c:pt idx="8">
                  <c:v>2.0901982686400446E-2</c:v>
                </c:pt>
                <c:pt idx="9">
                  <c:v>-1.5823953389772556E-2</c:v>
                </c:pt>
                <c:pt idx="10">
                  <c:v>3.2865480822679267E-2</c:v>
                </c:pt>
                <c:pt idx="11">
                  <c:v>6.0558358560376724E-2</c:v>
                </c:pt>
                <c:pt idx="12">
                  <c:v>-4.3691167888767667E-2</c:v>
                </c:pt>
                <c:pt idx="13">
                  <c:v>0.14449072722931203</c:v>
                </c:pt>
                <c:pt idx="14">
                  <c:v>3.3127013932355058E-2</c:v>
                </c:pt>
                <c:pt idx="15">
                  <c:v>1.6997262487097788E-2</c:v>
                </c:pt>
                <c:pt idx="16">
                  <c:v>2.1931227729544277E-2</c:v>
                </c:pt>
                <c:pt idx="17">
                  <c:v>3.1413612565445027E-3</c:v>
                </c:pt>
                <c:pt idx="18">
                  <c:v>0.16965112024621742</c:v>
                </c:pt>
                <c:pt idx="19">
                  <c:v>0.13614742710988031</c:v>
                </c:pt>
                <c:pt idx="20">
                  <c:v>8.0841208528694863E-2</c:v>
                </c:pt>
                <c:pt idx="21">
                  <c:v>3.4441680652121796E-2</c:v>
                </c:pt>
                <c:pt idx="22">
                  <c:v>4.4615373472683947E-2</c:v>
                </c:pt>
                <c:pt idx="23">
                  <c:v>3.0195037059121257E-2</c:v>
                </c:pt>
                <c:pt idx="24">
                  <c:v>3.3906746352231731E-2</c:v>
                </c:pt>
                <c:pt idx="25">
                  <c:v>2.2067151840231218E-2</c:v>
                </c:pt>
                <c:pt idx="26">
                  <c:v>-5.4709194201717068E-3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325-4DDF-A13D-B0A4792A9E16}"/>
            </c:ext>
          </c:extLst>
        </c:ser>
        <c:ser>
          <c:idx val="6"/>
          <c:order val="6"/>
          <c:tx>
            <c:strRef>
              <c:f>'Firm Size'!$A$32</c:f>
              <c:strCache>
                <c:ptCount val="1"/>
                <c:pt idx="0">
                  <c:v>35-59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'Firm Size'!$B$25:$AC$25</c15:sqref>
                  </c15:fullRef>
                </c:ext>
              </c:extLst>
              <c:f>'Firm Size'!$B$25:$AB$25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'Firm Size'!$B$32:$AC$32</c15:sqref>
                  </c15:fullRef>
                </c:ext>
              </c:extLst>
              <c:f>'Firm Size'!$B$32:$AB$32</c:f>
              <c:numCache>
                <c:formatCode>0.00%</c:formatCode>
                <c:ptCount val="27"/>
                <c:pt idx="0">
                  <c:v>0</c:v>
                </c:pt>
                <c:pt idx="1">
                  <c:v>9.2560553633217996E-2</c:v>
                </c:pt>
                <c:pt idx="2">
                  <c:v>-5.9382422802850353E-2</c:v>
                </c:pt>
                <c:pt idx="3">
                  <c:v>-6.6498316498316501E-2</c:v>
                </c:pt>
                <c:pt idx="4">
                  <c:v>-9.9188458070333635E-2</c:v>
                </c:pt>
                <c:pt idx="5">
                  <c:v>0.78378378378378377</c:v>
                </c:pt>
                <c:pt idx="6">
                  <c:v>2.1885521885521887E-2</c:v>
                </c:pt>
                <c:pt idx="7">
                  <c:v>4.6677649643053265E-2</c:v>
                </c:pt>
                <c:pt idx="8">
                  <c:v>1.1542497376705142E-2</c:v>
                </c:pt>
                <c:pt idx="9">
                  <c:v>5.4979253112033194E-2</c:v>
                </c:pt>
                <c:pt idx="10">
                  <c:v>4.6705998033431659E-2</c:v>
                </c:pt>
                <c:pt idx="11">
                  <c:v>3.8515735086895257E-2</c:v>
                </c:pt>
                <c:pt idx="12">
                  <c:v>-6.6485753052917235E-2</c:v>
                </c:pt>
                <c:pt idx="13">
                  <c:v>-8.1395348837209308E-2</c:v>
                </c:pt>
                <c:pt idx="14">
                  <c:v>-6.434599156118144E-2</c:v>
                </c:pt>
                <c:pt idx="15">
                  <c:v>1.2401352874859075E-2</c:v>
                </c:pt>
                <c:pt idx="16">
                  <c:v>-2.2271714922048998E-2</c:v>
                </c:pt>
                <c:pt idx="17">
                  <c:v>-2.2779043280182231E-3</c:v>
                </c:pt>
                <c:pt idx="18">
                  <c:v>5.5365296803652965E-2</c:v>
                </c:pt>
                <c:pt idx="19">
                  <c:v>-5.4083288263926451E-4</c:v>
                </c:pt>
                <c:pt idx="20">
                  <c:v>1.6774891774891776E-2</c:v>
                </c:pt>
                <c:pt idx="21">
                  <c:v>2.8206492815327302E-2</c:v>
                </c:pt>
                <c:pt idx="22">
                  <c:v>-7.246376811594203E-3</c:v>
                </c:pt>
                <c:pt idx="23">
                  <c:v>-2.6068821689259644E-3</c:v>
                </c:pt>
                <c:pt idx="24">
                  <c:v>-3.4500784108729747E-2</c:v>
                </c:pt>
                <c:pt idx="25">
                  <c:v>7.0384407146724419E-3</c:v>
                </c:pt>
                <c:pt idx="26">
                  <c:v>1.5053763440860216E-2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2325-4DDF-A13D-B0A4792A9E16}"/>
            </c:ext>
          </c:extLst>
        </c:ser>
        <c:ser>
          <c:idx val="12"/>
          <c:order val="12"/>
          <c:tx>
            <c:strRef>
              <c:f>'Firm Size'!$A$38</c:f>
              <c:strCache>
                <c:ptCount val="1"/>
                <c:pt idx="0">
                  <c:v>1,200 and over</c:v>
                </c:pt>
              </c:strCache>
            </c:strRef>
          </c:tx>
          <c:spPr>
            <a:ln w="28575" cap="rnd">
              <a:solidFill>
                <a:schemeClr val="accent1">
                  <a:tint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'Firm Size'!$B$25:$AC$25</c15:sqref>
                  </c15:fullRef>
                </c:ext>
              </c:extLst>
              <c:f>'Firm Size'!$B$25:$AB$25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'Firm Size'!$B$38:$AC$38</c15:sqref>
                  </c15:fullRef>
                </c:ext>
              </c:extLst>
              <c:f>'Firm Size'!$B$38:$AB$38</c:f>
              <c:numCache>
                <c:formatCode>0.00%</c:formatCode>
                <c:ptCount val="27"/>
                <c:pt idx="0">
                  <c:v>0</c:v>
                </c:pt>
                <c:pt idx="1">
                  <c:v>5.2631578947368418E-2</c:v>
                </c:pt>
                <c:pt idx="2">
                  <c:v>0.05</c:v>
                </c:pt>
                <c:pt idx="3">
                  <c:v>-0.16666666666666666</c:v>
                </c:pt>
                <c:pt idx="4">
                  <c:v>0.6</c:v>
                </c:pt>
                <c:pt idx="5">
                  <c:v>1.7857142857142856E-2</c:v>
                </c:pt>
                <c:pt idx="6">
                  <c:v>0.12280701754385964</c:v>
                </c:pt>
                <c:pt idx="7">
                  <c:v>-6.25E-2</c:v>
                </c:pt>
                <c:pt idx="8">
                  <c:v>-6.6666666666666666E-2</c:v>
                </c:pt>
                <c:pt idx="9">
                  <c:v>-3.5714285714285712E-2</c:v>
                </c:pt>
                <c:pt idx="10">
                  <c:v>0.1111111111111111</c:v>
                </c:pt>
                <c:pt idx="11">
                  <c:v>-1.6666666666666666E-2</c:v>
                </c:pt>
                <c:pt idx="12">
                  <c:v>5.0847457627118647E-2</c:v>
                </c:pt>
                <c:pt idx="13">
                  <c:v>0</c:v>
                </c:pt>
                <c:pt idx="14">
                  <c:v>-3.2258064516129031E-2</c:v>
                </c:pt>
                <c:pt idx="15">
                  <c:v>-1.6666666666666666E-2</c:v>
                </c:pt>
                <c:pt idx="16">
                  <c:v>1.6949152542372881E-2</c:v>
                </c:pt>
                <c:pt idx="17">
                  <c:v>0</c:v>
                </c:pt>
                <c:pt idx="18">
                  <c:v>-3.3333333333333333E-2</c:v>
                </c:pt>
                <c:pt idx="19">
                  <c:v>-1.7241379310344827E-2</c:v>
                </c:pt>
                <c:pt idx="20">
                  <c:v>-1.7543859649122806E-2</c:v>
                </c:pt>
                <c:pt idx="21">
                  <c:v>3.5714285714285712E-2</c:v>
                </c:pt>
                <c:pt idx="22">
                  <c:v>-6.8965517241379309E-2</c:v>
                </c:pt>
                <c:pt idx="23">
                  <c:v>0</c:v>
                </c:pt>
                <c:pt idx="24">
                  <c:v>3.7037037037037035E-2</c:v>
                </c:pt>
                <c:pt idx="25">
                  <c:v>-7.1428571428571425E-2</c:v>
                </c:pt>
                <c:pt idx="2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2325-4DDF-A13D-B0A4792A9E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91713727"/>
        <c:axId val="791714687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'Firm Size'!$A$27</c15:sqref>
                        </c15:formulaRef>
                      </c:ext>
                    </c:extLst>
                    <c:strCache>
                      <c:ptCount val="1"/>
                      <c:pt idx="0">
                        <c:v>2-3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shade val="5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ullRef>
                          <c15:sqref>'Firm Size'!$B$25:$AC$25</c15:sqref>
                        </c15:fullRef>
                        <c15:formulaRef>
                          <c15:sqref>'Firm Size'!$B$25:$AB$25</c15:sqref>
                        </c15:formulaRef>
                      </c:ext>
                    </c:extLst>
                    <c:strCache>
                      <c:ptCount val="27"/>
                      <c:pt idx="0">
                        <c:v>1997</c:v>
                      </c:pt>
                      <c:pt idx="1">
                        <c:v>1998</c:v>
                      </c:pt>
                      <c:pt idx="2">
                        <c:v>1999</c:v>
                      </c:pt>
                      <c:pt idx="3">
                        <c:v>2000</c:v>
                      </c:pt>
                      <c:pt idx="4">
                        <c:v>2001</c:v>
                      </c:pt>
                      <c:pt idx="5">
                        <c:v>2002</c:v>
                      </c:pt>
                      <c:pt idx="6">
                        <c:v>2003</c:v>
                      </c:pt>
                      <c:pt idx="7">
                        <c:v>2004</c:v>
                      </c:pt>
                      <c:pt idx="8">
                        <c:v>2005</c:v>
                      </c:pt>
                      <c:pt idx="9">
                        <c:v>2006</c:v>
                      </c:pt>
                      <c:pt idx="10">
                        <c:v>2007</c:v>
                      </c:pt>
                      <c:pt idx="11">
                        <c:v>2008</c:v>
                      </c:pt>
                      <c:pt idx="12">
                        <c:v>2009</c:v>
                      </c:pt>
                      <c:pt idx="13">
                        <c:v>2010</c:v>
                      </c:pt>
                      <c:pt idx="14">
                        <c:v>2011</c:v>
                      </c:pt>
                      <c:pt idx="15">
                        <c:v>2012</c:v>
                      </c:pt>
                      <c:pt idx="16">
                        <c:v>2013</c:v>
                      </c:pt>
                      <c:pt idx="17">
                        <c:v>2014</c:v>
                      </c:pt>
                      <c:pt idx="18">
                        <c:v>2015</c:v>
                      </c:pt>
                      <c:pt idx="19">
                        <c:v>2016</c:v>
                      </c:pt>
                      <c:pt idx="20">
                        <c:v>2017</c:v>
                      </c:pt>
                      <c:pt idx="21">
                        <c:v>2018</c:v>
                      </c:pt>
                      <c:pt idx="22">
                        <c:v>2019</c:v>
                      </c:pt>
                      <c:pt idx="23">
                        <c:v>2020</c:v>
                      </c:pt>
                      <c:pt idx="24">
                        <c:v>2021</c:v>
                      </c:pt>
                      <c:pt idx="25">
                        <c:v>2022</c:v>
                      </c:pt>
                      <c:pt idx="26">
                        <c:v>2023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'Firm Size'!$B$27:$AC$27</c15:sqref>
                        </c15:fullRef>
                        <c15:formulaRef>
                          <c15:sqref>'Firm Size'!$B$27:$AB$27</c15:sqref>
                        </c15:formulaRef>
                      </c:ext>
                    </c:extLst>
                    <c:numCache>
                      <c:formatCode>0.00%</c:formatCode>
                      <c:ptCount val="27"/>
                      <c:pt idx="0">
                        <c:v>0</c:v>
                      </c:pt>
                      <c:pt idx="1">
                        <c:v>5.750986483082865E-3</c:v>
                      </c:pt>
                      <c:pt idx="2">
                        <c:v>2.9884385825785717E-2</c:v>
                      </c:pt>
                      <c:pt idx="3">
                        <c:v>-1.1691995947315096E-2</c:v>
                      </c:pt>
                      <c:pt idx="4">
                        <c:v>3.8545916798228531E-2</c:v>
                      </c:pt>
                      <c:pt idx="5">
                        <c:v>-6.8505320514086034E-3</c:v>
                      </c:pt>
                      <c:pt idx="6">
                        <c:v>5.3989583747465514E-2</c:v>
                      </c:pt>
                      <c:pt idx="7">
                        <c:v>3.7814492097619855E-2</c:v>
                      </c:pt>
                      <c:pt idx="8">
                        <c:v>4.1670452686862813E-2</c:v>
                      </c:pt>
                      <c:pt idx="9">
                        <c:v>2.773900907187718E-2</c:v>
                      </c:pt>
                      <c:pt idx="10">
                        <c:v>2.3815990493973857E-2</c:v>
                      </c:pt>
                      <c:pt idx="11">
                        <c:v>4.3058710394110723E-2</c:v>
                      </c:pt>
                      <c:pt idx="12">
                        <c:v>-3.6321729454776665E-2</c:v>
                      </c:pt>
                      <c:pt idx="13">
                        <c:v>7.929072164948453E-2</c:v>
                      </c:pt>
                      <c:pt idx="14">
                        <c:v>3.927741777723438E-3</c:v>
                      </c:pt>
                      <c:pt idx="15">
                        <c:v>-5.6036779369453026E-2</c:v>
                      </c:pt>
                      <c:pt idx="16">
                        <c:v>6.5249645207070051E-2</c:v>
                      </c:pt>
                      <c:pt idx="17">
                        <c:v>1.226269415932419E-3</c:v>
                      </c:pt>
                      <c:pt idx="18">
                        <c:v>9.0617675965827468E-2</c:v>
                      </c:pt>
                      <c:pt idx="19">
                        <c:v>6.5397626441881102E-2</c:v>
                      </c:pt>
                      <c:pt idx="20">
                        <c:v>7.7272431517990764E-2</c:v>
                      </c:pt>
                      <c:pt idx="21">
                        <c:v>6.6607878429146075E-2</c:v>
                      </c:pt>
                      <c:pt idx="22">
                        <c:v>4.015991483289353E-2</c:v>
                      </c:pt>
                      <c:pt idx="23">
                        <c:v>3.0573914179632632E-2</c:v>
                      </c:pt>
                      <c:pt idx="24">
                        <c:v>5.8816071673833348E-2</c:v>
                      </c:pt>
                      <c:pt idx="25">
                        <c:v>3.7119080404717716E-2</c:v>
                      </c:pt>
                      <c:pt idx="26">
                        <c:v>-5.7822932902307144E-3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2325-4DDF-A13D-B0A4792A9E16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Size'!$A$28</c15:sqref>
                        </c15:formulaRef>
                      </c:ext>
                    </c:extLst>
                    <c:strCache>
                      <c:ptCount val="1"/>
                      <c:pt idx="0">
                        <c:v>4-7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shade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'Firm Size'!$B$25:$AC$25</c15:sqref>
                        </c15:fullRef>
                        <c15:formulaRef>
                          <c15:sqref>'Firm Size'!$B$25:$AB$25</c15:sqref>
                        </c15:formulaRef>
                      </c:ext>
                    </c:extLst>
                    <c:strCache>
                      <c:ptCount val="27"/>
                      <c:pt idx="0">
                        <c:v>1997</c:v>
                      </c:pt>
                      <c:pt idx="1">
                        <c:v>1998</c:v>
                      </c:pt>
                      <c:pt idx="2">
                        <c:v>1999</c:v>
                      </c:pt>
                      <c:pt idx="3">
                        <c:v>2000</c:v>
                      </c:pt>
                      <c:pt idx="4">
                        <c:v>2001</c:v>
                      </c:pt>
                      <c:pt idx="5">
                        <c:v>2002</c:v>
                      </c:pt>
                      <c:pt idx="6">
                        <c:v>2003</c:v>
                      </c:pt>
                      <c:pt idx="7">
                        <c:v>2004</c:v>
                      </c:pt>
                      <c:pt idx="8">
                        <c:v>2005</c:v>
                      </c:pt>
                      <c:pt idx="9">
                        <c:v>2006</c:v>
                      </c:pt>
                      <c:pt idx="10">
                        <c:v>2007</c:v>
                      </c:pt>
                      <c:pt idx="11">
                        <c:v>2008</c:v>
                      </c:pt>
                      <c:pt idx="12">
                        <c:v>2009</c:v>
                      </c:pt>
                      <c:pt idx="13">
                        <c:v>2010</c:v>
                      </c:pt>
                      <c:pt idx="14">
                        <c:v>2011</c:v>
                      </c:pt>
                      <c:pt idx="15">
                        <c:v>2012</c:v>
                      </c:pt>
                      <c:pt idx="16">
                        <c:v>2013</c:v>
                      </c:pt>
                      <c:pt idx="17">
                        <c:v>2014</c:v>
                      </c:pt>
                      <c:pt idx="18">
                        <c:v>2015</c:v>
                      </c:pt>
                      <c:pt idx="19">
                        <c:v>2016</c:v>
                      </c:pt>
                      <c:pt idx="20">
                        <c:v>2017</c:v>
                      </c:pt>
                      <c:pt idx="21">
                        <c:v>2018</c:v>
                      </c:pt>
                      <c:pt idx="22">
                        <c:v>2019</c:v>
                      </c:pt>
                      <c:pt idx="23">
                        <c:v>2020</c:v>
                      </c:pt>
                      <c:pt idx="24">
                        <c:v>2021</c:v>
                      </c:pt>
                      <c:pt idx="25">
                        <c:v>2022</c:v>
                      </c:pt>
                      <c:pt idx="26">
                        <c:v>2023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'Firm Size'!$B$28:$AC$28</c15:sqref>
                        </c15:fullRef>
                        <c15:formulaRef>
                          <c15:sqref>'Firm Size'!$B$28:$AB$28</c15:sqref>
                        </c15:formulaRef>
                      </c:ext>
                    </c:extLst>
                    <c:numCache>
                      <c:formatCode>0.00%</c:formatCode>
                      <c:ptCount val="27"/>
                      <c:pt idx="0">
                        <c:v>0</c:v>
                      </c:pt>
                      <c:pt idx="1">
                        <c:v>4.1558111457075685E-2</c:v>
                      </c:pt>
                      <c:pt idx="2">
                        <c:v>3.5263254224879505E-2</c:v>
                      </c:pt>
                      <c:pt idx="3">
                        <c:v>-2.2688431846307974E-2</c:v>
                      </c:pt>
                      <c:pt idx="4">
                        <c:v>0.35401591895803186</c:v>
                      </c:pt>
                      <c:pt idx="5">
                        <c:v>6.7156535292807837E-2</c:v>
                      </c:pt>
                      <c:pt idx="6">
                        <c:v>7.2653674414722702E-2</c:v>
                      </c:pt>
                      <c:pt idx="7">
                        <c:v>4.5168067226890755E-2</c:v>
                      </c:pt>
                      <c:pt idx="8">
                        <c:v>5.8440349897636329E-2</c:v>
                      </c:pt>
                      <c:pt idx="9">
                        <c:v>6.8225778090381578E-2</c:v>
                      </c:pt>
                      <c:pt idx="10">
                        <c:v>4.7374485596707816E-2</c:v>
                      </c:pt>
                      <c:pt idx="11">
                        <c:v>5.5950210599107313E-2</c:v>
                      </c:pt>
                      <c:pt idx="12">
                        <c:v>-1.5627790676906589E-2</c:v>
                      </c:pt>
                      <c:pt idx="13">
                        <c:v>-2.8727811545556262E-2</c:v>
                      </c:pt>
                      <c:pt idx="14">
                        <c:v>-6.1552352190292349E-2</c:v>
                      </c:pt>
                      <c:pt idx="15">
                        <c:v>-4.2034370645610775E-2</c:v>
                      </c:pt>
                      <c:pt idx="16">
                        <c:v>4.8138528138528137E-3</c:v>
                      </c:pt>
                      <c:pt idx="17">
                        <c:v>4.411663334941752E-3</c:v>
                      </c:pt>
                      <c:pt idx="18">
                        <c:v>5.8781140621782996E-2</c:v>
                      </c:pt>
                      <c:pt idx="19">
                        <c:v>4.80959325879112E-2</c:v>
                      </c:pt>
                      <c:pt idx="20">
                        <c:v>4.9290330560623395E-2</c:v>
                      </c:pt>
                      <c:pt idx="21">
                        <c:v>4.4234226269413257E-2</c:v>
                      </c:pt>
                      <c:pt idx="22">
                        <c:v>1.7977084156459898E-2</c:v>
                      </c:pt>
                      <c:pt idx="23">
                        <c:v>1.8130908486041417E-2</c:v>
                      </c:pt>
                      <c:pt idx="24">
                        <c:v>4.4329475833900615E-2</c:v>
                      </c:pt>
                      <c:pt idx="25">
                        <c:v>7.0164002815946605E-2</c:v>
                      </c:pt>
                      <c:pt idx="26">
                        <c:v>-1.7030503849527336E-2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2325-4DDF-A13D-B0A4792A9E16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Size'!$A$29</c15:sqref>
                        </c15:formulaRef>
                      </c:ext>
                    </c:extLst>
                    <c:strCache>
                      <c:ptCount val="1"/>
                      <c:pt idx="0">
                        <c:v>8-13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shade val="7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'Firm Size'!$B$25:$AC$25</c15:sqref>
                        </c15:fullRef>
                        <c15:formulaRef>
                          <c15:sqref>'Firm Size'!$B$25:$AB$25</c15:sqref>
                        </c15:formulaRef>
                      </c:ext>
                    </c:extLst>
                    <c:strCache>
                      <c:ptCount val="27"/>
                      <c:pt idx="0">
                        <c:v>1997</c:v>
                      </c:pt>
                      <c:pt idx="1">
                        <c:v>1998</c:v>
                      </c:pt>
                      <c:pt idx="2">
                        <c:v>1999</c:v>
                      </c:pt>
                      <c:pt idx="3">
                        <c:v>2000</c:v>
                      </c:pt>
                      <c:pt idx="4">
                        <c:v>2001</c:v>
                      </c:pt>
                      <c:pt idx="5">
                        <c:v>2002</c:v>
                      </c:pt>
                      <c:pt idx="6">
                        <c:v>2003</c:v>
                      </c:pt>
                      <c:pt idx="7">
                        <c:v>2004</c:v>
                      </c:pt>
                      <c:pt idx="8">
                        <c:v>2005</c:v>
                      </c:pt>
                      <c:pt idx="9">
                        <c:v>2006</c:v>
                      </c:pt>
                      <c:pt idx="10">
                        <c:v>2007</c:v>
                      </c:pt>
                      <c:pt idx="11">
                        <c:v>2008</c:v>
                      </c:pt>
                      <c:pt idx="12">
                        <c:v>2009</c:v>
                      </c:pt>
                      <c:pt idx="13">
                        <c:v>2010</c:v>
                      </c:pt>
                      <c:pt idx="14">
                        <c:v>2011</c:v>
                      </c:pt>
                      <c:pt idx="15">
                        <c:v>2012</c:v>
                      </c:pt>
                      <c:pt idx="16">
                        <c:v>2013</c:v>
                      </c:pt>
                      <c:pt idx="17">
                        <c:v>2014</c:v>
                      </c:pt>
                      <c:pt idx="18">
                        <c:v>2015</c:v>
                      </c:pt>
                      <c:pt idx="19">
                        <c:v>2016</c:v>
                      </c:pt>
                      <c:pt idx="20">
                        <c:v>2017</c:v>
                      </c:pt>
                      <c:pt idx="21">
                        <c:v>2018</c:v>
                      </c:pt>
                      <c:pt idx="22">
                        <c:v>2019</c:v>
                      </c:pt>
                      <c:pt idx="23">
                        <c:v>2020</c:v>
                      </c:pt>
                      <c:pt idx="24">
                        <c:v>2021</c:v>
                      </c:pt>
                      <c:pt idx="25">
                        <c:v>2022</c:v>
                      </c:pt>
                      <c:pt idx="26">
                        <c:v>2023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'Firm Size'!$B$29:$AC$29</c15:sqref>
                        </c15:fullRef>
                        <c15:formulaRef>
                          <c15:sqref>'Firm Size'!$B$29:$AB$29</c15:sqref>
                        </c15:formulaRef>
                      </c:ext>
                    </c:extLst>
                    <c:numCache>
                      <c:formatCode>0.00%</c:formatCode>
                      <c:ptCount val="27"/>
                      <c:pt idx="0">
                        <c:v>0</c:v>
                      </c:pt>
                      <c:pt idx="1">
                        <c:v>5.3076313704779506E-2</c:v>
                      </c:pt>
                      <c:pt idx="2">
                        <c:v>4.0120361083249748E-2</c:v>
                      </c:pt>
                      <c:pt idx="3">
                        <c:v>-8.6306653809064604E-2</c:v>
                      </c:pt>
                      <c:pt idx="4">
                        <c:v>1.1224274406332453</c:v>
                      </c:pt>
                      <c:pt idx="5">
                        <c:v>0.22066136250621582</c:v>
                      </c:pt>
                      <c:pt idx="6">
                        <c:v>7.0170078419390977E-2</c:v>
                      </c:pt>
                      <c:pt idx="7">
                        <c:v>4.51084887704606E-2</c:v>
                      </c:pt>
                      <c:pt idx="8">
                        <c:v>5.6182844654889819E-2</c:v>
                      </c:pt>
                      <c:pt idx="9">
                        <c:v>5.4401241486335031E-2</c:v>
                      </c:pt>
                      <c:pt idx="10">
                        <c:v>3.5895339329517578E-2</c:v>
                      </c:pt>
                      <c:pt idx="11">
                        <c:v>6.2356934248954138E-2</c:v>
                      </c:pt>
                      <c:pt idx="12">
                        <c:v>-7.9426406122297344E-2</c:v>
                      </c:pt>
                      <c:pt idx="13">
                        <c:v>-4.9717514124293788E-2</c:v>
                      </c:pt>
                      <c:pt idx="14">
                        <c:v>-4.5863767623577377E-2</c:v>
                      </c:pt>
                      <c:pt idx="15">
                        <c:v>1.9672423001602279E-2</c:v>
                      </c:pt>
                      <c:pt idx="16">
                        <c:v>-2.6189436927106066E-3</c:v>
                      </c:pt>
                      <c:pt idx="17">
                        <c:v>2.6258205689277899E-3</c:v>
                      </c:pt>
                      <c:pt idx="18">
                        <c:v>4.0855521606285465E-2</c:v>
                      </c:pt>
                      <c:pt idx="19">
                        <c:v>2.7845340937683469E-2</c:v>
                      </c:pt>
                      <c:pt idx="20">
                        <c:v>3.345573235414117E-2</c:v>
                      </c:pt>
                      <c:pt idx="21">
                        <c:v>1.7765495459928938E-2</c:v>
                      </c:pt>
                      <c:pt idx="22">
                        <c:v>1.3964313421256788E-3</c:v>
                      </c:pt>
                      <c:pt idx="23">
                        <c:v>2.7967152153703129E-2</c:v>
                      </c:pt>
                      <c:pt idx="24">
                        <c:v>1.8087271082975358E-2</c:v>
                      </c:pt>
                      <c:pt idx="25">
                        <c:v>6.4327485380116955E-2</c:v>
                      </c:pt>
                      <c:pt idx="26">
                        <c:v>-6.6073167338990121E-3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3-2325-4DDF-A13D-B0A4792A9E16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Size'!$A$30</c15:sqref>
                        </c15:formulaRef>
                      </c:ext>
                    </c:extLst>
                    <c:strCache>
                      <c:ptCount val="1"/>
                      <c:pt idx="0">
                        <c:v>14-24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shade val="8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'Firm Size'!$B$25:$AC$25</c15:sqref>
                        </c15:fullRef>
                        <c15:formulaRef>
                          <c15:sqref>'Firm Size'!$B$25:$AB$25</c15:sqref>
                        </c15:formulaRef>
                      </c:ext>
                    </c:extLst>
                    <c:strCache>
                      <c:ptCount val="27"/>
                      <c:pt idx="0">
                        <c:v>1997</c:v>
                      </c:pt>
                      <c:pt idx="1">
                        <c:v>1998</c:v>
                      </c:pt>
                      <c:pt idx="2">
                        <c:v>1999</c:v>
                      </c:pt>
                      <c:pt idx="3">
                        <c:v>2000</c:v>
                      </c:pt>
                      <c:pt idx="4">
                        <c:v>2001</c:v>
                      </c:pt>
                      <c:pt idx="5">
                        <c:v>2002</c:v>
                      </c:pt>
                      <c:pt idx="6">
                        <c:v>2003</c:v>
                      </c:pt>
                      <c:pt idx="7">
                        <c:v>2004</c:v>
                      </c:pt>
                      <c:pt idx="8">
                        <c:v>2005</c:v>
                      </c:pt>
                      <c:pt idx="9">
                        <c:v>2006</c:v>
                      </c:pt>
                      <c:pt idx="10">
                        <c:v>2007</c:v>
                      </c:pt>
                      <c:pt idx="11">
                        <c:v>2008</c:v>
                      </c:pt>
                      <c:pt idx="12">
                        <c:v>2009</c:v>
                      </c:pt>
                      <c:pt idx="13">
                        <c:v>2010</c:v>
                      </c:pt>
                      <c:pt idx="14">
                        <c:v>2011</c:v>
                      </c:pt>
                      <c:pt idx="15">
                        <c:v>2012</c:v>
                      </c:pt>
                      <c:pt idx="16">
                        <c:v>2013</c:v>
                      </c:pt>
                      <c:pt idx="17">
                        <c:v>2014</c:v>
                      </c:pt>
                      <c:pt idx="18">
                        <c:v>2015</c:v>
                      </c:pt>
                      <c:pt idx="19">
                        <c:v>2016</c:v>
                      </c:pt>
                      <c:pt idx="20">
                        <c:v>2017</c:v>
                      </c:pt>
                      <c:pt idx="21">
                        <c:v>2018</c:v>
                      </c:pt>
                      <c:pt idx="22">
                        <c:v>2019</c:v>
                      </c:pt>
                      <c:pt idx="23">
                        <c:v>2020</c:v>
                      </c:pt>
                      <c:pt idx="24">
                        <c:v>2021</c:v>
                      </c:pt>
                      <c:pt idx="25">
                        <c:v>2022</c:v>
                      </c:pt>
                      <c:pt idx="26">
                        <c:v>2023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'Firm Size'!$B$30:$AC$30</c15:sqref>
                        </c15:fullRef>
                        <c15:formulaRef>
                          <c15:sqref>'Firm Size'!$B$30:$AB$30</c15:sqref>
                        </c15:formulaRef>
                      </c:ext>
                    </c:extLst>
                    <c:numCache>
                      <c:formatCode>0.00%</c:formatCode>
                      <c:ptCount val="27"/>
                      <c:pt idx="0">
                        <c:v>0</c:v>
                      </c:pt>
                      <c:pt idx="1">
                        <c:v>5.578845533698807E-2</c:v>
                      </c:pt>
                      <c:pt idx="2">
                        <c:v>-9.1631032376298109E-4</c:v>
                      </c:pt>
                      <c:pt idx="3">
                        <c:v>-5.1054723326199938E-2</c:v>
                      </c:pt>
                      <c:pt idx="4">
                        <c:v>0.58505154639175261</c:v>
                      </c:pt>
                      <c:pt idx="5">
                        <c:v>0.10304878048780487</c:v>
                      </c:pt>
                      <c:pt idx="6">
                        <c:v>8.5682697622996129E-2</c:v>
                      </c:pt>
                      <c:pt idx="7">
                        <c:v>4.5655125594025799E-2</c:v>
                      </c:pt>
                      <c:pt idx="8">
                        <c:v>2.9216036357734135E-2</c:v>
                      </c:pt>
                      <c:pt idx="9">
                        <c:v>4.9676707143983596E-2</c:v>
                      </c:pt>
                      <c:pt idx="10">
                        <c:v>3.064903846153846E-2</c:v>
                      </c:pt>
                      <c:pt idx="11">
                        <c:v>3.5276967930029157E-2</c:v>
                      </c:pt>
                      <c:pt idx="12">
                        <c:v>-8.4483244156575613E-2</c:v>
                      </c:pt>
                      <c:pt idx="13">
                        <c:v>-7.2746847123961858E-2</c:v>
                      </c:pt>
                      <c:pt idx="14">
                        <c:v>-4.1632111461270528E-2</c:v>
                      </c:pt>
                      <c:pt idx="15">
                        <c:v>5.1921079958463137E-2</c:v>
                      </c:pt>
                      <c:pt idx="16">
                        <c:v>-1.5301085883514315E-2</c:v>
                      </c:pt>
                      <c:pt idx="17">
                        <c:v>5.1796157059314958E-3</c:v>
                      </c:pt>
                      <c:pt idx="18">
                        <c:v>3.108377659574468E-2</c:v>
                      </c:pt>
                      <c:pt idx="19">
                        <c:v>4.3527325487667254E-3</c:v>
                      </c:pt>
                      <c:pt idx="20">
                        <c:v>1.5730337078651686E-2</c:v>
                      </c:pt>
                      <c:pt idx="21">
                        <c:v>1.8331226295828066E-2</c:v>
                      </c:pt>
                      <c:pt idx="22">
                        <c:v>9.9317194289261328E-3</c:v>
                      </c:pt>
                      <c:pt idx="23">
                        <c:v>1.9207129686539644E-2</c:v>
                      </c:pt>
                      <c:pt idx="24">
                        <c:v>2.2614201718679332E-3</c:v>
                      </c:pt>
                      <c:pt idx="25">
                        <c:v>6.6335740072202165E-2</c:v>
                      </c:pt>
                      <c:pt idx="26">
                        <c:v>2.8494851177881225E-2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2325-4DDF-A13D-B0A4792A9E16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Size'!$A$31</c15:sqref>
                        </c15:formulaRef>
                      </c:ext>
                    </c:extLst>
                    <c:strCache>
                      <c:ptCount val="1"/>
                      <c:pt idx="0">
                        <c:v>25-34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shade val="9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'Firm Size'!$B$25:$AC$25</c15:sqref>
                        </c15:fullRef>
                        <c15:formulaRef>
                          <c15:sqref>'Firm Size'!$B$25:$AB$25</c15:sqref>
                        </c15:formulaRef>
                      </c:ext>
                    </c:extLst>
                    <c:strCache>
                      <c:ptCount val="27"/>
                      <c:pt idx="0">
                        <c:v>1997</c:v>
                      </c:pt>
                      <c:pt idx="1">
                        <c:v>1998</c:v>
                      </c:pt>
                      <c:pt idx="2">
                        <c:v>1999</c:v>
                      </c:pt>
                      <c:pt idx="3">
                        <c:v>2000</c:v>
                      </c:pt>
                      <c:pt idx="4">
                        <c:v>2001</c:v>
                      </c:pt>
                      <c:pt idx="5">
                        <c:v>2002</c:v>
                      </c:pt>
                      <c:pt idx="6">
                        <c:v>2003</c:v>
                      </c:pt>
                      <c:pt idx="7">
                        <c:v>2004</c:v>
                      </c:pt>
                      <c:pt idx="8">
                        <c:v>2005</c:v>
                      </c:pt>
                      <c:pt idx="9">
                        <c:v>2006</c:v>
                      </c:pt>
                      <c:pt idx="10">
                        <c:v>2007</c:v>
                      </c:pt>
                      <c:pt idx="11">
                        <c:v>2008</c:v>
                      </c:pt>
                      <c:pt idx="12">
                        <c:v>2009</c:v>
                      </c:pt>
                      <c:pt idx="13">
                        <c:v>2010</c:v>
                      </c:pt>
                      <c:pt idx="14">
                        <c:v>2011</c:v>
                      </c:pt>
                      <c:pt idx="15">
                        <c:v>2012</c:v>
                      </c:pt>
                      <c:pt idx="16">
                        <c:v>2013</c:v>
                      </c:pt>
                      <c:pt idx="17">
                        <c:v>2014</c:v>
                      </c:pt>
                      <c:pt idx="18">
                        <c:v>2015</c:v>
                      </c:pt>
                      <c:pt idx="19">
                        <c:v>2016</c:v>
                      </c:pt>
                      <c:pt idx="20">
                        <c:v>2017</c:v>
                      </c:pt>
                      <c:pt idx="21">
                        <c:v>2018</c:v>
                      </c:pt>
                      <c:pt idx="22">
                        <c:v>2019</c:v>
                      </c:pt>
                      <c:pt idx="23">
                        <c:v>2020</c:v>
                      </c:pt>
                      <c:pt idx="24">
                        <c:v>2021</c:v>
                      </c:pt>
                      <c:pt idx="25">
                        <c:v>2022</c:v>
                      </c:pt>
                      <c:pt idx="26">
                        <c:v>2023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'Firm Size'!$B$31:$AC$31</c15:sqref>
                        </c15:fullRef>
                        <c15:formulaRef>
                          <c15:sqref>'Firm Size'!$B$31:$AB$31</c15:sqref>
                        </c15:formulaRef>
                      </c:ext>
                    </c:extLst>
                    <c:numCache>
                      <c:formatCode>0.00%</c:formatCode>
                      <c:ptCount val="27"/>
                      <c:pt idx="0">
                        <c:v>0</c:v>
                      </c:pt>
                      <c:pt idx="1">
                        <c:v>2.1258503401360544E-2</c:v>
                      </c:pt>
                      <c:pt idx="2">
                        <c:v>0.10907577019150708</c:v>
                      </c:pt>
                      <c:pt idx="3">
                        <c:v>-9.8348348348348352E-2</c:v>
                      </c:pt>
                      <c:pt idx="4">
                        <c:v>0.48376353039134057</c:v>
                      </c:pt>
                      <c:pt idx="5">
                        <c:v>1.5151515151515152E-2</c:v>
                      </c:pt>
                      <c:pt idx="6">
                        <c:v>6.7993366500829183E-2</c:v>
                      </c:pt>
                      <c:pt idx="7">
                        <c:v>2.7432712215320912E-2</c:v>
                      </c:pt>
                      <c:pt idx="8">
                        <c:v>2.6196473551637279E-2</c:v>
                      </c:pt>
                      <c:pt idx="9">
                        <c:v>9.3274423171330386E-3</c:v>
                      </c:pt>
                      <c:pt idx="10">
                        <c:v>3.5019455252918288E-2</c:v>
                      </c:pt>
                      <c:pt idx="11">
                        <c:v>6.2969924812030079E-2</c:v>
                      </c:pt>
                      <c:pt idx="12">
                        <c:v>-6.9849690539345713E-2</c:v>
                      </c:pt>
                      <c:pt idx="13">
                        <c:v>-0.11406844106463879</c:v>
                      </c:pt>
                      <c:pt idx="14">
                        <c:v>-8.1008583690987124E-2</c:v>
                      </c:pt>
                      <c:pt idx="15">
                        <c:v>5.9544658493870403E-2</c:v>
                      </c:pt>
                      <c:pt idx="16">
                        <c:v>-3.1955922865013774E-2</c:v>
                      </c:pt>
                      <c:pt idx="17">
                        <c:v>-5.6915196357427435E-4</c:v>
                      </c:pt>
                      <c:pt idx="18">
                        <c:v>-1.9362186788154899E-2</c:v>
                      </c:pt>
                      <c:pt idx="19">
                        <c:v>6.968641114982578E-2</c:v>
                      </c:pt>
                      <c:pt idx="20">
                        <c:v>2.3344191096634093E-2</c:v>
                      </c:pt>
                      <c:pt idx="21">
                        <c:v>2.8647214854111407E-2</c:v>
                      </c:pt>
                      <c:pt idx="22">
                        <c:v>-1.7534811758638472E-2</c:v>
                      </c:pt>
                      <c:pt idx="23">
                        <c:v>1.6797900262467191E-2</c:v>
                      </c:pt>
                      <c:pt idx="24">
                        <c:v>2.8910686628807435E-2</c:v>
                      </c:pt>
                      <c:pt idx="25">
                        <c:v>3.7631710988459612E-2</c:v>
                      </c:pt>
                      <c:pt idx="26">
                        <c:v>-5.6092843326885883E-2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2325-4DDF-A13D-B0A4792A9E16}"/>
                  </c:ext>
                </c:extLst>
              </c15:ser>
            </c15:filteredLineSeries>
            <c15:filteredLineSeries>
              <c15:ser>
                <c:idx val="7"/>
                <c:order val="7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Size'!$A$33</c15:sqref>
                        </c15:formulaRef>
                      </c:ext>
                    </c:extLst>
                    <c:strCache>
                      <c:ptCount val="1"/>
                      <c:pt idx="0">
                        <c:v>60-79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tint val="9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'Firm Size'!$B$25:$AC$25</c15:sqref>
                        </c15:fullRef>
                        <c15:formulaRef>
                          <c15:sqref>'Firm Size'!$B$25:$AB$25</c15:sqref>
                        </c15:formulaRef>
                      </c:ext>
                    </c:extLst>
                    <c:strCache>
                      <c:ptCount val="27"/>
                      <c:pt idx="0">
                        <c:v>1997</c:v>
                      </c:pt>
                      <c:pt idx="1">
                        <c:v>1998</c:v>
                      </c:pt>
                      <c:pt idx="2">
                        <c:v>1999</c:v>
                      </c:pt>
                      <c:pt idx="3">
                        <c:v>2000</c:v>
                      </c:pt>
                      <c:pt idx="4">
                        <c:v>2001</c:v>
                      </c:pt>
                      <c:pt idx="5">
                        <c:v>2002</c:v>
                      </c:pt>
                      <c:pt idx="6">
                        <c:v>2003</c:v>
                      </c:pt>
                      <c:pt idx="7">
                        <c:v>2004</c:v>
                      </c:pt>
                      <c:pt idx="8">
                        <c:v>2005</c:v>
                      </c:pt>
                      <c:pt idx="9">
                        <c:v>2006</c:v>
                      </c:pt>
                      <c:pt idx="10">
                        <c:v>2007</c:v>
                      </c:pt>
                      <c:pt idx="11">
                        <c:v>2008</c:v>
                      </c:pt>
                      <c:pt idx="12">
                        <c:v>2009</c:v>
                      </c:pt>
                      <c:pt idx="13">
                        <c:v>2010</c:v>
                      </c:pt>
                      <c:pt idx="14">
                        <c:v>2011</c:v>
                      </c:pt>
                      <c:pt idx="15">
                        <c:v>2012</c:v>
                      </c:pt>
                      <c:pt idx="16">
                        <c:v>2013</c:v>
                      </c:pt>
                      <c:pt idx="17">
                        <c:v>2014</c:v>
                      </c:pt>
                      <c:pt idx="18">
                        <c:v>2015</c:v>
                      </c:pt>
                      <c:pt idx="19">
                        <c:v>2016</c:v>
                      </c:pt>
                      <c:pt idx="20">
                        <c:v>2017</c:v>
                      </c:pt>
                      <c:pt idx="21">
                        <c:v>2018</c:v>
                      </c:pt>
                      <c:pt idx="22">
                        <c:v>2019</c:v>
                      </c:pt>
                      <c:pt idx="23">
                        <c:v>2020</c:v>
                      </c:pt>
                      <c:pt idx="24">
                        <c:v>2021</c:v>
                      </c:pt>
                      <c:pt idx="25">
                        <c:v>2022</c:v>
                      </c:pt>
                      <c:pt idx="26">
                        <c:v>2023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'Firm Size'!$B$33:$AC$33</c15:sqref>
                        </c15:fullRef>
                        <c15:formulaRef>
                          <c15:sqref>'Firm Size'!$B$33:$AB$33</c15:sqref>
                        </c15:formulaRef>
                      </c:ext>
                    </c:extLst>
                    <c:numCache>
                      <c:formatCode>0.00%</c:formatCode>
                      <c:ptCount val="27"/>
                      <c:pt idx="0">
                        <c:v>0</c:v>
                      </c:pt>
                      <c:pt idx="1">
                        <c:v>5.808080808080808E-2</c:v>
                      </c:pt>
                      <c:pt idx="2">
                        <c:v>-5.2505966587112173E-2</c:v>
                      </c:pt>
                      <c:pt idx="3">
                        <c:v>-8.3123425692695208E-2</c:v>
                      </c:pt>
                      <c:pt idx="4">
                        <c:v>-2.7472527472527472E-2</c:v>
                      </c:pt>
                      <c:pt idx="5">
                        <c:v>0.29096045197740111</c:v>
                      </c:pt>
                      <c:pt idx="6">
                        <c:v>0.27571115973741794</c:v>
                      </c:pt>
                      <c:pt idx="7">
                        <c:v>-5.6603773584905662E-2</c:v>
                      </c:pt>
                      <c:pt idx="8">
                        <c:v>4.1818181818181817E-2</c:v>
                      </c:pt>
                      <c:pt idx="9">
                        <c:v>1.7452006980802792E-2</c:v>
                      </c:pt>
                      <c:pt idx="10">
                        <c:v>2.4013722126929673E-2</c:v>
                      </c:pt>
                      <c:pt idx="11">
                        <c:v>8.3752093802345065E-2</c:v>
                      </c:pt>
                      <c:pt idx="12">
                        <c:v>-7.8825347758887165E-2</c:v>
                      </c:pt>
                      <c:pt idx="13">
                        <c:v>-5.0335570469798654E-3</c:v>
                      </c:pt>
                      <c:pt idx="14">
                        <c:v>-7.7571669477234401E-2</c:v>
                      </c:pt>
                      <c:pt idx="15">
                        <c:v>-3.1078610603290677E-2</c:v>
                      </c:pt>
                      <c:pt idx="16">
                        <c:v>-1.3207547169811321E-2</c:v>
                      </c:pt>
                      <c:pt idx="17">
                        <c:v>-3.8240917782026767E-3</c:v>
                      </c:pt>
                      <c:pt idx="18">
                        <c:v>-1.9193857965451054E-2</c:v>
                      </c:pt>
                      <c:pt idx="19">
                        <c:v>4.5009784735812131E-2</c:v>
                      </c:pt>
                      <c:pt idx="20">
                        <c:v>1.4981273408239701E-2</c:v>
                      </c:pt>
                      <c:pt idx="21">
                        <c:v>2.5830258302583026E-2</c:v>
                      </c:pt>
                      <c:pt idx="22">
                        <c:v>-1.2589928057553957E-2</c:v>
                      </c:pt>
                      <c:pt idx="23">
                        <c:v>6.3752276867030971E-2</c:v>
                      </c:pt>
                      <c:pt idx="24">
                        <c:v>3.0821917808219176E-2</c:v>
                      </c:pt>
                      <c:pt idx="25">
                        <c:v>2.4916943521594685E-2</c:v>
                      </c:pt>
                      <c:pt idx="26">
                        <c:v>-4.2139384116693678E-2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7-2325-4DDF-A13D-B0A4792A9E16}"/>
                  </c:ext>
                </c:extLst>
              </c15:ser>
            </c15:filteredLineSeries>
            <c15:filteredLineSeries>
              <c15:ser>
                <c:idx val="8"/>
                <c:order val="8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Size'!$A$34</c15:sqref>
                        </c15:formulaRef>
                      </c:ext>
                    </c:extLst>
                    <c:strCache>
                      <c:ptCount val="1"/>
                      <c:pt idx="0">
                        <c:v>80-114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tint val="8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'Firm Size'!$B$25:$AC$25</c15:sqref>
                        </c15:fullRef>
                        <c15:formulaRef>
                          <c15:sqref>'Firm Size'!$B$25:$AB$25</c15:sqref>
                        </c15:formulaRef>
                      </c:ext>
                    </c:extLst>
                    <c:strCache>
                      <c:ptCount val="27"/>
                      <c:pt idx="0">
                        <c:v>1997</c:v>
                      </c:pt>
                      <c:pt idx="1">
                        <c:v>1998</c:v>
                      </c:pt>
                      <c:pt idx="2">
                        <c:v>1999</c:v>
                      </c:pt>
                      <c:pt idx="3">
                        <c:v>2000</c:v>
                      </c:pt>
                      <c:pt idx="4">
                        <c:v>2001</c:v>
                      </c:pt>
                      <c:pt idx="5">
                        <c:v>2002</c:v>
                      </c:pt>
                      <c:pt idx="6">
                        <c:v>2003</c:v>
                      </c:pt>
                      <c:pt idx="7">
                        <c:v>2004</c:v>
                      </c:pt>
                      <c:pt idx="8">
                        <c:v>2005</c:v>
                      </c:pt>
                      <c:pt idx="9">
                        <c:v>2006</c:v>
                      </c:pt>
                      <c:pt idx="10">
                        <c:v>2007</c:v>
                      </c:pt>
                      <c:pt idx="11">
                        <c:v>2008</c:v>
                      </c:pt>
                      <c:pt idx="12">
                        <c:v>2009</c:v>
                      </c:pt>
                      <c:pt idx="13">
                        <c:v>2010</c:v>
                      </c:pt>
                      <c:pt idx="14">
                        <c:v>2011</c:v>
                      </c:pt>
                      <c:pt idx="15">
                        <c:v>2012</c:v>
                      </c:pt>
                      <c:pt idx="16">
                        <c:v>2013</c:v>
                      </c:pt>
                      <c:pt idx="17">
                        <c:v>2014</c:v>
                      </c:pt>
                      <c:pt idx="18">
                        <c:v>2015</c:v>
                      </c:pt>
                      <c:pt idx="19">
                        <c:v>2016</c:v>
                      </c:pt>
                      <c:pt idx="20">
                        <c:v>2017</c:v>
                      </c:pt>
                      <c:pt idx="21">
                        <c:v>2018</c:v>
                      </c:pt>
                      <c:pt idx="22">
                        <c:v>2019</c:v>
                      </c:pt>
                      <c:pt idx="23">
                        <c:v>2020</c:v>
                      </c:pt>
                      <c:pt idx="24">
                        <c:v>2021</c:v>
                      </c:pt>
                      <c:pt idx="25">
                        <c:v>2022</c:v>
                      </c:pt>
                      <c:pt idx="26">
                        <c:v>2023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'Firm Size'!$B$34:$AC$34</c15:sqref>
                        </c15:fullRef>
                        <c15:formulaRef>
                          <c15:sqref>'Firm Size'!$B$34:$AB$34</c15:sqref>
                        </c15:formulaRef>
                      </c:ext>
                    </c:extLst>
                    <c:numCache>
                      <c:formatCode>0.00%</c:formatCode>
                      <c:ptCount val="27"/>
                      <c:pt idx="0">
                        <c:v>0</c:v>
                      </c:pt>
                      <c:pt idx="1">
                        <c:v>7.77027027027027E-2</c:v>
                      </c:pt>
                      <c:pt idx="2">
                        <c:v>-4.7021943573667714E-2</c:v>
                      </c:pt>
                      <c:pt idx="3">
                        <c:v>-0.10855263157894737</c:v>
                      </c:pt>
                      <c:pt idx="4">
                        <c:v>0.12177121771217712</c:v>
                      </c:pt>
                      <c:pt idx="5">
                        <c:v>0.39802631578947367</c:v>
                      </c:pt>
                      <c:pt idx="6">
                        <c:v>6.1176470588235297E-2</c:v>
                      </c:pt>
                      <c:pt idx="7">
                        <c:v>2.8824833702882482E-2</c:v>
                      </c:pt>
                      <c:pt idx="8">
                        <c:v>1.0775862068965518E-2</c:v>
                      </c:pt>
                      <c:pt idx="9">
                        <c:v>-4.2643923240938165E-3</c:v>
                      </c:pt>
                      <c:pt idx="10">
                        <c:v>4.9250535331905779E-2</c:v>
                      </c:pt>
                      <c:pt idx="11">
                        <c:v>4.2857142857142858E-2</c:v>
                      </c:pt>
                      <c:pt idx="12">
                        <c:v>-5.2837573385518588E-2</c:v>
                      </c:pt>
                      <c:pt idx="13">
                        <c:v>-2.4793388429752067E-2</c:v>
                      </c:pt>
                      <c:pt idx="14">
                        <c:v>-4.6610169491525424E-2</c:v>
                      </c:pt>
                      <c:pt idx="15">
                        <c:v>-7.3333333333333334E-2</c:v>
                      </c:pt>
                      <c:pt idx="16">
                        <c:v>-2.6378896882494004E-2</c:v>
                      </c:pt>
                      <c:pt idx="17">
                        <c:v>-2.4630541871921183E-3</c:v>
                      </c:pt>
                      <c:pt idx="18">
                        <c:v>7.6543209876543214E-2</c:v>
                      </c:pt>
                      <c:pt idx="19">
                        <c:v>7.3394495412844041E-2</c:v>
                      </c:pt>
                      <c:pt idx="20">
                        <c:v>3.8461538461538464E-2</c:v>
                      </c:pt>
                      <c:pt idx="21">
                        <c:v>-2.4691358024691357E-2</c:v>
                      </c:pt>
                      <c:pt idx="22">
                        <c:v>-6.118143459915612E-2</c:v>
                      </c:pt>
                      <c:pt idx="23">
                        <c:v>-8.988764044943821E-3</c:v>
                      </c:pt>
                      <c:pt idx="24">
                        <c:v>0</c:v>
                      </c:pt>
                      <c:pt idx="25">
                        <c:v>-1.8140589569160998E-2</c:v>
                      </c:pt>
                      <c:pt idx="26">
                        <c:v>-1.1547344110854504E-2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8-2325-4DDF-A13D-B0A4792A9E16}"/>
                  </c:ext>
                </c:extLst>
              </c15:ser>
            </c15:filteredLineSeries>
            <c15:filteredLineSeries>
              <c15:ser>
                <c:idx val="9"/>
                <c:order val="9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Size'!$A$35</c15:sqref>
                        </c15:formulaRef>
                      </c:ext>
                    </c:extLst>
                    <c:strCache>
                      <c:ptCount val="1"/>
                      <c:pt idx="0">
                        <c:v>115-299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tint val="7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'Firm Size'!$B$25:$AC$25</c15:sqref>
                        </c15:fullRef>
                        <c15:formulaRef>
                          <c15:sqref>'Firm Size'!$B$25:$AB$25</c15:sqref>
                        </c15:formulaRef>
                      </c:ext>
                    </c:extLst>
                    <c:strCache>
                      <c:ptCount val="27"/>
                      <c:pt idx="0">
                        <c:v>1997</c:v>
                      </c:pt>
                      <c:pt idx="1">
                        <c:v>1998</c:v>
                      </c:pt>
                      <c:pt idx="2">
                        <c:v>1999</c:v>
                      </c:pt>
                      <c:pt idx="3">
                        <c:v>2000</c:v>
                      </c:pt>
                      <c:pt idx="4">
                        <c:v>2001</c:v>
                      </c:pt>
                      <c:pt idx="5">
                        <c:v>2002</c:v>
                      </c:pt>
                      <c:pt idx="6">
                        <c:v>2003</c:v>
                      </c:pt>
                      <c:pt idx="7">
                        <c:v>2004</c:v>
                      </c:pt>
                      <c:pt idx="8">
                        <c:v>2005</c:v>
                      </c:pt>
                      <c:pt idx="9">
                        <c:v>2006</c:v>
                      </c:pt>
                      <c:pt idx="10">
                        <c:v>2007</c:v>
                      </c:pt>
                      <c:pt idx="11">
                        <c:v>2008</c:v>
                      </c:pt>
                      <c:pt idx="12">
                        <c:v>2009</c:v>
                      </c:pt>
                      <c:pt idx="13">
                        <c:v>2010</c:v>
                      </c:pt>
                      <c:pt idx="14">
                        <c:v>2011</c:v>
                      </c:pt>
                      <c:pt idx="15">
                        <c:v>2012</c:v>
                      </c:pt>
                      <c:pt idx="16">
                        <c:v>2013</c:v>
                      </c:pt>
                      <c:pt idx="17">
                        <c:v>2014</c:v>
                      </c:pt>
                      <c:pt idx="18">
                        <c:v>2015</c:v>
                      </c:pt>
                      <c:pt idx="19">
                        <c:v>2016</c:v>
                      </c:pt>
                      <c:pt idx="20">
                        <c:v>2017</c:v>
                      </c:pt>
                      <c:pt idx="21">
                        <c:v>2018</c:v>
                      </c:pt>
                      <c:pt idx="22">
                        <c:v>2019</c:v>
                      </c:pt>
                      <c:pt idx="23">
                        <c:v>2020</c:v>
                      </c:pt>
                      <c:pt idx="24">
                        <c:v>2021</c:v>
                      </c:pt>
                      <c:pt idx="25">
                        <c:v>2022</c:v>
                      </c:pt>
                      <c:pt idx="26">
                        <c:v>2023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'Firm Size'!$B$35:$AC$35</c15:sqref>
                        </c15:fullRef>
                        <c15:formulaRef>
                          <c15:sqref>'Firm Size'!$B$35:$AB$35</c15:sqref>
                        </c15:formulaRef>
                      </c:ext>
                    </c:extLst>
                    <c:numCache>
                      <c:formatCode>0.00%</c:formatCode>
                      <c:ptCount val="27"/>
                      <c:pt idx="0">
                        <c:v>0</c:v>
                      </c:pt>
                      <c:pt idx="1">
                        <c:v>6.2992125984251968E-2</c:v>
                      </c:pt>
                      <c:pt idx="2">
                        <c:v>-6.4197530864197536E-2</c:v>
                      </c:pt>
                      <c:pt idx="3">
                        <c:v>-0.10026385224274406</c:v>
                      </c:pt>
                      <c:pt idx="4">
                        <c:v>0.26979472140762462</c:v>
                      </c:pt>
                      <c:pt idx="5">
                        <c:v>0.20092378752886836</c:v>
                      </c:pt>
                      <c:pt idx="6">
                        <c:v>2.8846153846153848E-2</c:v>
                      </c:pt>
                      <c:pt idx="7">
                        <c:v>4.6728971962616821E-2</c:v>
                      </c:pt>
                      <c:pt idx="8">
                        <c:v>-7.1428571428571426E-3</c:v>
                      </c:pt>
                      <c:pt idx="9">
                        <c:v>1.0791366906474821E-2</c:v>
                      </c:pt>
                      <c:pt idx="10">
                        <c:v>5.8718861209964411E-2</c:v>
                      </c:pt>
                      <c:pt idx="11">
                        <c:v>1.1764705882352941E-2</c:v>
                      </c:pt>
                      <c:pt idx="12">
                        <c:v>-0.11794019933554817</c:v>
                      </c:pt>
                      <c:pt idx="13">
                        <c:v>-1.1299435028248588E-2</c:v>
                      </c:pt>
                      <c:pt idx="14">
                        <c:v>-0.08</c:v>
                      </c:pt>
                      <c:pt idx="15">
                        <c:v>0</c:v>
                      </c:pt>
                      <c:pt idx="16">
                        <c:v>-4.140786749482402E-3</c:v>
                      </c:pt>
                      <c:pt idx="17">
                        <c:v>2.0790020790020791E-3</c:v>
                      </c:pt>
                      <c:pt idx="18">
                        <c:v>1.4522821576763486E-2</c:v>
                      </c:pt>
                      <c:pt idx="19">
                        <c:v>1.8404907975460124E-2</c:v>
                      </c:pt>
                      <c:pt idx="20">
                        <c:v>8.0321285140562249E-2</c:v>
                      </c:pt>
                      <c:pt idx="21">
                        <c:v>2.9739776951672861E-2</c:v>
                      </c:pt>
                      <c:pt idx="22">
                        <c:v>3.4296028880866428E-2</c:v>
                      </c:pt>
                      <c:pt idx="23">
                        <c:v>0</c:v>
                      </c:pt>
                      <c:pt idx="24">
                        <c:v>-5.06108202443281E-2</c:v>
                      </c:pt>
                      <c:pt idx="25">
                        <c:v>1.6544117647058824E-2</c:v>
                      </c:pt>
                      <c:pt idx="26">
                        <c:v>1.2658227848101266E-2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9-2325-4DDF-A13D-B0A4792A9E16}"/>
                  </c:ext>
                </c:extLst>
              </c15:ser>
            </c15:filteredLineSeries>
            <c15:filteredLineSeries>
              <c15:ser>
                <c:idx val="10"/>
                <c:order val="10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Size'!$A$36</c15:sqref>
                        </c15:formulaRef>
                      </c:ext>
                    </c:extLst>
                    <c:strCache>
                      <c:ptCount val="1"/>
                      <c:pt idx="0">
                        <c:v>300-599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tint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'Firm Size'!$B$25:$AC$25</c15:sqref>
                        </c15:fullRef>
                        <c15:formulaRef>
                          <c15:sqref>'Firm Size'!$B$25:$AB$25</c15:sqref>
                        </c15:formulaRef>
                      </c:ext>
                    </c:extLst>
                    <c:strCache>
                      <c:ptCount val="27"/>
                      <c:pt idx="0">
                        <c:v>1997</c:v>
                      </c:pt>
                      <c:pt idx="1">
                        <c:v>1998</c:v>
                      </c:pt>
                      <c:pt idx="2">
                        <c:v>1999</c:v>
                      </c:pt>
                      <c:pt idx="3">
                        <c:v>2000</c:v>
                      </c:pt>
                      <c:pt idx="4">
                        <c:v>2001</c:v>
                      </c:pt>
                      <c:pt idx="5">
                        <c:v>2002</c:v>
                      </c:pt>
                      <c:pt idx="6">
                        <c:v>2003</c:v>
                      </c:pt>
                      <c:pt idx="7">
                        <c:v>2004</c:v>
                      </c:pt>
                      <c:pt idx="8">
                        <c:v>2005</c:v>
                      </c:pt>
                      <c:pt idx="9">
                        <c:v>2006</c:v>
                      </c:pt>
                      <c:pt idx="10">
                        <c:v>2007</c:v>
                      </c:pt>
                      <c:pt idx="11">
                        <c:v>2008</c:v>
                      </c:pt>
                      <c:pt idx="12">
                        <c:v>2009</c:v>
                      </c:pt>
                      <c:pt idx="13">
                        <c:v>2010</c:v>
                      </c:pt>
                      <c:pt idx="14">
                        <c:v>2011</c:v>
                      </c:pt>
                      <c:pt idx="15">
                        <c:v>2012</c:v>
                      </c:pt>
                      <c:pt idx="16">
                        <c:v>2013</c:v>
                      </c:pt>
                      <c:pt idx="17">
                        <c:v>2014</c:v>
                      </c:pt>
                      <c:pt idx="18">
                        <c:v>2015</c:v>
                      </c:pt>
                      <c:pt idx="19">
                        <c:v>2016</c:v>
                      </c:pt>
                      <c:pt idx="20">
                        <c:v>2017</c:v>
                      </c:pt>
                      <c:pt idx="21">
                        <c:v>2018</c:v>
                      </c:pt>
                      <c:pt idx="22">
                        <c:v>2019</c:v>
                      </c:pt>
                      <c:pt idx="23">
                        <c:v>2020</c:v>
                      </c:pt>
                      <c:pt idx="24">
                        <c:v>2021</c:v>
                      </c:pt>
                      <c:pt idx="25">
                        <c:v>2022</c:v>
                      </c:pt>
                      <c:pt idx="26">
                        <c:v>2023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'Firm Size'!$B$36:$AC$36</c15:sqref>
                        </c15:fullRef>
                        <c15:formulaRef>
                          <c15:sqref>'Firm Size'!$B$36:$AB$36</c15:sqref>
                        </c15:formulaRef>
                      </c:ext>
                    </c:extLst>
                    <c:numCache>
                      <c:formatCode>0.00%</c:formatCode>
                      <c:ptCount val="27"/>
                      <c:pt idx="0">
                        <c:v>0</c:v>
                      </c:pt>
                      <c:pt idx="1">
                        <c:v>0.16822429906542055</c:v>
                      </c:pt>
                      <c:pt idx="2">
                        <c:v>-0.16</c:v>
                      </c:pt>
                      <c:pt idx="3">
                        <c:v>-0.13333333333333333</c:v>
                      </c:pt>
                      <c:pt idx="4">
                        <c:v>0.4175824175824176</c:v>
                      </c:pt>
                      <c:pt idx="5">
                        <c:v>-4.6511627906976744E-2</c:v>
                      </c:pt>
                      <c:pt idx="6">
                        <c:v>9.7560975609756101E-2</c:v>
                      </c:pt>
                      <c:pt idx="7">
                        <c:v>9.6296296296296297E-2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4.0540540540540543E-2</c:v>
                      </c:pt>
                      <c:pt idx="11">
                        <c:v>6.4935064935064929E-2</c:v>
                      </c:pt>
                      <c:pt idx="12">
                        <c:v>-6.097560975609756E-2</c:v>
                      </c:pt>
                      <c:pt idx="13">
                        <c:v>-5.844155844155844E-2</c:v>
                      </c:pt>
                      <c:pt idx="14">
                        <c:v>1.3793103448275862E-2</c:v>
                      </c:pt>
                      <c:pt idx="15">
                        <c:v>-1.3605442176870748E-2</c:v>
                      </c:pt>
                      <c:pt idx="16">
                        <c:v>-6.2068965517241378E-2</c:v>
                      </c:pt>
                      <c:pt idx="17">
                        <c:v>1.4705882352941176E-2</c:v>
                      </c:pt>
                      <c:pt idx="18">
                        <c:v>3.6231884057971016E-2</c:v>
                      </c:pt>
                      <c:pt idx="19">
                        <c:v>2.7972027972027972E-2</c:v>
                      </c:pt>
                      <c:pt idx="20">
                        <c:v>-2.0408163265306121E-2</c:v>
                      </c:pt>
                      <c:pt idx="21">
                        <c:v>6.9444444444444441E-3</c:v>
                      </c:pt>
                      <c:pt idx="22">
                        <c:v>2.7586206896551724E-2</c:v>
                      </c:pt>
                      <c:pt idx="23">
                        <c:v>-4.0268456375838924E-2</c:v>
                      </c:pt>
                      <c:pt idx="24">
                        <c:v>-0.13286713286713286</c:v>
                      </c:pt>
                      <c:pt idx="25">
                        <c:v>8.0645161290322578E-3</c:v>
                      </c:pt>
                      <c:pt idx="26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A-2325-4DDF-A13D-B0A4792A9E16}"/>
                  </c:ext>
                </c:extLst>
              </c15:ser>
            </c15:filteredLineSeries>
            <c15:filteredLineSeries>
              <c15:ser>
                <c:idx val="11"/>
                <c:order val="1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Size'!$A$37</c15:sqref>
                        </c15:formulaRef>
                      </c:ext>
                    </c:extLst>
                    <c:strCache>
                      <c:ptCount val="1"/>
                      <c:pt idx="0">
                        <c:v>600-1,199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tint val="5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'Firm Size'!$B$25:$AC$25</c15:sqref>
                        </c15:fullRef>
                        <c15:formulaRef>
                          <c15:sqref>'Firm Size'!$B$25:$AB$25</c15:sqref>
                        </c15:formulaRef>
                      </c:ext>
                    </c:extLst>
                    <c:strCache>
                      <c:ptCount val="27"/>
                      <c:pt idx="0">
                        <c:v>1997</c:v>
                      </c:pt>
                      <c:pt idx="1">
                        <c:v>1998</c:v>
                      </c:pt>
                      <c:pt idx="2">
                        <c:v>1999</c:v>
                      </c:pt>
                      <c:pt idx="3">
                        <c:v>2000</c:v>
                      </c:pt>
                      <c:pt idx="4">
                        <c:v>2001</c:v>
                      </c:pt>
                      <c:pt idx="5">
                        <c:v>2002</c:v>
                      </c:pt>
                      <c:pt idx="6">
                        <c:v>2003</c:v>
                      </c:pt>
                      <c:pt idx="7">
                        <c:v>2004</c:v>
                      </c:pt>
                      <c:pt idx="8">
                        <c:v>2005</c:v>
                      </c:pt>
                      <c:pt idx="9">
                        <c:v>2006</c:v>
                      </c:pt>
                      <c:pt idx="10">
                        <c:v>2007</c:v>
                      </c:pt>
                      <c:pt idx="11">
                        <c:v>2008</c:v>
                      </c:pt>
                      <c:pt idx="12">
                        <c:v>2009</c:v>
                      </c:pt>
                      <c:pt idx="13">
                        <c:v>2010</c:v>
                      </c:pt>
                      <c:pt idx="14">
                        <c:v>2011</c:v>
                      </c:pt>
                      <c:pt idx="15">
                        <c:v>2012</c:v>
                      </c:pt>
                      <c:pt idx="16">
                        <c:v>2013</c:v>
                      </c:pt>
                      <c:pt idx="17">
                        <c:v>2014</c:v>
                      </c:pt>
                      <c:pt idx="18">
                        <c:v>2015</c:v>
                      </c:pt>
                      <c:pt idx="19">
                        <c:v>2016</c:v>
                      </c:pt>
                      <c:pt idx="20">
                        <c:v>2017</c:v>
                      </c:pt>
                      <c:pt idx="21">
                        <c:v>2018</c:v>
                      </c:pt>
                      <c:pt idx="22">
                        <c:v>2019</c:v>
                      </c:pt>
                      <c:pt idx="23">
                        <c:v>2020</c:v>
                      </c:pt>
                      <c:pt idx="24">
                        <c:v>2021</c:v>
                      </c:pt>
                      <c:pt idx="25">
                        <c:v>2022</c:v>
                      </c:pt>
                      <c:pt idx="26">
                        <c:v>2023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'Firm Size'!$B$37:$AC$37</c15:sqref>
                        </c15:fullRef>
                        <c15:formulaRef>
                          <c15:sqref>'Firm Size'!$B$37:$AB$37</c15:sqref>
                        </c15:formulaRef>
                      </c:ext>
                    </c:extLst>
                    <c:numCache>
                      <c:formatCode>0.00%</c:formatCode>
                      <c:ptCount val="27"/>
                      <c:pt idx="0">
                        <c:v>0</c:v>
                      </c:pt>
                      <c:pt idx="1">
                        <c:v>-6.6666666666666666E-2</c:v>
                      </c:pt>
                      <c:pt idx="2">
                        <c:v>3.5714285714285712E-2</c:v>
                      </c:pt>
                      <c:pt idx="3">
                        <c:v>-0.1206896551724138</c:v>
                      </c:pt>
                      <c:pt idx="4">
                        <c:v>0.33333333333333331</c:v>
                      </c:pt>
                      <c:pt idx="5">
                        <c:v>-8.8235294117647065E-2</c:v>
                      </c:pt>
                      <c:pt idx="6">
                        <c:v>0.20967741935483872</c:v>
                      </c:pt>
                      <c:pt idx="7">
                        <c:v>0</c:v>
                      </c:pt>
                      <c:pt idx="8">
                        <c:v>-0.13333333333333333</c:v>
                      </c:pt>
                      <c:pt idx="9">
                        <c:v>0.1076923076923077</c:v>
                      </c:pt>
                      <c:pt idx="10">
                        <c:v>-9.7222222222222224E-2</c:v>
                      </c:pt>
                      <c:pt idx="11">
                        <c:v>-7.6923076923076927E-2</c:v>
                      </c:pt>
                      <c:pt idx="12">
                        <c:v>3.3333333333333333E-2</c:v>
                      </c:pt>
                      <c:pt idx="13">
                        <c:v>-3.2258064516129031E-2</c:v>
                      </c:pt>
                      <c:pt idx="14">
                        <c:v>-6.6666666666666666E-2</c:v>
                      </c:pt>
                      <c:pt idx="15">
                        <c:v>-1.7857142857142856E-2</c:v>
                      </c:pt>
                      <c:pt idx="16">
                        <c:v>-7.2727272727272724E-2</c:v>
                      </c:pt>
                      <c:pt idx="17">
                        <c:v>-5.8823529411764705E-2</c:v>
                      </c:pt>
                      <c:pt idx="18">
                        <c:v>0.16666666666666666</c:v>
                      </c:pt>
                      <c:pt idx="19">
                        <c:v>1.7857142857142856E-2</c:v>
                      </c:pt>
                      <c:pt idx="20">
                        <c:v>5.2631578947368418E-2</c:v>
                      </c:pt>
                      <c:pt idx="21">
                        <c:v>-6.6666666666666666E-2</c:v>
                      </c:pt>
                      <c:pt idx="22">
                        <c:v>5.3571428571428568E-2</c:v>
                      </c:pt>
                      <c:pt idx="23">
                        <c:v>-1.6949152542372881E-2</c:v>
                      </c:pt>
                      <c:pt idx="24">
                        <c:v>-3.4482758620689655E-2</c:v>
                      </c:pt>
                      <c:pt idx="25">
                        <c:v>0.10714285714285714</c:v>
                      </c:pt>
                      <c:pt idx="26">
                        <c:v>-6.4516129032258063E-2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B-2325-4DDF-A13D-B0A4792A9E16}"/>
                  </c:ext>
                </c:extLst>
              </c15:ser>
            </c15:filteredLineSeries>
          </c:ext>
        </c:extLst>
      </c:lineChart>
      <c:catAx>
        <c:axId val="79171372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1714687"/>
        <c:crosses val="autoZero"/>
        <c:auto val="1"/>
        <c:lblAlgn val="ctr"/>
        <c:lblOffset val="100"/>
        <c:noMultiLvlLbl val="0"/>
      </c:catAx>
      <c:valAx>
        <c:axId val="7917146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%Change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17137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Number of</a:t>
            </a:r>
            <a:r>
              <a:rPr lang="en-GB" baseline="0"/>
              <a:t> Firms By Size By Turnover 2007-2023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'No. of Firms - Turnover'!$A$4</c:f>
              <c:strCache>
                <c:ptCount val="1"/>
                <c:pt idx="0">
                  <c:v>£0 - &lt;£500k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Turnover'!$B$4:$R$4</c:f>
              <c:numCache>
                <c:formatCode>#,##0</c:formatCode>
                <c:ptCount val="17"/>
                <c:pt idx="0">
                  <c:v>226445</c:v>
                </c:pt>
                <c:pt idx="1">
                  <c:v>225231</c:v>
                </c:pt>
                <c:pt idx="2">
                  <c:v>214342</c:v>
                </c:pt>
                <c:pt idx="3">
                  <c:v>210528</c:v>
                </c:pt>
                <c:pt idx="4">
                  <c:v>210995</c:v>
                </c:pt>
                <c:pt idx="5">
                  <c:v>206874</c:v>
                </c:pt>
                <c:pt idx="6">
                  <c:v>210552</c:v>
                </c:pt>
                <c:pt idx="7">
                  <c:v>218249</c:v>
                </c:pt>
                <c:pt idx="8">
                  <c:v>228603</c:v>
                </c:pt>
                <c:pt idx="9">
                  <c:v>246341</c:v>
                </c:pt>
                <c:pt idx="10">
                  <c:v>261028</c:v>
                </c:pt>
                <c:pt idx="11">
                  <c:v>269345</c:v>
                </c:pt>
                <c:pt idx="12">
                  <c:v>276931</c:v>
                </c:pt>
                <c:pt idx="13">
                  <c:v>280865</c:v>
                </c:pt>
                <c:pt idx="14">
                  <c:v>289655</c:v>
                </c:pt>
                <c:pt idx="15">
                  <c:v>312232</c:v>
                </c:pt>
                <c:pt idx="16">
                  <c:v>295172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38-41DF-BC59-085637128BF9}"/>
            </c:ext>
          </c:extLst>
        </c:ser>
        <c:ser>
          <c:idx val="1"/>
          <c:order val="1"/>
          <c:tx>
            <c:strRef>
              <c:f>'No. of Firms - Turnover'!$A$5</c:f>
              <c:strCache>
                <c:ptCount val="1"/>
                <c:pt idx="0">
                  <c:v>£500k - &lt;£1m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Turnover'!$B$5:$R$5</c:f>
              <c:numCache>
                <c:formatCode>#,##0</c:formatCode>
                <c:ptCount val="17"/>
                <c:pt idx="0">
                  <c:v>24697</c:v>
                </c:pt>
                <c:pt idx="1">
                  <c:v>26126</c:v>
                </c:pt>
                <c:pt idx="2">
                  <c:v>24657</c:v>
                </c:pt>
                <c:pt idx="3">
                  <c:v>21714</c:v>
                </c:pt>
                <c:pt idx="4">
                  <c:v>20789</c:v>
                </c:pt>
                <c:pt idx="5">
                  <c:v>19138</c:v>
                </c:pt>
                <c:pt idx="6">
                  <c:v>19334</c:v>
                </c:pt>
                <c:pt idx="7">
                  <c:v>19728</c:v>
                </c:pt>
                <c:pt idx="8">
                  <c:v>21170</c:v>
                </c:pt>
                <c:pt idx="9">
                  <c:v>22939</c:v>
                </c:pt>
                <c:pt idx="10">
                  <c:v>24412</c:v>
                </c:pt>
                <c:pt idx="11">
                  <c:v>25917</c:v>
                </c:pt>
                <c:pt idx="12">
                  <c:v>27039</c:v>
                </c:pt>
                <c:pt idx="13">
                  <c:v>29377</c:v>
                </c:pt>
                <c:pt idx="14">
                  <c:v>30320</c:v>
                </c:pt>
                <c:pt idx="15">
                  <c:v>31107</c:v>
                </c:pt>
                <c:pt idx="16">
                  <c:v>33857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738-41DF-BC59-085637128BF9}"/>
            </c:ext>
          </c:extLst>
        </c:ser>
        <c:ser>
          <c:idx val="2"/>
          <c:order val="2"/>
          <c:tx>
            <c:strRef>
              <c:f>'No. of Firms - Turnover'!$A$6</c:f>
              <c:strCache>
                <c:ptCount val="1"/>
                <c:pt idx="0">
                  <c:v>£1m - &lt;£5m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Turnover'!$B$6:$R$6</c:f>
              <c:numCache>
                <c:formatCode>#,##0</c:formatCode>
                <c:ptCount val="17"/>
                <c:pt idx="0">
                  <c:v>21412</c:v>
                </c:pt>
                <c:pt idx="1">
                  <c:v>22848</c:v>
                </c:pt>
                <c:pt idx="2">
                  <c:v>20762</c:v>
                </c:pt>
                <c:pt idx="3">
                  <c:v>17907</c:v>
                </c:pt>
                <c:pt idx="4">
                  <c:v>17366</c:v>
                </c:pt>
                <c:pt idx="5">
                  <c:v>17320</c:v>
                </c:pt>
                <c:pt idx="6">
                  <c:v>17776</c:v>
                </c:pt>
                <c:pt idx="7">
                  <c:v>18222</c:v>
                </c:pt>
                <c:pt idx="8">
                  <c:v>19391</c:v>
                </c:pt>
                <c:pt idx="9">
                  <c:v>21478</c:v>
                </c:pt>
                <c:pt idx="10">
                  <c:v>23292</c:v>
                </c:pt>
                <c:pt idx="11">
                  <c:v>24147</c:v>
                </c:pt>
                <c:pt idx="12">
                  <c:v>25161</c:v>
                </c:pt>
                <c:pt idx="13">
                  <c:v>25572</c:v>
                </c:pt>
                <c:pt idx="14">
                  <c:v>26675</c:v>
                </c:pt>
                <c:pt idx="15">
                  <c:v>25059</c:v>
                </c:pt>
                <c:pt idx="16">
                  <c:v>28512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738-41DF-BC59-085637128BF9}"/>
            </c:ext>
          </c:extLst>
        </c:ser>
        <c:ser>
          <c:idx val="3"/>
          <c:order val="3"/>
          <c:tx>
            <c:strRef>
              <c:f>'No. of Firms - Turnover'!$A$7</c:f>
              <c:strCache>
                <c:ptCount val="1"/>
                <c:pt idx="0">
                  <c:v>£5m - &lt;£10m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Turnover'!$B$7:$R$7</c:f>
              <c:numCache>
                <c:formatCode>#,##0</c:formatCode>
                <c:ptCount val="17"/>
                <c:pt idx="0">
                  <c:v>2552</c:v>
                </c:pt>
                <c:pt idx="1">
                  <c:v>2744</c:v>
                </c:pt>
                <c:pt idx="2">
                  <c:v>2545</c:v>
                </c:pt>
                <c:pt idx="3">
                  <c:v>2120</c:v>
                </c:pt>
                <c:pt idx="4">
                  <c:v>2066</c:v>
                </c:pt>
                <c:pt idx="5">
                  <c:v>2007</c:v>
                </c:pt>
                <c:pt idx="6">
                  <c:v>2235</c:v>
                </c:pt>
                <c:pt idx="7">
                  <c:v>2290</c:v>
                </c:pt>
                <c:pt idx="8">
                  <c:v>2526</c:v>
                </c:pt>
                <c:pt idx="9">
                  <c:v>2897</c:v>
                </c:pt>
                <c:pt idx="10">
                  <c:v>3200</c:v>
                </c:pt>
                <c:pt idx="11">
                  <c:v>3378</c:v>
                </c:pt>
                <c:pt idx="12">
                  <c:v>3494</c:v>
                </c:pt>
                <c:pt idx="13">
                  <c:v>3413</c:v>
                </c:pt>
                <c:pt idx="14">
                  <c:v>3551</c:v>
                </c:pt>
                <c:pt idx="15">
                  <c:v>3079</c:v>
                </c:pt>
                <c:pt idx="16">
                  <c:v>3686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738-41DF-BC59-085637128BF9}"/>
            </c:ext>
          </c:extLst>
        </c:ser>
        <c:ser>
          <c:idx val="4"/>
          <c:order val="4"/>
          <c:tx>
            <c:strRef>
              <c:f>'No. of Firms - Turnover'!$A$8</c:f>
              <c:strCache>
                <c:ptCount val="1"/>
                <c:pt idx="0">
                  <c:v>£10m - &lt;£20m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Turnover'!$B$8:$R$8</c:f>
              <c:numCache>
                <c:formatCode>#,##0</c:formatCode>
                <c:ptCount val="17"/>
                <c:pt idx="0">
                  <c:v>1104</c:v>
                </c:pt>
                <c:pt idx="1">
                  <c:v>1262</c:v>
                </c:pt>
                <c:pt idx="2">
                  <c:v>1258</c:v>
                </c:pt>
                <c:pt idx="3">
                  <c:v>1039</c:v>
                </c:pt>
                <c:pt idx="4">
                  <c:v>989</c:v>
                </c:pt>
                <c:pt idx="5">
                  <c:v>881</c:v>
                </c:pt>
                <c:pt idx="6">
                  <c:v>930</c:v>
                </c:pt>
                <c:pt idx="7">
                  <c:v>954</c:v>
                </c:pt>
                <c:pt idx="8">
                  <c:v>1029</c:v>
                </c:pt>
                <c:pt idx="9">
                  <c:v>1262</c:v>
                </c:pt>
                <c:pt idx="10">
                  <c:v>1348</c:v>
                </c:pt>
                <c:pt idx="11">
                  <c:v>1515</c:v>
                </c:pt>
                <c:pt idx="12">
                  <c:v>1597</c:v>
                </c:pt>
                <c:pt idx="13">
                  <c:v>1653</c:v>
                </c:pt>
                <c:pt idx="14">
                  <c:v>1668</c:v>
                </c:pt>
                <c:pt idx="15">
                  <c:v>1458</c:v>
                </c:pt>
                <c:pt idx="16">
                  <c:v>1718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738-41DF-BC59-085637128BF9}"/>
            </c:ext>
          </c:extLst>
        </c:ser>
        <c:ser>
          <c:idx val="5"/>
          <c:order val="5"/>
          <c:tx>
            <c:strRef>
              <c:f>'No. of Firms - Turnover'!$A$9</c:f>
              <c:strCache>
                <c:ptCount val="1"/>
                <c:pt idx="0">
                  <c:v>£20m - &lt;£30m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Turnover'!$B$9:$R$9</c:f>
              <c:numCache>
                <c:formatCode>#,##0</c:formatCode>
                <c:ptCount val="17"/>
                <c:pt idx="0">
                  <c:v>390</c:v>
                </c:pt>
                <c:pt idx="1">
                  <c:v>400</c:v>
                </c:pt>
                <c:pt idx="2">
                  <c:v>381</c:v>
                </c:pt>
                <c:pt idx="3">
                  <c:v>336</c:v>
                </c:pt>
                <c:pt idx="4">
                  <c:v>319</c:v>
                </c:pt>
                <c:pt idx="5">
                  <c:v>294</c:v>
                </c:pt>
                <c:pt idx="6">
                  <c:v>284</c:v>
                </c:pt>
                <c:pt idx="7">
                  <c:v>312</c:v>
                </c:pt>
                <c:pt idx="8">
                  <c:v>324</c:v>
                </c:pt>
                <c:pt idx="9">
                  <c:v>377</c:v>
                </c:pt>
                <c:pt idx="10">
                  <c:v>430</c:v>
                </c:pt>
                <c:pt idx="11">
                  <c:v>477</c:v>
                </c:pt>
                <c:pt idx="12">
                  <c:v>490</c:v>
                </c:pt>
                <c:pt idx="13">
                  <c:v>499</c:v>
                </c:pt>
                <c:pt idx="14">
                  <c:v>468</c:v>
                </c:pt>
                <c:pt idx="15">
                  <c:v>432</c:v>
                </c:pt>
                <c:pt idx="16">
                  <c:v>518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738-41DF-BC59-085637128BF9}"/>
            </c:ext>
          </c:extLst>
        </c:ser>
        <c:ser>
          <c:idx val="6"/>
          <c:order val="6"/>
          <c:tx>
            <c:strRef>
              <c:f>'No. of Firms - Turnover'!$A$10</c:f>
              <c:strCache>
                <c:ptCount val="1"/>
                <c:pt idx="0">
                  <c:v>£30m - &lt;£40m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Turnover'!$B$10:$R$10</c:f>
              <c:numCache>
                <c:formatCode>#,##0</c:formatCode>
                <c:ptCount val="17"/>
                <c:pt idx="0">
                  <c:v>160</c:v>
                </c:pt>
                <c:pt idx="1">
                  <c:v>174</c:v>
                </c:pt>
                <c:pt idx="2">
                  <c:v>162</c:v>
                </c:pt>
                <c:pt idx="3">
                  <c:v>143</c:v>
                </c:pt>
                <c:pt idx="4">
                  <c:v>135</c:v>
                </c:pt>
                <c:pt idx="5">
                  <c:v>142</c:v>
                </c:pt>
                <c:pt idx="6">
                  <c:v>155</c:v>
                </c:pt>
                <c:pt idx="7">
                  <c:v>134</c:v>
                </c:pt>
                <c:pt idx="8">
                  <c:v>180</c:v>
                </c:pt>
                <c:pt idx="9">
                  <c:v>186</c:v>
                </c:pt>
                <c:pt idx="10">
                  <c:v>216</c:v>
                </c:pt>
                <c:pt idx="11">
                  <c:v>243</c:v>
                </c:pt>
                <c:pt idx="12">
                  <c:v>287</c:v>
                </c:pt>
                <c:pt idx="13">
                  <c:v>278</c:v>
                </c:pt>
                <c:pt idx="14">
                  <c:v>256</c:v>
                </c:pt>
                <c:pt idx="15">
                  <c:v>243</c:v>
                </c:pt>
                <c:pt idx="16">
                  <c:v>254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4738-41DF-BC59-085637128BF9}"/>
            </c:ext>
          </c:extLst>
        </c:ser>
        <c:ser>
          <c:idx val="7"/>
          <c:order val="7"/>
          <c:tx>
            <c:strRef>
              <c:f>'No. of Firms - Turnover'!$A$11</c:f>
              <c:strCache>
                <c:ptCount val="1"/>
                <c:pt idx="0">
                  <c:v>£40m - &lt;£50m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Turnover'!$B$11:$R$11</c:f>
              <c:numCache>
                <c:formatCode>#,##0</c:formatCode>
                <c:ptCount val="17"/>
                <c:pt idx="0">
                  <c:v>114</c:v>
                </c:pt>
                <c:pt idx="1">
                  <c:v>117</c:v>
                </c:pt>
                <c:pt idx="2">
                  <c:v>112</c:v>
                </c:pt>
                <c:pt idx="3">
                  <c:v>98</c:v>
                </c:pt>
                <c:pt idx="4">
                  <c:v>91</c:v>
                </c:pt>
                <c:pt idx="5">
                  <c:v>78</c:v>
                </c:pt>
                <c:pt idx="6">
                  <c:v>84</c:v>
                </c:pt>
                <c:pt idx="7">
                  <c:v>98</c:v>
                </c:pt>
                <c:pt idx="8">
                  <c:v>123</c:v>
                </c:pt>
                <c:pt idx="9">
                  <c:v>113</c:v>
                </c:pt>
                <c:pt idx="10">
                  <c:v>129</c:v>
                </c:pt>
                <c:pt idx="11">
                  <c:v>152</c:v>
                </c:pt>
                <c:pt idx="12">
                  <c:v>141</c:v>
                </c:pt>
                <c:pt idx="13">
                  <c:v>149</c:v>
                </c:pt>
                <c:pt idx="14">
                  <c:v>176</c:v>
                </c:pt>
                <c:pt idx="15">
                  <c:v>170</c:v>
                </c:pt>
                <c:pt idx="16">
                  <c:v>179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4738-41DF-BC59-085637128BF9}"/>
            </c:ext>
          </c:extLst>
        </c:ser>
        <c:ser>
          <c:idx val="8"/>
          <c:order val="8"/>
          <c:tx>
            <c:strRef>
              <c:f>'No. of Firms - Turnover'!$A$12</c:f>
              <c:strCache>
                <c:ptCount val="1"/>
                <c:pt idx="0">
                  <c:v>£50m - &lt;£100m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Turnover'!$B$12:$R$12</c:f>
              <c:numCache>
                <c:formatCode>#,##0</c:formatCode>
                <c:ptCount val="17"/>
                <c:pt idx="0">
                  <c:v>203</c:v>
                </c:pt>
                <c:pt idx="1">
                  <c:v>224</c:v>
                </c:pt>
                <c:pt idx="2">
                  <c:v>227</c:v>
                </c:pt>
                <c:pt idx="3">
                  <c:v>195</c:v>
                </c:pt>
                <c:pt idx="4">
                  <c:v>186</c:v>
                </c:pt>
                <c:pt idx="5">
                  <c:v>189</c:v>
                </c:pt>
                <c:pt idx="6">
                  <c:v>194</c:v>
                </c:pt>
                <c:pt idx="7">
                  <c:v>197</c:v>
                </c:pt>
                <c:pt idx="8">
                  <c:v>201</c:v>
                </c:pt>
                <c:pt idx="9">
                  <c:v>262</c:v>
                </c:pt>
                <c:pt idx="10">
                  <c:v>273</c:v>
                </c:pt>
                <c:pt idx="11">
                  <c:v>283</c:v>
                </c:pt>
                <c:pt idx="12">
                  <c:v>306</c:v>
                </c:pt>
                <c:pt idx="13">
                  <c:v>353</c:v>
                </c:pt>
                <c:pt idx="14">
                  <c:v>292</c:v>
                </c:pt>
                <c:pt idx="15">
                  <c:v>276</c:v>
                </c:pt>
                <c:pt idx="16">
                  <c:v>330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4738-41DF-BC59-085637128BF9}"/>
            </c:ext>
          </c:extLst>
        </c:ser>
        <c:ser>
          <c:idx val="9"/>
          <c:order val="9"/>
          <c:tx>
            <c:strRef>
              <c:f>'No. of Firms - Turnover'!$A$13</c:f>
              <c:strCache>
                <c:ptCount val="1"/>
                <c:pt idx="0">
                  <c:v>£100m - &lt;£500m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Turnover'!$B$13:$R$13</c:f>
              <c:numCache>
                <c:formatCode>#,##0</c:formatCode>
                <c:ptCount val="17"/>
                <c:pt idx="0">
                  <c:v>179</c:v>
                </c:pt>
                <c:pt idx="1">
                  <c:v>200</c:v>
                </c:pt>
                <c:pt idx="2">
                  <c:v>201</c:v>
                </c:pt>
                <c:pt idx="3">
                  <c:v>163</c:v>
                </c:pt>
                <c:pt idx="4">
                  <c:v>161</c:v>
                </c:pt>
                <c:pt idx="5">
                  <c:v>156</c:v>
                </c:pt>
                <c:pt idx="6">
                  <c:v>174</c:v>
                </c:pt>
                <c:pt idx="7">
                  <c:v>190</c:v>
                </c:pt>
                <c:pt idx="8">
                  <c:v>205</c:v>
                </c:pt>
                <c:pt idx="9">
                  <c:v>208</c:v>
                </c:pt>
                <c:pt idx="10">
                  <c:v>229</c:v>
                </c:pt>
                <c:pt idx="11">
                  <c:v>241</c:v>
                </c:pt>
                <c:pt idx="12">
                  <c:v>244</c:v>
                </c:pt>
                <c:pt idx="13">
                  <c:v>254</c:v>
                </c:pt>
                <c:pt idx="14">
                  <c:v>258</c:v>
                </c:pt>
                <c:pt idx="15">
                  <c:v>230</c:v>
                </c:pt>
                <c:pt idx="16">
                  <c:v>235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4738-41DF-BC59-085637128BF9}"/>
            </c:ext>
          </c:extLst>
        </c:ser>
        <c:ser>
          <c:idx val="10"/>
          <c:order val="10"/>
          <c:tx>
            <c:strRef>
              <c:f>'No. of Firms - Turnover'!$A$14</c:f>
              <c:strCache>
                <c:ptCount val="1"/>
                <c:pt idx="0">
                  <c:v>£500m - &lt;£1000m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Turnover'!$B$14:$R$14</c:f>
              <c:numCache>
                <c:formatCode>#,##0</c:formatCode>
                <c:ptCount val="17"/>
                <c:pt idx="0">
                  <c:v>14</c:v>
                </c:pt>
                <c:pt idx="1">
                  <c:v>20</c:v>
                </c:pt>
                <c:pt idx="2">
                  <c:v>18</c:v>
                </c:pt>
                <c:pt idx="3">
                  <c:v>19</c:v>
                </c:pt>
                <c:pt idx="4">
                  <c:v>17</c:v>
                </c:pt>
                <c:pt idx="5">
                  <c:v>20</c:v>
                </c:pt>
                <c:pt idx="6">
                  <c:v>21</c:v>
                </c:pt>
                <c:pt idx="7">
                  <c:v>21</c:v>
                </c:pt>
                <c:pt idx="8">
                  <c:v>15</c:v>
                </c:pt>
                <c:pt idx="9">
                  <c:v>20</c:v>
                </c:pt>
                <c:pt idx="10">
                  <c:v>20</c:v>
                </c:pt>
                <c:pt idx="11">
                  <c:v>19</c:v>
                </c:pt>
                <c:pt idx="12">
                  <c:v>21</c:v>
                </c:pt>
                <c:pt idx="13">
                  <c:v>23</c:v>
                </c:pt>
                <c:pt idx="14">
                  <c:v>26</c:v>
                </c:pt>
                <c:pt idx="15">
                  <c:v>30</c:v>
                </c:pt>
                <c:pt idx="16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4738-41DF-BC59-085637128BF9}"/>
            </c:ext>
          </c:extLst>
        </c:ser>
        <c:ser>
          <c:idx val="11"/>
          <c:order val="11"/>
          <c:tx>
            <c:strRef>
              <c:f>'No. of Firms - Turnover'!$A$15</c:f>
              <c:strCache>
                <c:ptCount val="1"/>
                <c:pt idx="0">
                  <c:v>£1000m +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Turnover'!$B$15:$R$15</c:f>
              <c:numCache>
                <c:formatCode>#,##0</c:formatCode>
                <c:ptCount val="17"/>
                <c:pt idx="0">
                  <c:v>10</c:v>
                </c:pt>
                <c:pt idx="1">
                  <c:v>10</c:v>
                </c:pt>
                <c:pt idx="2">
                  <c:v>14</c:v>
                </c:pt>
                <c:pt idx="3">
                  <c:v>8</c:v>
                </c:pt>
                <c:pt idx="4">
                  <c:v>7</c:v>
                </c:pt>
                <c:pt idx="5">
                  <c:v>6</c:v>
                </c:pt>
                <c:pt idx="6">
                  <c:v>8</c:v>
                </c:pt>
                <c:pt idx="7">
                  <c:v>9</c:v>
                </c:pt>
                <c:pt idx="8">
                  <c:v>8</c:v>
                </c:pt>
                <c:pt idx="9">
                  <c:v>10</c:v>
                </c:pt>
                <c:pt idx="10">
                  <c:v>13</c:v>
                </c:pt>
                <c:pt idx="11">
                  <c:v>19</c:v>
                </c:pt>
                <c:pt idx="12">
                  <c:v>20</c:v>
                </c:pt>
                <c:pt idx="13">
                  <c:v>20</c:v>
                </c:pt>
                <c:pt idx="14">
                  <c:v>20</c:v>
                </c:pt>
                <c:pt idx="15">
                  <c:v>16</c:v>
                </c:pt>
                <c:pt idx="16">
                  <c:v>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4738-41DF-BC59-085637128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92764047"/>
        <c:axId val="792764527"/>
      </c:lineChart>
      <c:catAx>
        <c:axId val="79276404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2764527"/>
        <c:crosses val="autoZero"/>
        <c:auto val="1"/>
        <c:lblAlgn val="ctr"/>
        <c:lblOffset val="100"/>
        <c:noMultiLvlLbl val="0"/>
      </c:catAx>
      <c:valAx>
        <c:axId val="7927645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Firms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27640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723900</xdr:colOff>
      <xdr:row>36</xdr:row>
      <xdr:rowOff>422910</xdr:rowOff>
    </xdr:from>
    <xdr:to>
      <xdr:col>11</xdr:col>
      <xdr:colOff>502920</xdr:colOff>
      <xdr:row>57</xdr:row>
      <xdr:rowOff>45720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FFB3C7B-1D61-7E19-93DD-EEA01E5664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190501</xdr:colOff>
      <xdr:row>50</xdr:row>
      <xdr:rowOff>133684</xdr:rowOff>
    </xdr:from>
    <xdr:to>
      <xdr:col>15</xdr:col>
      <xdr:colOff>267370</xdr:colOff>
      <xdr:row>80</xdr:row>
      <xdr:rowOff>129540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5723ABC-8077-0B01-0F75-8C09568919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807720</xdr:colOff>
      <xdr:row>51</xdr:row>
      <xdr:rowOff>125730</xdr:rowOff>
    </xdr:from>
    <xdr:to>
      <xdr:col>7</xdr:col>
      <xdr:colOff>243840</xdr:colOff>
      <xdr:row>82</xdr:row>
      <xdr:rowOff>83820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A659D07-1189-CB0B-5BDA-65834202F66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114300</xdr:colOff>
      <xdr:row>38</xdr:row>
      <xdr:rowOff>171450</xdr:rowOff>
    </xdr:from>
    <xdr:to>
      <xdr:col>25</xdr:col>
      <xdr:colOff>358140</xdr:colOff>
      <xdr:row>65</xdr:row>
      <xdr:rowOff>152400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DBF544B-300E-1E47-EA82-6A3558DA6EE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320040</xdr:colOff>
      <xdr:row>17</xdr:row>
      <xdr:rowOff>156210</xdr:rowOff>
    </xdr:from>
    <xdr:to>
      <xdr:col>15</xdr:col>
      <xdr:colOff>579120</xdr:colOff>
      <xdr:row>43</xdr:row>
      <xdr:rowOff>83820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14B8954-3568-0A2C-5CAA-657E35513D3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0" totalsRowShown="0" headerRowDxfId="142" headerRowBorderDxfId="141" tableBorderDxfId="140">
  <autoFilter ref="A4:O30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139"/>
    <tableColumn id="2" xr3:uid="{2CEB802E-2C8B-438B-9945-35DD738C0281}" name="Total public new housing" dataDxfId="138"/>
    <tableColumn id="3" xr3:uid="{3C3BF752-4FFF-484B-B71F-F58604720080}" name="Total public infrastructure" dataDxfId="137"/>
    <tableColumn id="4" xr3:uid="{DEEA3593-9A6C-4595-A7F4-F7A1FF50902E}" name="Public other new work: factories" dataDxfId="136"/>
    <tableColumn id="5" xr3:uid="{701866BA-69BA-48CD-9D0D-81FD69DF739B}" name="Public other new work: warehouses" dataDxfId="135"/>
    <tableColumn id="6" xr3:uid="{50F5A838-140D-46C1-8047-15EFD622290F}" name="Public other new work: oil, steel &amp; coal" dataDxfId="134"/>
    <tableColumn id="7" xr3:uid="{6E0EFBDD-3A47-49CD-BF91-D293A5E27967}" name="Public other new work: schools &amp; colleges" dataDxfId="133"/>
    <tableColumn id="8" xr3:uid="{052798D4-9B72-4634-83FD-B570A0A4EF5E}" name="Public other new work: universities" dataDxfId="132"/>
    <tableColumn id="9" xr3:uid="{571F73C0-8F8D-4744-9CDA-7B688B842FEF}" name="Public other new work: health" dataDxfId="131"/>
    <tableColumn id="10" xr3:uid="{F2EE5416-E865-4168-999D-36C183FDD80C}" name="Public other new work: offices" dataDxfId="130"/>
    <tableColumn id="11" xr3:uid="{A7B4FAA5-F556-43C6-B0B4-B26DEC3A6BC2}" name="Public other new work: entertainment" dataDxfId="129"/>
    <tableColumn id="12" xr3:uid="{29535A53-8586-4C43-85ED-4497C85F3F49}" name="Public other new work: garages &amp; shops" dataDxfId="128"/>
    <tableColumn id="13" xr3:uid="{46E5855B-008E-4046-9A54-C371E654CFE7}" name="Public other new work: agriculture &amp; miscellaneous" dataDxfId="127"/>
    <tableColumn id="14" xr3:uid="{50113204-1E01-42B5-B32F-CB7AFABA9D95}" name="Total other new work" dataDxfId="126"/>
    <tableColumn id="15" xr3:uid="{DA379AB0-7BAB-4EF3-B6D5-77E85678C85D}" name="All Public Sector" dataDxfId="125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1" totalsRowShown="0" headerRowDxfId="124" headerRowBorderDxfId="123" tableBorderDxfId="122">
  <autoFilter ref="A4:P31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21"/>
    <tableColumn id="2" xr3:uid="{C23D8177-BE6A-461F-BDF0-6062E9A9C563}" name="Total private new housing" dataDxfId="120"/>
    <tableColumn id="3" xr3:uid="{A0112703-164B-4D8F-8127-1F9BC5377D92}" name="Total private Infrastructure" dataDxfId="119"/>
    <tableColumn id="4" xr3:uid="{5C3BDA6B-FFA2-4485-B69E-D43CA1A73A6D}" name="Private industrial: factories" dataDxfId="118"/>
    <tableColumn id="5" xr3:uid="{1A9A4962-83F1-4697-B041-646210503394}" name="Private industrial: warehouses" dataDxfId="117"/>
    <tableColumn id="6" xr3:uid="{B08A9504-9136-4E95-8379-17E65179B983}" name="Private industrial: oil, steel &amp; coal" dataDxfId="116"/>
    <tableColumn id="7" xr3:uid="{F0A3B3E8-2CD4-4411-B00D-94698CE6322C}" name="All private industrial" dataDxfId="115"/>
    <tableColumn id="8" xr3:uid="{184046F4-C3BE-4FCC-ACB7-18CDAFDF611E}" name="Private commercial: schools &amp; universities" dataDxfId="114"/>
    <tableColumn id="9" xr3:uid="{ECA96A0B-B560-45E2-8624-7571F89E8974}" name="Private commercial: health" dataDxfId="113"/>
    <tableColumn id="10" xr3:uid="{4F34749D-2332-4677-9A18-C2E983F4F1AA}" name="Private commercial: offices" dataDxfId="112"/>
    <tableColumn id="11" xr3:uid="{C563F708-AF4F-42F9-B9CC-B21C0F3DCD0F}" name="Private commercial: entertainment" dataDxfId="111"/>
    <tableColumn id="12" xr3:uid="{247D2649-72BC-4671-8FED-3BBD36116AAA}" name="Private commercial: garages" dataDxfId="110"/>
    <tableColumn id="13" xr3:uid="{26D1EE28-82B9-4E14-B03B-F99E6123F7F9}" name="Private commercial: shops" dataDxfId="109"/>
    <tableColumn id="14" xr3:uid="{305BAB87-4138-4069-96F6-BCD89AE70315}" name="Private commercial: agriculture &amp; miscellaneous" dataDxfId="108"/>
    <tableColumn id="15" xr3:uid="{2416E7D6-1E53-4B44-B96F-D447BA7D8C97}" name="All private commercial" dataDxfId="107"/>
    <tableColumn id="16" xr3:uid="{0B15AE04-565B-4968-A2E1-2333D8AF492C}" name="All Private Sector" dataDxfId="106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E18" totalsRowCount="1" headerRowDxfId="105" dataDxfId="103" headerRowBorderDxfId="104" tableBorderDxfId="102">
  <autoFilter ref="A3:AE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</autoFilter>
  <tableColumns count="31">
    <tableColumn id="1" xr3:uid="{CFC509EB-77A4-4332-B5D7-BCF568FBA36E}" name="Size of Firm " dataDxfId="101" totalsRowDxfId="100"/>
    <tableColumn id="2" xr3:uid="{B0F2A6A6-3283-4150-BE0B-7C2080238572}" name="1997" dataDxfId="99" totalsRowDxfId="98"/>
    <tableColumn id="3" xr3:uid="{7A412100-EA83-45B6-B94C-0CC26E44A30F}" name="1998" dataDxfId="97" totalsRowDxfId="96"/>
    <tableColumn id="4" xr3:uid="{930012D9-E799-426D-A875-B2326DBD55F4}" name="1999" dataDxfId="95" totalsRowDxfId="94"/>
    <tableColumn id="5" xr3:uid="{360ADF1A-3595-4433-8269-ECF0960327F1}" name="2000" dataDxfId="93" totalsRowDxfId="92"/>
    <tableColumn id="6" xr3:uid="{B8A820A4-B668-44EF-8933-1D96A2FADF03}" name="2001" dataDxfId="91" totalsRowDxfId="90"/>
    <tableColumn id="7" xr3:uid="{11F83E27-4927-45F5-A9CC-43237E2CADF0}" name="2002" dataDxfId="89" totalsRowDxfId="88"/>
    <tableColumn id="8" xr3:uid="{5E4AAD45-DCF0-42E8-851F-4D7FE4C75994}" name="2003" dataDxfId="87" totalsRowDxfId="86"/>
    <tableColumn id="9" xr3:uid="{CC5CDAF9-2908-403E-8524-8E458561A86C}" name="2004" dataDxfId="85" totalsRowDxfId="84"/>
    <tableColumn id="10" xr3:uid="{F8F10E6C-4C24-4987-86B9-2BC4604AA6FF}" name="2005" dataDxfId="83" totalsRowDxfId="82"/>
    <tableColumn id="11" xr3:uid="{634D9AB2-2F7D-42C4-861A-A48218543D52}" name="2006" dataDxfId="81" totalsRowDxfId="80"/>
    <tableColumn id="12" xr3:uid="{7A730D35-593C-410E-9351-5DCF7AEA046F}" name="2007" dataDxfId="79" totalsRowDxfId="78"/>
    <tableColumn id="13" xr3:uid="{E8E41471-48B0-4831-A7E6-07A1E35E2ACC}" name="2008" dataDxfId="77" totalsRowDxfId="76"/>
    <tableColumn id="14" xr3:uid="{6B01846A-0DD0-4E86-A5D2-F829644186A4}" name="2009" dataDxfId="75" totalsRowDxfId="74"/>
    <tableColumn id="15" xr3:uid="{D8AFF6A5-5D5A-4766-8F96-57E79DF3663F}" name="2010" dataDxfId="73" totalsRowDxfId="72"/>
    <tableColumn id="16" xr3:uid="{1D6E8742-788F-4B2E-9697-60AC14F35D18}" name="2011" dataDxfId="71" totalsRowDxfId="70"/>
    <tableColumn id="17" xr3:uid="{69C049AB-9C9F-4ADE-BECC-623E5690EC71}" name="2012" dataDxfId="69" totalsRowDxfId="68"/>
    <tableColumn id="18" xr3:uid="{D43A8FDC-D054-4128-AB18-089395291A62}" name="2013" dataDxfId="67" totalsRowDxfId="66"/>
    <tableColumn id="19" xr3:uid="{6A5E7EBF-7006-4A2D-93DE-FA3490C64C59}" name="2014" dataDxfId="65" totalsRowDxfId="64"/>
    <tableColumn id="20" xr3:uid="{7205CD9A-2C31-4724-97CB-C762076DBBAF}" name="2015" dataDxfId="63" totalsRowDxfId="62"/>
    <tableColumn id="21" xr3:uid="{23F28E5D-774C-402C-AAC0-BD710762A009}" name="2016" dataDxfId="61" totalsRowDxfId="60"/>
    <tableColumn id="22" xr3:uid="{6B0E8B0D-15FB-452A-B17A-DBF1F9144E49}" name="2017" dataDxfId="59" totalsRowDxfId="58"/>
    <tableColumn id="23" xr3:uid="{2A1FDA69-05A8-446B-AAAA-D031F3BBAD05}" name="2018" dataDxfId="57" totalsRowDxfId="56"/>
    <tableColumn id="24" xr3:uid="{3D10BF88-871C-4682-B0C8-E083CE171D1E}" name="2019" dataDxfId="55" totalsRowDxfId="54"/>
    <tableColumn id="25" xr3:uid="{9D538F5B-3878-417F-8425-2A0D3E354E45}" name="2020" dataDxfId="53" totalsRowDxfId="52"/>
    <tableColumn id="26" xr3:uid="{DD9C5EF2-8ED1-4799-8A41-D3913A1F0044}" name="2021" dataDxfId="51" totalsRowDxfId="50"/>
    <tableColumn id="27" xr3:uid="{5B253DE7-CFE8-406E-A7AA-546E3B30390D}" name="2022" dataDxfId="49" totalsRowDxfId="48"/>
    <tableColumn id="28" xr3:uid="{6E9710FE-6516-471A-802B-84FD325849B6}" name="2023" dataDxfId="47" totalsRowDxfId="46"/>
    <tableColumn id="29" xr3:uid="{0D0AA316-94D6-4A73-9467-80AB5A72F890}" name="Range" dataDxfId="5" totalsRowDxfId="4">
      <calculatedColumnFormula>MAX(Table3.1[[#This Row],[1997]:[2023]])-MIN(Table3.1[[#This Row],[1997]:[2023]])</calculatedColumnFormula>
    </tableColumn>
    <tableColumn id="30" xr3:uid="{D679D546-0A2E-45DF-8EF2-9F8F97FC2F0C}" name="Std Dev" dataDxfId="3" totalsRowDxfId="2">
      <calculatedColumnFormula>_xlfn.STDEV.S(Table3.1[[#This Row],[1997]:[2023]])</calculatedColumnFormula>
    </tableColumn>
    <tableColumn id="31" xr3:uid="{D71AD960-BDDB-4BBB-B03E-42B8062849FD}" name="Median" dataDxfId="0" totalsRowDxfId="1">
      <calculatedColumnFormula>MEDIAN(Table3.1[[#This Row],[1997]:[2023]])</calculatedColumnFormula>
    </tableColumn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45" dataDxfId="43" headerRowBorderDxfId="44" tableBorderDxfId="42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" dataDxfId="41" totalsRowDxfId="40" dataCellStyle="Normal_Structure" totalsRowCellStyle="Normal_Structure"/>
    <tableColumn id="2" xr3:uid="{2B0ED319-BDF4-462D-BA26-AA1BE0AFD462}" name="2007" dataDxfId="39" totalsRowDxfId="38"/>
    <tableColumn id="3" xr3:uid="{77F2849C-56C7-4DA1-AC0C-D55E7D6D694A}" name="2008" dataDxfId="37" totalsRowDxfId="36"/>
    <tableColumn id="4" xr3:uid="{9A1A21B1-FF17-4614-B44E-2AD012742D9C}" name="2009 " dataDxfId="35" totalsRowDxfId="34"/>
    <tableColumn id="5" xr3:uid="{7265F993-4BEA-4DD6-8F1F-7FD26B6D78D5}" name="2010 " dataDxfId="33" totalsRowDxfId="32"/>
    <tableColumn id="6" xr3:uid="{09518861-0455-459C-88E1-24FF001DA0D0}" name="2011 " dataDxfId="31" totalsRowDxfId="30"/>
    <tableColumn id="7" xr3:uid="{B5D524CF-EE6E-42DE-B6E6-1BA234BEBB35}" name="2012 " dataDxfId="29" totalsRowDxfId="28"/>
    <tableColumn id="8" xr3:uid="{74FB05A5-6EDB-43D0-B674-261380B53C98}" name="2013 " dataDxfId="27" totalsRowDxfId="26"/>
    <tableColumn id="9" xr3:uid="{E3D5D211-E5F3-4D89-9A54-45C89C90CA58}" name="2014 " dataDxfId="25" totalsRowDxfId="24"/>
    <tableColumn id="10" xr3:uid="{6659BB5D-89DB-418A-B6EB-1751E9306736}" name="2015 " dataDxfId="23" totalsRowDxfId="22"/>
    <tableColumn id="11" xr3:uid="{BC0F8EB9-8D5F-49CC-8256-4BA0676A88E1}" name="2016 " dataDxfId="21" totalsRowDxfId="20"/>
    <tableColumn id="12" xr3:uid="{D7445CA1-EFDC-436C-A8A1-28D1078DA8A7}" name="2017 " dataDxfId="19" totalsRowDxfId="18"/>
    <tableColumn id="13" xr3:uid="{C60437E4-5FDB-4BB4-B0A2-04D6F0461900}" name="2018 " dataDxfId="17" totalsRowDxfId="16"/>
    <tableColumn id="14" xr3:uid="{FE58B5FE-FCD9-4E27-A1B2-4BD4BB13404D}" name="2019 " dataDxfId="15" totalsRowDxfId="14"/>
    <tableColumn id="15" xr3:uid="{509EE9E5-9F66-4B95-9B38-BE0E47B10AD8}" name="2020 " dataDxfId="13" totalsRowDxfId="12"/>
    <tableColumn id="16" xr3:uid="{0AB424BA-148E-48AB-9FA9-8CDBE379AE70}" name="2021 " dataDxfId="11" totalsRowDxfId="10"/>
    <tableColumn id="17" xr3:uid="{A4AA9ED1-167B-4667-B809-4713DCB65C7D}" name="2022 " dataDxfId="9" totalsRowDxfId="8"/>
    <tableColumn id="18" xr3:uid="{04AAD7D3-88DF-46C7-8FC7-1AC98D7D5527}" name="2023" dataDxfId="7" totalsRowDxfId="6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Q63"/>
  <sheetViews>
    <sheetView topLeftCell="A38" zoomScaleNormal="100" workbookViewId="0">
      <selection activeCell="J37" sqref="J37"/>
    </sheetView>
  </sheetViews>
  <sheetFormatPr defaultColWidth="8.6640625" defaultRowHeight="14.4"/>
  <cols>
    <col min="1" max="1" width="19.109375" customWidth="1"/>
    <col min="2" max="2" width="12" customWidth="1"/>
    <col min="3" max="3" width="16" customWidth="1"/>
    <col min="4" max="4" width="12.33203125" customWidth="1"/>
    <col min="5" max="5" width="12.5546875" customWidth="1"/>
    <col min="6" max="6" width="12.33203125" customWidth="1"/>
    <col min="7" max="7" width="12.6640625" customWidth="1"/>
    <col min="8" max="8" width="12.33203125" customWidth="1"/>
    <col min="9" max="9" width="11.6640625" customWidth="1"/>
    <col min="10" max="10" width="11.44140625" customWidth="1"/>
    <col min="11" max="11" width="13.44140625" customWidth="1"/>
    <col min="12" max="12" width="12.6640625" customWidth="1"/>
    <col min="13" max="13" width="14.6640625" customWidth="1"/>
    <col min="14" max="14" width="13.6640625" customWidth="1"/>
    <col min="15" max="15" width="16.88671875" customWidth="1"/>
  </cols>
  <sheetData>
    <row r="1" spans="1:17" ht="19.2">
      <c r="A1" s="4" t="s">
        <v>0</v>
      </c>
    </row>
    <row r="2" spans="1:17">
      <c r="A2" s="5" t="s">
        <v>1</v>
      </c>
    </row>
    <row r="3" spans="1:17">
      <c r="A3" s="5"/>
    </row>
    <row r="4" spans="1:17" ht="58.2" customHeight="1">
      <c r="A4" s="9" t="s">
        <v>2</v>
      </c>
      <c r="B4" s="10" t="s">
        <v>3</v>
      </c>
      <c r="C4" s="10" t="s">
        <v>4</v>
      </c>
      <c r="D4" s="11" t="s">
        <v>5</v>
      </c>
      <c r="E4" s="11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11" t="s">
        <v>11</v>
      </c>
      <c r="K4" s="11" t="s">
        <v>12</v>
      </c>
      <c r="L4" s="11" t="s">
        <v>13</v>
      </c>
      <c r="M4" s="12" t="s">
        <v>14</v>
      </c>
      <c r="N4" s="13" t="s">
        <v>15</v>
      </c>
      <c r="O4" s="14" t="s">
        <v>16</v>
      </c>
    </row>
    <row r="5" spans="1:17">
      <c r="A5" s="2">
        <v>1998</v>
      </c>
      <c r="B5" s="17">
        <v>881</v>
      </c>
      <c r="C5" s="17">
        <v>2779</v>
      </c>
      <c r="D5" s="18">
        <v>77</v>
      </c>
      <c r="E5" s="18">
        <v>29</v>
      </c>
      <c r="F5" s="18">
        <v>4</v>
      </c>
      <c r="G5" s="18">
        <v>801</v>
      </c>
      <c r="H5" s="18">
        <v>332</v>
      </c>
      <c r="I5" s="18">
        <v>636</v>
      </c>
      <c r="J5" s="18">
        <v>454</v>
      </c>
      <c r="K5" s="18">
        <v>380</v>
      </c>
      <c r="L5" s="18">
        <v>53</v>
      </c>
      <c r="M5" s="19">
        <v>578</v>
      </c>
      <c r="N5" s="17">
        <v>3343</v>
      </c>
      <c r="O5" s="20">
        <v>7003</v>
      </c>
    </row>
    <row r="6" spans="1:17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</row>
    <row r="7" spans="1:17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</row>
    <row r="8" spans="1:17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</row>
    <row r="9" spans="1:17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</row>
    <row r="10" spans="1:17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18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</row>
    <row r="11" spans="1:17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</row>
    <row r="12" spans="1:17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t="s">
        <v>17</v>
      </c>
    </row>
    <row r="13" spans="1:17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</row>
    <row r="14" spans="1:17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</row>
    <row r="15" spans="1:17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</row>
    <row r="16" spans="1:17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</row>
    <row r="17" spans="1:15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</row>
    <row r="18" spans="1:15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</row>
    <row r="19" spans="1:15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</row>
    <row r="20" spans="1:15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</row>
    <row r="21" spans="1:15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</row>
    <row r="22" spans="1:15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</row>
    <row r="23" spans="1:15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</row>
    <row r="24" spans="1:15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</row>
    <row r="25" spans="1:15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</row>
    <row r="26" spans="1:15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</row>
    <row r="27" spans="1:15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</row>
    <row r="28" spans="1:15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</row>
    <row r="29" spans="1:15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</row>
    <row r="30" spans="1:15">
      <c r="A30" s="2">
        <v>2023</v>
      </c>
      <c r="B30" s="17">
        <v>6850</v>
      </c>
      <c r="C30" s="17">
        <v>20053</v>
      </c>
      <c r="D30" s="18">
        <v>237</v>
      </c>
      <c r="E30" s="18">
        <v>59</v>
      </c>
      <c r="F30" s="18">
        <v>0</v>
      </c>
      <c r="G30" s="18">
        <v>3579</v>
      </c>
      <c r="H30" s="18">
        <v>450</v>
      </c>
      <c r="I30" s="18">
        <v>2538</v>
      </c>
      <c r="J30" s="18">
        <v>1025</v>
      </c>
      <c r="K30" s="18">
        <v>1047</v>
      </c>
      <c r="L30" s="18">
        <v>454</v>
      </c>
      <c r="M30" s="19">
        <v>2320</v>
      </c>
      <c r="N30" s="17">
        <v>11708</v>
      </c>
      <c r="O30" s="20">
        <v>38611</v>
      </c>
    </row>
    <row r="32" spans="1:15" ht="53.4">
      <c r="B32" s="40" t="s">
        <v>3</v>
      </c>
      <c r="C32" s="40" t="s">
        <v>4</v>
      </c>
      <c r="D32" s="41" t="s">
        <v>5</v>
      </c>
      <c r="E32" s="41" t="s">
        <v>6</v>
      </c>
      <c r="F32" s="41" t="s">
        <v>7</v>
      </c>
      <c r="G32" s="41" t="s">
        <v>8</v>
      </c>
      <c r="H32" s="41" t="s">
        <v>9</v>
      </c>
      <c r="I32" s="41" t="s">
        <v>10</v>
      </c>
      <c r="J32" s="41" t="s">
        <v>11</v>
      </c>
      <c r="K32" s="41" t="s">
        <v>12</v>
      </c>
      <c r="L32" s="41" t="s">
        <v>13</v>
      </c>
      <c r="M32" s="42" t="s">
        <v>14</v>
      </c>
      <c r="N32" s="43" t="s">
        <v>15</v>
      </c>
      <c r="O32" s="43" t="s">
        <v>16</v>
      </c>
    </row>
    <row r="33" spans="1:15">
      <c r="A33" s="33" t="s">
        <v>108</v>
      </c>
      <c r="B33" s="33">
        <f>AVERAGE(Table1.1[Total public new housing])</f>
        <v>3837.4230769230771</v>
      </c>
      <c r="C33" s="33">
        <f>AVERAGE(Table1.1[Total public infrastructure])</f>
        <v>6697.0384615384619</v>
      </c>
      <c r="D33" s="33">
        <f>AVERAGE(Table1.1[Public other new work: factories])</f>
        <v>103</v>
      </c>
      <c r="E33" s="33">
        <f>AVERAGE(Table1.1[Public other new work: warehouses])</f>
        <v>30.76923076923077</v>
      </c>
      <c r="F33" s="33">
        <f>AVERAGE(Table1.1[Public other new work: oil, steel &amp; coal])</f>
        <v>9.384615384615385</v>
      </c>
      <c r="G33" s="33">
        <f>AVERAGE(Table1.1[Public other new work: schools &amp; colleges])</f>
        <v>3618.9615384615386</v>
      </c>
      <c r="H33" s="33">
        <f>AVERAGE(Table1.1[Public other new work: universities])</f>
        <v>986.30769230769226</v>
      </c>
      <c r="I33" s="33">
        <f>AVERAGE(Table1.1[Public other new work: health])</f>
        <v>1625.7307692307693</v>
      </c>
      <c r="J33" s="33">
        <f>AVERAGE(Table1.1[Public other new work: offices])</f>
        <v>753.03846153846155</v>
      </c>
      <c r="K33" s="33">
        <f>AVERAGE(Table1.1[Public other new work: entertainment])</f>
        <v>820.65384615384619</v>
      </c>
      <c r="L33" s="33">
        <f>AVERAGE(Table1.1[Public other new work: garages &amp; shops])</f>
        <v>207.26923076923077</v>
      </c>
      <c r="M33" s="33">
        <f>AVERAGE(Table1.1[Public other new work: agriculture &amp; miscellaneous])</f>
        <v>1055.6538461538462</v>
      </c>
      <c r="N33" s="33">
        <f>AVERAGE(Table1.1[Total other new work])</f>
        <v>9211</v>
      </c>
      <c r="O33" s="33">
        <f>AVERAGE(Table1.1[All Public Sector])</f>
        <v>19745.423076923078</v>
      </c>
    </row>
    <row r="34" spans="1:15">
      <c r="A34" t="s">
        <v>112</v>
      </c>
      <c r="B34" s="33">
        <f>MEDIAN(Table1.1[Total public new housing])</f>
        <v>4186</v>
      </c>
      <c r="C34" s="33">
        <f>MEDIAN(Table1.1[Total public infrastructure])</f>
        <v>4599</v>
      </c>
      <c r="D34" s="33">
        <f>MEDIAN(Table1.1[Public other new work: factories])</f>
        <v>88</v>
      </c>
      <c r="E34" s="33">
        <f>MEDIAN(Table1.1[Public other new work: warehouses])</f>
        <v>29</v>
      </c>
      <c r="F34" s="33">
        <f>MEDIAN(Table1.1[Public other new work: oil, steel &amp; coal])</f>
        <v>4</v>
      </c>
      <c r="G34" s="33">
        <f>MEDIAN(Table1.1[Public other new work: schools &amp; colleges])</f>
        <v>3977</v>
      </c>
      <c r="H34" s="33">
        <f>MEDIAN(Table1.1[Public other new work: universities])</f>
        <v>960.5</v>
      </c>
      <c r="I34" s="33">
        <f>MEDIAN(Table1.1[Public other new work: health])</f>
        <v>1676.5</v>
      </c>
      <c r="J34" s="33">
        <f>MEDIAN(Table1.1[Public other new work: offices])</f>
        <v>818.5</v>
      </c>
      <c r="K34" s="33">
        <f>MEDIAN(Table1.1[Public other new work: entertainment])</f>
        <v>829.5</v>
      </c>
      <c r="L34" s="33">
        <f>MEDIAN(Table1.1[Public other new work: garages &amp; shops])</f>
        <v>152.5</v>
      </c>
      <c r="M34" s="33">
        <f>MEDIAN(Table1.1[Public other new work: agriculture &amp; miscellaneous])</f>
        <v>1080</v>
      </c>
      <c r="N34" s="33">
        <f>MEDIAN(Table1.1[Total other new work])</f>
        <v>10049.5</v>
      </c>
      <c r="O34" s="33">
        <f>MEDIAN(Table1.1[All Public Sector])</f>
        <v>19814.5</v>
      </c>
    </row>
    <row r="35" spans="1:15">
      <c r="A35" t="s">
        <v>113</v>
      </c>
      <c r="B35" s="33" t="e">
        <f>MODE(Table1.1[Total public new housing])</f>
        <v>#N/A</v>
      </c>
      <c r="C35" s="33" t="e">
        <f>MODE(Table1.1[Total public infrastructure])</f>
        <v>#N/A</v>
      </c>
      <c r="D35" s="33">
        <f>MODE(Table1.1[Public other new work: factories])</f>
        <v>77</v>
      </c>
      <c r="E35" s="33">
        <f>MODE(Table1.1[Public other new work: warehouses])</f>
        <v>29</v>
      </c>
      <c r="F35" s="33">
        <f>MODE(Table1.1[Public other new work: oil, steel &amp; coal])</f>
        <v>4</v>
      </c>
      <c r="G35" s="33" t="e">
        <f>MODE(Table1.1[Public other new work: schools &amp; colleges])</f>
        <v>#N/A</v>
      </c>
      <c r="H35" s="33" t="e">
        <f>MODE(Table1.1[Public other new work: universities])</f>
        <v>#N/A</v>
      </c>
      <c r="I35" s="33" t="e">
        <f>MODE(Table1.1[Public other new work: health])</f>
        <v>#N/A</v>
      </c>
      <c r="J35" s="33" t="e">
        <f>MODE(Table1.1[Public other new work: offices])</f>
        <v>#N/A</v>
      </c>
      <c r="K35" s="33" t="e">
        <f>MODE(Table1.1[Public other new work: entertainment])</f>
        <v>#N/A</v>
      </c>
      <c r="L35" s="33" t="e">
        <f>MODE(Table1.1[Public other new work: garages &amp; shops])</f>
        <v>#N/A</v>
      </c>
      <c r="M35" s="33">
        <f>MODE(Table1.1[Public other new work: agriculture &amp; miscellaneous])</f>
        <v>668</v>
      </c>
      <c r="N35" s="33" t="e">
        <f>MODE(Table1.1[Total other new work])</f>
        <v>#N/A</v>
      </c>
      <c r="O35" s="33" t="e">
        <f>MODE(Table1.1[All Public Sector])</f>
        <v>#N/A</v>
      </c>
    </row>
    <row r="36" spans="1:15">
      <c r="F36" s="18"/>
    </row>
    <row r="37" spans="1:15" ht="40.200000000000003">
      <c r="A37" s="49" t="s">
        <v>2</v>
      </c>
      <c r="B37" s="40" t="s">
        <v>19</v>
      </c>
      <c r="C37" s="40" t="s">
        <v>3</v>
      </c>
      <c r="F37" s="18"/>
    </row>
    <row r="38" spans="1:15">
      <c r="A38" s="2">
        <v>1998</v>
      </c>
      <c r="B38" s="17">
        <v>8146</v>
      </c>
      <c r="C38" s="17">
        <v>881</v>
      </c>
    </row>
    <row r="39" spans="1:15">
      <c r="A39" s="2">
        <v>1999</v>
      </c>
      <c r="B39" s="17">
        <v>8079</v>
      </c>
      <c r="C39" s="17">
        <v>824</v>
      </c>
    </row>
    <row r="40" spans="1:15">
      <c r="A40" s="2">
        <v>2000</v>
      </c>
      <c r="B40" s="17">
        <v>9475</v>
      </c>
      <c r="C40" s="17">
        <v>1075</v>
      </c>
    </row>
    <row r="41" spans="1:15">
      <c r="A41" s="2">
        <v>2001</v>
      </c>
      <c r="B41" s="17">
        <v>9639</v>
      </c>
      <c r="C41" s="17">
        <v>1174</v>
      </c>
    </row>
    <row r="42" spans="1:15">
      <c r="A42" s="2">
        <v>2002</v>
      </c>
      <c r="B42" s="17">
        <v>11453</v>
      </c>
      <c r="C42" s="17">
        <v>1411</v>
      </c>
    </row>
    <row r="43" spans="1:15">
      <c r="A43" s="2">
        <v>2003</v>
      </c>
      <c r="B43" s="17">
        <v>15017</v>
      </c>
      <c r="C43" s="17">
        <v>1706</v>
      </c>
    </row>
    <row r="44" spans="1:15">
      <c r="A44" s="2">
        <v>2004</v>
      </c>
      <c r="B44" s="17">
        <v>18977</v>
      </c>
      <c r="C44" s="17">
        <v>2210</v>
      </c>
    </row>
    <row r="45" spans="1:15">
      <c r="A45" s="2">
        <v>2005</v>
      </c>
      <c r="B45" s="17">
        <v>20715</v>
      </c>
      <c r="C45" s="17">
        <v>2251</v>
      </c>
    </row>
    <row r="46" spans="1:15">
      <c r="A46" s="2">
        <v>2006</v>
      </c>
      <c r="B46" s="17">
        <v>21765</v>
      </c>
      <c r="C46" s="17">
        <v>2853</v>
      </c>
    </row>
    <row r="47" spans="1:15">
      <c r="A47" s="2">
        <v>2007</v>
      </c>
      <c r="B47" s="17">
        <v>22146</v>
      </c>
      <c r="C47" s="17">
        <v>3480</v>
      </c>
    </row>
    <row r="48" spans="1:15">
      <c r="A48" s="2">
        <v>2008</v>
      </c>
      <c r="B48" s="17">
        <v>18138</v>
      </c>
      <c r="C48" s="17">
        <v>3299</v>
      </c>
    </row>
    <row r="49" spans="1:3">
      <c r="A49" s="2">
        <v>2009</v>
      </c>
      <c r="B49" s="17">
        <v>12592</v>
      </c>
      <c r="C49" s="17">
        <v>3327</v>
      </c>
    </row>
    <row r="50" spans="1:3">
      <c r="A50" s="2">
        <v>2010</v>
      </c>
      <c r="B50" s="17">
        <v>14839</v>
      </c>
      <c r="C50" s="17">
        <v>4893</v>
      </c>
    </row>
    <row r="51" spans="1:3">
      <c r="A51" s="2">
        <v>2011</v>
      </c>
      <c r="B51" s="17">
        <v>16334</v>
      </c>
      <c r="C51" s="17">
        <v>4938</v>
      </c>
    </row>
    <row r="52" spans="1:3">
      <c r="A52" s="2">
        <v>2012</v>
      </c>
      <c r="B52" s="17">
        <v>16066</v>
      </c>
      <c r="C52" s="17">
        <v>4049</v>
      </c>
    </row>
    <row r="53" spans="1:3">
      <c r="A53" s="2">
        <v>2013</v>
      </c>
      <c r="B53" s="17">
        <v>18088</v>
      </c>
      <c r="C53" s="17">
        <v>4323</v>
      </c>
    </row>
    <row r="54" spans="1:3">
      <c r="A54" s="2">
        <v>2014</v>
      </c>
      <c r="B54" s="17">
        <v>23717</v>
      </c>
      <c r="C54" s="17">
        <v>5809</v>
      </c>
    </row>
    <row r="55" spans="1:3">
      <c r="A55" s="2">
        <v>2015</v>
      </c>
      <c r="B55" s="17">
        <v>26261</v>
      </c>
      <c r="C55" s="17">
        <v>4908</v>
      </c>
    </row>
    <row r="56" spans="1:3">
      <c r="A56" s="2">
        <v>2016</v>
      </c>
      <c r="B56" s="17">
        <v>30573</v>
      </c>
      <c r="C56" s="17">
        <v>4806</v>
      </c>
    </row>
    <row r="57" spans="1:3">
      <c r="A57" s="2">
        <v>2017</v>
      </c>
      <c r="B57" s="17">
        <v>34406</v>
      </c>
      <c r="C57" s="17">
        <v>5826</v>
      </c>
    </row>
    <row r="58" spans="1:3">
      <c r="A58" s="2">
        <v>2018</v>
      </c>
      <c r="B58" s="17">
        <v>37669</v>
      </c>
      <c r="C58" s="17">
        <v>5886</v>
      </c>
    </row>
    <row r="59" spans="1:3">
      <c r="A59" s="2">
        <v>2019</v>
      </c>
      <c r="B59" s="17">
        <v>40668</v>
      </c>
      <c r="C59" s="17">
        <v>7038</v>
      </c>
    </row>
    <row r="60" spans="1:3">
      <c r="A60" s="1">
        <v>2020</v>
      </c>
      <c r="B60" s="17">
        <v>33319</v>
      </c>
      <c r="C60" s="17">
        <v>4781</v>
      </c>
    </row>
    <row r="61" spans="1:3">
      <c r="A61" s="2">
        <v>2021</v>
      </c>
      <c r="B61" s="19">
        <v>41031</v>
      </c>
      <c r="C61" s="19">
        <v>5027</v>
      </c>
    </row>
    <row r="62" spans="1:3">
      <c r="A62" s="2">
        <v>2022</v>
      </c>
      <c r="B62" s="19">
        <v>50479</v>
      </c>
      <c r="C62" s="19">
        <v>6148</v>
      </c>
    </row>
    <row r="63" spans="1:3">
      <c r="A63" s="2">
        <v>2023</v>
      </c>
      <c r="B63" s="17">
        <v>46255</v>
      </c>
      <c r="C63" s="50">
        <v>6850</v>
      </c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P46"/>
  <sheetViews>
    <sheetView topLeftCell="F50" zoomScale="71" workbookViewId="0">
      <selection activeCell="H72" sqref="H72"/>
    </sheetView>
  </sheetViews>
  <sheetFormatPr defaultColWidth="8.6640625" defaultRowHeight="14.4"/>
  <cols>
    <col min="1" max="1" width="28.109375" customWidth="1"/>
    <col min="2" max="2" width="23.21875" customWidth="1"/>
    <col min="3" max="3" width="23.44140625" customWidth="1"/>
    <col min="4" max="4" width="24.77734375" bestFit="1" customWidth="1"/>
    <col min="5" max="5" width="28.109375" bestFit="1" customWidth="1"/>
    <col min="6" max="6" width="30.88671875" bestFit="1" customWidth="1"/>
    <col min="7" max="7" width="18.44140625" bestFit="1" customWidth="1"/>
    <col min="8" max="8" width="38.88671875" bestFit="1" customWidth="1"/>
    <col min="9" max="9" width="24.6640625" bestFit="1" customWidth="1"/>
    <col min="10" max="10" width="25" bestFit="1" customWidth="1"/>
    <col min="11" max="11" width="31.5546875" bestFit="1" customWidth="1"/>
    <col min="12" max="12" width="26.5546875" bestFit="1" customWidth="1"/>
    <col min="13" max="13" width="24.5546875" bestFit="1" customWidth="1"/>
    <col min="14" max="14" width="44.109375" bestFit="1" customWidth="1"/>
    <col min="15" max="15" width="20.44140625" bestFit="1" customWidth="1"/>
    <col min="16" max="16" width="16.33203125" bestFit="1" customWidth="1"/>
  </cols>
  <sheetData>
    <row r="1" spans="1:16" ht="19.2">
      <c r="A1" s="7" t="s">
        <v>18</v>
      </c>
    </row>
    <row r="2" spans="1:16">
      <c r="A2" s="5" t="s">
        <v>1</v>
      </c>
    </row>
    <row r="3" spans="1:16">
      <c r="A3" s="5"/>
    </row>
    <row r="4" spans="1:16" ht="54" customHeight="1">
      <c r="A4" s="9" t="s">
        <v>2</v>
      </c>
      <c r="B4" s="10" t="s">
        <v>19</v>
      </c>
      <c r="C4" s="10" t="s">
        <v>20</v>
      </c>
      <c r="D4" s="11" t="s">
        <v>21</v>
      </c>
      <c r="E4" s="11" t="s">
        <v>22</v>
      </c>
      <c r="F4" s="12" t="s">
        <v>23</v>
      </c>
      <c r="G4" s="12" t="s">
        <v>24</v>
      </c>
      <c r="H4" s="11" t="s">
        <v>25</v>
      </c>
      <c r="I4" s="11" t="s">
        <v>26</v>
      </c>
      <c r="J4" s="11" t="s">
        <v>27</v>
      </c>
      <c r="K4" s="11" t="s">
        <v>28</v>
      </c>
      <c r="L4" s="11" t="s">
        <v>29</v>
      </c>
      <c r="M4" s="11" t="s">
        <v>30</v>
      </c>
      <c r="N4" s="12" t="s">
        <v>31</v>
      </c>
      <c r="O4" s="13" t="s">
        <v>32</v>
      </c>
      <c r="P4" s="14" t="s">
        <v>33</v>
      </c>
    </row>
    <row r="5" spans="1:16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</row>
    <row r="6" spans="1:16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</row>
    <row r="7" spans="1:16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</row>
    <row r="8" spans="1:16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</row>
    <row r="9" spans="1:16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</row>
    <row r="10" spans="1:16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</row>
    <row r="11" spans="1:16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</row>
    <row r="12" spans="1:16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</row>
    <row r="13" spans="1:16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</row>
    <row r="14" spans="1:16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</row>
    <row r="15" spans="1:16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</row>
    <row r="16" spans="1:16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</row>
    <row r="17" spans="1:16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</row>
    <row r="18" spans="1:16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</row>
    <row r="19" spans="1:16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</row>
    <row r="20" spans="1:16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</row>
    <row r="21" spans="1:16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</row>
    <row r="22" spans="1:16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</row>
    <row r="23" spans="1:16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</row>
    <row r="24" spans="1:16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</row>
    <row r="25" spans="1:16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</row>
    <row r="26" spans="1:16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</row>
    <row r="27" spans="1:16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</row>
    <row r="28" spans="1:16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</row>
    <row r="29" spans="1:16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</row>
    <row r="30" spans="1:16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</row>
    <row r="44" spans="1:16">
      <c r="A44" s="51"/>
      <c r="B44" s="52" t="s">
        <v>19</v>
      </c>
      <c r="C44" s="52" t="s">
        <v>20</v>
      </c>
      <c r="D44" s="52" t="s">
        <v>21</v>
      </c>
      <c r="E44" s="52" t="s">
        <v>22</v>
      </c>
      <c r="F44" s="52" t="s">
        <v>23</v>
      </c>
      <c r="G44" s="52" t="s">
        <v>24</v>
      </c>
      <c r="H44" s="52" t="s">
        <v>25</v>
      </c>
      <c r="I44" s="52" t="s">
        <v>26</v>
      </c>
      <c r="J44" s="52" t="s">
        <v>27</v>
      </c>
      <c r="K44" s="52" t="s">
        <v>28</v>
      </c>
      <c r="L44" s="52" t="s">
        <v>29</v>
      </c>
      <c r="M44" s="52" t="s">
        <v>30</v>
      </c>
      <c r="N44" s="52" t="s">
        <v>31</v>
      </c>
      <c r="O44" s="52" t="s">
        <v>32</v>
      </c>
      <c r="P44" s="52" t="s">
        <v>33</v>
      </c>
    </row>
    <row r="45" spans="1:16">
      <c r="A45" s="33" t="s">
        <v>107</v>
      </c>
      <c r="B45" s="32">
        <f>SUM(Table1.2[Total private new housing])</f>
        <v>605847</v>
      </c>
      <c r="C45" s="32">
        <f>SUM(Table1.2[Total private Infrastructure])</f>
        <v>224541</v>
      </c>
      <c r="D45" s="32">
        <f>SUM(Table1.2[Private industrial: factories])</f>
        <v>67954</v>
      </c>
      <c r="E45" s="32">
        <f>SUM(Table1.2[Private industrial: warehouses])</f>
        <v>59325</v>
      </c>
      <c r="F45" s="32">
        <f>SUM(Table1.2[Private industrial: oil, steel &amp; coal])</f>
        <v>4246</v>
      </c>
      <c r="G45" s="32">
        <f>SUM(Table1.2[All private industrial])</f>
        <v>131526</v>
      </c>
      <c r="H45" s="32">
        <f>SUM(Table1.2[Private commercial: schools &amp; universities])</f>
        <v>79984</v>
      </c>
      <c r="I45" s="32">
        <f>SUM(Table1.2[Private commercial: health])</f>
        <v>39080</v>
      </c>
      <c r="J45" s="32">
        <f>SUM(Table1.2[Private commercial: offices])</f>
        <v>227092</v>
      </c>
      <c r="K45" s="32">
        <f>SUM(Table1.2[Private commercial: entertainment])</f>
        <v>138541</v>
      </c>
      <c r="L45" s="32">
        <f>SUM(Table1.2[Private commercial: garages])</f>
        <v>13282</v>
      </c>
      <c r="M45" s="32">
        <f>SUM(Table1.2[Private commercial: shops])</f>
        <v>129635</v>
      </c>
      <c r="N45" s="32">
        <f>SUM(Table1.2[Private commercial: agriculture &amp; miscellaneous])</f>
        <v>40044</v>
      </c>
      <c r="O45" s="32">
        <f>SUM(Table1.2[All private commercial])</f>
        <v>667649</v>
      </c>
      <c r="P45" s="32">
        <f>SUM(Table1.2[All Private Sector])</f>
        <v>1629563</v>
      </c>
    </row>
    <row r="46" spans="1:16">
      <c r="A46" s="33" t="s">
        <v>108</v>
      </c>
      <c r="B46" s="32">
        <f>AVERAGE(Table1.2[Total private new housing])</f>
        <v>23301.807692307691</v>
      </c>
      <c r="C46" s="32">
        <f>AVERAGE(Table1.2[Total private Infrastructure])</f>
        <v>8636.1923076923085</v>
      </c>
      <c r="D46" s="32">
        <f>AVERAGE(Table1.2[Private industrial: factories])</f>
        <v>2613.6153846153848</v>
      </c>
      <c r="E46" s="32">
        <f>AVERAGE(Table1.2[Private industrial: warehouses])</f>
        <v>2281.7307692307691</v>
      </c>
      <c r="F46" s="32">
        <f>AVERAGE(Table1.2[Private industrial: oil, steel &amp; coal])</f>
        <v>163.30769230769232</v>
      </c>
      <c r="G46" s="32">
        <f>AVERAGE(Table1.2[All private industrial])</f>
        <v>5058.6923076923076</v>
      </c>
      <c r="H46" s="32">
        <f>AVERAGE(Table1.2[Private commercial: schools &amp; universities])</f>
        <v>3076.3076923076924</v>
      </c>
      <c r="I46" s="32">
        <f>AVERAGE(Table1.2[Private commercial: health])</f>
        <v>1503.0769230769231</v>
      </c>
      <c r="J46" s="32">
        <f>AVERAGE(Table1.2[Private commercial: offices])</f>
        <v>8734.3076923076915</v>
      </c>
      <c r="K46" s="32">
        <f>AVERAGE(Table1.2[Private commercial: entertainment])</f>
        <v>5328.5</v>
      </c>
      <c r="L46" s="32">
        <f>AVERAGE(Table1.2[Private commercial: garages])</f>
        <v>510.84615384615387</v>
      </c>
      <c r="M46" s="32">
        <f>AVERAGE(Table1.2[Private commercial: shops])</f>
        <v>4985.9615384615381</v>
      </c>
      <c r="N46" s="32">
        <f>AVERAGE(Table1.2[Private commercial: agriculture &amp; miscellaneous])</f>
        <v>1540.1538461538462</v>
      </c>
      <c r="O46" s="32">
        <f>AVERAGE(Table1.2[All private commercial])</f>
        <v>25678.807692307691</v>
      </c>
      <c r="P46" s="32">
        <f>AVERAGE(Table1.2[All Private Sector])</f>
        <v>62675.5</v>
      </c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E38"/>
  <sheetViews>
    <sheetView topLeftCell="A36" zoomScale="68" workbookViewId="0">
      <selection activeCell="AF3" sqref="AF3"/>
    </sheetView>
  </sheetViews>
  <sheetFormatPr defaultColWidth="8.6640625" defaultRowHeight="14.4"/>
  <cols>
    <col min="1" max="1" width="17.44140625" customWidth="1"/>
    <col min="2" max="27" width="8.88671875" customWidth="1"/>
    <col min="29" max="29" width="18.5546875" bestFit="1" customWidth="1"/>
  </cols>
  <sheetData>
    <row r="1" spans="1:31" ht="19.2">
      <c r="A1" s="3" t="s">
        <v>34</v>
      </c>
    </row>
    <row r="2" spans="1:31" ht="19.2">
      <c r="A2" s="3"/>
    </row>
    <row r="3" spans="1:31">
      <c r="A3" s="25" t="s">
        <v>35</v>
      </c>
      <c r="B3" s="15" t="s">
        <v>36</v>
      </c>
      <c r="C3" s="15" t="s">
        <v>37</v>
      </c>
      <c r="D3" s="15" t="s">
        <v>38</v>
      </c>
      <c r="E3" s="15" t="s">
        <v>39</v>
      </c>
      <c r="F3" s="15" t="s">
        <v>40</v>
      </c>
      <c r="G3" s="15" t="s">
        <v>41</v>
      </c>
      <c r="H3" s="15" t="s">
        <v>42</v>
      </c>
      <c r="I3" s="15" t="s">
        <v>43</v>
      </c>
      <c r="J3" s="15" t="s">
        <v>44</v>
      </c>
      <c r="K3" s="15" t="s">
        <v>45</v>
      </c>
      <c r="L3" s="15" t="s">
        <v>46</v>
      </c>
      <c r="M3" s="15" t="s">
        <v>47</v>
      </c>
      <c r="N3" s="8" t="s">
        <v>48</v>
      </c>
      <c r="O3" s="15" t="s">
        <v>49</v>
      </c>
      <c r="P3" s="15" t="s">
        <v>50</v>
      </c>
      <c r="Q3" s="15" t="s">
        <v>51</v>
      </c>
      <c r="R3" s="15" t="s">
        <v>52</v>
      </c>
      <c r="S3" s="15" t="s">
        <v>53</v>
      </c>
      <c r="T3" s="15" t="s">
        <v>54</v>
      </c>
      <c r="U3" s="15" t="s">
        <v>55</v>
      </c>
      <c r="V3" s="15" t="s">
        <v>56</v>
      </c>
      <c r="W3" s="15" t="s">
        <v>57</v>
      </c>
      <c r="X3" s="15" t="s">
        <v>58</v>
      </c>
      <c r="Y3" s="15" t="s">
        <v>59</v>
      </c>
      <c r="Z3" s="15" t="s">
        <v>60</v>
      </c>
      <c r="AA3" s="15" t="s">
        <v>61</v>
      </c>
      <c r="AB3" s="15" t="s">
        <v>62</v>
      </c>
      <c r="AC3" s="44" t="s">
        <v>105</v>
      </c>
      <c r="AD3" s="44" t="s">
        <v>106</v>
      </c>
      <c r="AE3" s="15" t="s">
        <v>111</v>
      </c>
    </row>
    <row r="4" spans="1:31">
      <c r="A4" s="6" t="s">
        <v>63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  <c r="AC4" s="53">
        <f>MAX(Table3.1[[#This Row],[1997]:[2023]])-MIN(Table3.1[[#This Row],[1997]:[2023]])</f>
        <v>86642</v>
      </c>
      <c r="AD4" s="53">
        <f>_xlfn.STDEV.S(Table3.1[[#This Row],[1997]:[2023]])</f>
        <v>30444.321253322403</v>
      </c>
      <c r="AE4" s="53">
        <f>MEDIAN(Table3.1[[#This Row],[1997]:[2023]])</f>
        <v>88018</v>
      </c>
    </row>
    <row r="5" spans="1:31">
      <c r="A5" s="6" t="s">
        <v>64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  <c r="AC5" s="53">
        <f>MAX(Table3.1[[#This Row],[1997]:[2023]])-MIN(Table3.1[[#This Row],[1997]:[2023]])</f>
        <v>56294</v>
      </c>
      <c r="AD5" s="53">
        <f>_xlfn.STDEV.S(Table3.1[[#This Row],[1997]:[2023]])</f>
        <v>18096.289783352746</v>
      </c>
      <c r="AE5" s="53">
        <f>MEDIAN(Table3.1[[#This Row],[1997]:[2023]])</f>
        <v>62910</v>
      </c>
    </row>
    <row r="6" spans="1:31">
      <c r="A6" s="6" t="s">
        <v>65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  <c r="AC6" s="53">
        <f>MAX(Table3.1[[#This Row],[1997]:[2023]])-MIN(Table3.1[[#This Row],[1997]:[2023]])</f>
        <v>25307</v>
      </c>
      <c r="AD6" s="53">
        <f>_xlfn.STDEV.S(Table3.1[[#This Row],[1997]:[2023]])</f>
        <v>7127.7593944910232</v>
      </c>
      <c r="AE6" s="53">
        <f>MEDIAN(Table3.1[[#This Row],[1997]:[2023]])</f>
        <v>30375</v>
      </c>
    </row>
    <row r="7" spans="1:31">
      <c r="A7" s="6" t="s">
        <v>66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  <c r="AC7" s="53">
        <f>MAX(Table3.1[[#This Row],[1997]:[2023]])-MIN(Table3.1[[#This Row],[1997]:[2023]])</f>
        <v>10591</v>
      </c>
      <c r="AD7" s="53">
        <f>_xlfn.STDEV.S(Table3.1[[#This Row],[1997]:[2023]])</f>
        <v>3221.2702264471491</v>
      </c>
      <c r="AE7" s="53">
        <f>MEDIAN(Table3.1[[#This Row],[1997]:[2023]])</f>
        <v>11774</v>
      </c>
    </row>
    <row r="8" spans="1:31">
      <c r="A8" s="6" t="s">
        <v>67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  <c r="AC8" s="53">
        <f>MAX(Table3.1[[#This Row],[1997]:[2023]])-MIN(Table3.1[[#This Row],[1997]:[2023]])</f>
        <v>4190</v>
      </c>
      <c r="AD8" s="53">
        <f>_xlfn.STDEV.S(Table3.1[[#This Row],[1997]:[2023]])</f>
        <v>1235.8401043552367</v>
      </c>
      <c r="AE8" s="53">
        <f>MEDIAN(Table3.1[[#This Row],[1997]:[2023]])</f>
        <v>6203</v>
      </c>
    </row>
    <row r="9" spans="1:31">
      <c r="A9" s="6" t="s">
        <v>68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  <c r="AC9" s="53">
        <f>MAX(Table3.1[[#This Row],[1997]:[2023]])-MIN(Table3.1[[#This Row],[1997]:[2023]])</f>
        <v>1086</v>
      </c>
      <c r="AD9" s="53">
        <f>_xlfn.STDEV.S(Table3.1[[#This Row],[1997]:[2023]])</f>
        <v>285.13955697441764</v>
      </c>
      <c r="AE9" s="53">
        <f>MEDIAN(Table3.1[[#This Row],[1997]:[2023]])</f>
        <v>1885</v>
      </c>
    </row>
    <row r="10" spans="1:31">
      <c r="A10" s="6" t="s">
        <v>69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  <c r="AC10" s="53">
        <f>MAX(Table3.1[[#This Row],[1997]:[2023]])-MIN(Table3.1[[#This Row],[1997]:[2023]])</f>
        <v>1212</v>
      </c>
      <c r="AD10" s="53">
        <f>_xlfn.STDEV.S(Table3.1[[#This Row],[1997]:[2023]])</f>
        <v>320.12714265489501</v>
      </c>
      <c r="AE10" s="53">
        <f>MEDIAN(Table3.1[[#This Row],[1997]:[2023]])</f>
        <v>1849</v>
      </c>
    </row>
    <row r="11" spans="1:31">
      <c r="A11" s="6" t="s">
        <v>70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  <c r="AC11" s="53">
        <f>MAX(Table3.1[[#This Row],[1997]:[2023]])-MIN(Table3.1[[#This Row],[1997]:[2023]])</f>
        <v>293</v>
      </c>
      <c r="AD11" s="53">
        <f>_xlfn.STDEV.S(Table3.1[[#This Row],[1997]:[2023]])</f>
        <v>80.279000670897503</v>
      </c>
      <c r="AE11" s="53">
        <f>MEDIAN(Table3.1[[#This Row],[1997]:[2023]])</f>
        <v>549</v>
      </c>
    </row>
    <row r="12" spans="1:31">
      <c r="A12" s="6" t="s">
        <v>71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  <c r="AC12" s="53">
        <f>MAX(Table3.1[[#This Row],[1997]:[2023]])-MIN(Table3.1[[#This Row],[1997]:[2023]])</f>
        <v>240</v>
      </c>
      <c r="AD12" s="53">
        <f>_xlfn.STDEV.S(Table3.1[[#This Row],[1997]:[2023]])</f>
        <v>66.389874112061577</v>
      </c>
      <c r="AE12" s="53">
        <f>MEDIAN(Table3.1[[#This Row],[1997]:[2023]])</f>
        <v>441</v>
      </c>
    </row>
    <row r="13" spans="1:31">
      <c r="A13" s="6" t="s">
        <v>72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  <c r="AC13" s="53">
        <f>MAX(Table3.1[[#This Row],[1997]:[2023]])-MIN(Table3.1[[#This Row],[1997]:[2023]])</f>
        <v>261</v>
      </c>
      <c r="AD13" s="53">
        <f>_xlfn.STDEV.S(Table3.1[[#This Row],[1997]:[2023]])</f>
        <v>68.921690563997686</v>
      </c>
      <c r="AE13" s="53">
        <f>MEDIAN(Table3.1[[#This Row],[1997]:[2023]])</f>
        <v>531</v>
      </c>
    </row>
    <row r="14" spans="1:31">
      <c r="A14" s="6" t="s">
        <v>73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  <c r="AC14" s="53">
        <f>MAX(Table3.1[[#This Row],[1997]:[2023]])-MIN(Table3.1[[#This Row],[1997]:[2023]])</f>
        <v>73</v>
      </c>
      <c r="AD14" s="53">
        <f>_xlfn.STDEV.S(Table3.1[[#This Row],[1997]:[2023]])</f>
        <v>16.674100906065124</v>
      </c>
      <c r="AE14" s="53">
        <f>MEDIAN(Table3.1[[#This Row],[1997]:[2023]])</f>
        <v>143</v>
      </c>
    </row>
    <row r="15" spans="1:31">
      <c r="A15" s="6" t="s">
        <v>74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  <c r="AC15" s="53">
        <f>MAX(Table3.1[[#This Row],[1997]:[2023]])-MIN(Table3.1[[#This Row],[1997]:[2023]])</f>
        <v>27</v>
      </c>
      <c r="AD15" s="53">
        <f>_xlfn.STDEV.S(Table3.1[[#This Row],[1997]:[2023]])</f>
        <v>6.6591838347300012</v>
      </c>
      <c r="AE15" s="53">
        <f>MEDIAN(Table3.1[[#This Row],[1997]:[2023]])</f>
        <v>59</v>
      </c>
    </row>
    <row r="16" spans="1:31">
      <c r="A16" s="6" t="s">
        <v>75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  <c r="AC16" s="53">
        <f>MAX(Table3.1[[#This Row],[1997]:[2023]])-MIN(Table3.1[[#This Row],[1997]:[2023]])</f>
        <v>29</v>
      </c>
      <c r="AD16" s="53">
        <f>_xlfn.STDEV.S(Table3.1[[#This Row],[1997]:[2023]])</f>
        <v>7.5176904376057738</v>
      </c>
      <c r="AE16" s="53">
        <f>MEDIAN(Table3.1[[#This Row],[1997]:[2023]])</f>
        <v>57</v>
      </c>
    </row>
    <row r="17" spans="1:31" ht="25.2" customHeight="1">
      <c r="A17" s="16" t="s">
        <v>76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2">
        <v>194025</v>
      </c>
      <c r="O17" s="21">
        <v>256441</v>
      </c>
      <c r="P17" s="21">
        <v>253121</v>
      </c>
      <c r="Q17" s="21">
        <v>247105</v>
      </c>
      <c r="R17" s="21">
        <v>250964</v>
      </c>
      <c r="S17" s="21">
        <v>251647</v>
      </c>
      <c r="T17" s="21">
        <v>273775</v>
      </c>
      <c r="U17" s="21">
        <v>296093</v>
      </c>
      <c r="V17" s="21">
        <v>314590</v>
      </c>
      <c r="W17" s="21">
        <v>325736</v>
      </c>
      <c r="X17" s="21">
        <v>335731</v>
      </c>
      <c r="Y17" s="21">
        <v>342456</v>
      </c>
      <c r="Z17" s="21">
        <v>353365</v>
      </c>
      <c r="AA17" s="21">
        <v>374332</v>
      </c>
      <c r="AB17" s="21">
        <v>364514</v>
      </c>
      <c r="AC17" s="53">
        <f>MAX(Table3.1[[#This Row],[1997]:[2023]])-MIN(Table3.1[[#This Row],[1997]:[2023]])</f>
        <v>214184</v>
      </c>
      <c r="AD17" s="53">
        <f>_xlfn.STDEV.S(Table3.1[[#This Row],[1997]:[2023]])</f>
        <v>73118.121907357941</v>
      </c>
      <c r="AE17" s="53">
        <f>MEDIAN(Table3.1[[#This Row],[1997]:[2023]])</f>
        <v>247105</v>
      </c>
    </row>
    <row r="18" spans="1:31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24" spans="1:31" ht="15" thickBot="1">
      <c r="B24" s="46" t="s">
        <v>110</v>
      </c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8"/>
    </row>
    <row r="25" spans="1:31" ht="15" thickBot="1">
      <c r="A25" s="36" t="s">
        <v>35</v>
      </c>
      <c r="B25" s="44" t="s">
        <v>36</v>
      </c>
      <c r="C25" s="44" t="s">
        <v>37</v>
      </c>
      <c r="D25" s="44" t="s">
        <v>38</v>
      </c>
      <c r="E25" s="44" t="s">
        <v>39</v>
      </c>
      <c r="F25" s="44" t="s">
        <v>40</v>
      </c>
      <c r="G25" s="44" t="s">
        <v>41</v>
      </c>
      <c r="H25" s="44" t="s">
        <v>42</v>
      </c>
      <c r="I25" s="44" t="s">
        <v>43</v>
      </c>
      <c r="J25" s="44" t="s">
        <v>44</v>
      </c>
      <c r="K25" s="44" t="s">
        <v>45</v>
      </c>
      <c r="L25" s="44" t="s">
        <v>46</v>
      </c>
      <c r="M25" s="44" t="s">
        <v>47</v>
      </c>
      <c r="N25" s="45" t="s">
        <v>48</v>
      </c>
      <c r="O25" s="44" t="s">
        <v>49</v>
      </c>
      <c r="P25" s="44" t="s">
        <v>50</v>
      </c>
      <c r="Q25" s="44" t="s">
        <v>51</v>
      </c>
      <c r="R25" s="44" t="s">
        <v>52</v>
      </c>
      <c r="S25" s="44" t="s">
        <v>53</v>
      </c>
      <c r="T25" s="44" t="s">
        <v>54</v>
      </c>
      <c r="U25" s="44" t="s">
        <v>55</v>
      </c>
      <c r="V25" s="44" t="s">
        <v>56</v>
      </c>
      <c r="W25" s="44" t="s">
        <v>57</v>
      </c>
      <c r="X25" s="44" t="s">
        <v>58</v>
      </c>
      <c r="Y25" s="44" t="s">
        <v>59</v>
      </c>
      <c r="Z25" s="44" t="s">
        <v>60</v>
      </c>
      <c r="AA25" s="44" t="s">
        <v>61</v>
      </c>
      <c r="AB25" s="45" t="s">
        <v>62</v>
      </c>
      <c r="AC25" s="39" t="s">
        <v>109</v>
      </c>
    </row>
    <row r="26" spans="1:31" ht="15" thickBot="1">
      <c r="A26" s="34" t="s">
        <v>63</v>
      </c>
      <c r="B26" s="35">
        <v>0</v>
      </c>
      <c r="C26" s="35">
        <f>(C4-B4)/B4</f>
        <v>1.8175706221238219E-2</v>
      </c>
      <c r="D26" s="35">
        <f>(D4-C4)/C4</f>
        <v>2.0606350399034576E-3</v>
      </c>
      <c r="E26" s="35">
        <f>(E4-D4)/D4</f>
        <v>-3.4765616123974643E-3</v>
      </c>
      <c r="F26" s="35">
        <f>(F4-E4)/E4</f>
        <v>-0.11156968259759212</v>
      </c>
      <c r="G26" s="35">
        <f>(G4-F4)/F4</f>
        <v>-8.3348304801991638E-2</v>
      </c>
      <c r="H26" s="35">
        <f>(H4-G4)/G4</f>
        <v>-1.485349498117064E-2</v>
      </c>
      <c r="I26" s="35">
        <f>(I4-H4)/H4</f>
        <v>1.7763251385533609E-2</v>
      </c>
      <c r="J26" s="35">
        <f>(J4-I4)/I4</f>
        <v>2.0901982686400446E-2</v>
      </c>
      <c r="K26" s="35">
        <f>(K4-J4)/J4</f>
        <v>-1.5823953389772556E-2</v>
      </c>
      <c r="L26" s="35">
        <f>(L4-K4)/K4</f>
        <v>3.2865480822679267E-2</v>
      </c>
      <c r="M26" s="35">
        <f>(M4-L4)/L4</f>
        <v>6.0558358560376724E-2</v>
      </c>
      <c r="N26" s="35">
        <f>(N4-M4)/M4</f>
        <v>-4.3691167888767667E-2</v>
      </c>
      <c r="O26" s="35">
        <f>(O4-N4)/N4</f>
        <v>0.14449072722931203</v>
      </c>
      <c r="P26" s="35">
        <f>(P4-O4)/O4</f>
        <v>3.3127013932355058E-2</v>
      </c>
      <c r="Q26" s="35">
        <f>(Q4-P4)/P4</f>
        <v>1.6997262487097788E-2</v>
      </c>
      <c r="R26" s="35">
        <f>(R4-Q4)/Q4</f>
        <v>2.1931227729544277E-2</v>
      </c>
      <c r="S26" s="35">
        <f>(S4-R4)/R4</f>
        <v>3.1413612565445027E-3</v>
      </c>
      <c r="T26" s="35">
        <f>(T4-S4)/S4</f>
        <v>0.16965112024621742</v>
      </c>
      <c r="U26" s="35">
        <f>(U4-T4)/T4</f>
        <v>0.13614742710988031</v>
      </c>
      <c r="V26" s="35">
        <f>(V4-U4)/U4</f>
        <v>8.0841208528694863E-2</v>
      </c>
      <c r="W26" s="35">
        <f>(W4-V4)/V4</f>
        <v>3.4441680652121796E-2</v>
      </c>
      <c r="X26" s="35">
        <f>(X4-W4)/W4</f>
        <v>4.4615373472683947E-2</v>
      </c>
      <c r="Y26" s="35">
        <f>(Y4-X4)/X4</f>
        <v>3.0195037059121257E-2</v>
      </c>
      <c r="Z26" s="35">
        <f>(Z4-Y4)/Y4</f>
        <v>3.3906746352231731E-2</v>
      </c>
      <c r="AA26" s="35">
        <f>(AA4-Z4)/Z4</f>
        <v>2.2067151840231218E-2</v>
      </c>
      <c r="AB26" s="37">
        <f>(AB4-AA4)/AA4</f>
        <v>-5.4709194201717068E-3</v>
      </c>
      <c r="AC26" s="38">
        <f>_xlfn.STDEV.S(C26:AB26)</f>
        <v>6.1302851484054934E-2</v>
      </c>
    </row>
    <row r="27" spans="1:31" ht="15" thickBot="1">
      <c r="A27" s="34" t="s">
        <v>64</v>
      </c>
      <c r="B27" s="35">
        <v>0</v>
      </c>
      <c r="C27" s="35">
        <f>(C5-B5)/B5</f>
        <v>5.750986483082865E-3</v>
      </c>
      <c r="D27" s="35">
        <f>(D5-C5)/C5</f>
        <v>2.9884385825785717E-2</v>
      </c>
      <c r="E27" s="35">
        <f>(E5-D5)/D5</f>
        <v>-1.1691995947315096E-2</v>
      </c>
      <c r="F27" s="35">
        <f>(F5-E5)/E5</f>
        <v>3.8545916798228531E-2</v>
      </c>
      <c r="G27" s="35">
        <f>(G5-F5)/F5</f>
        <v>-6.8505320514086034E-3</v>
      </c>
      <c r="H27" s="35">
        <f>(H5-G5)/G5</f>
        <v>5.3989583747465514E-2</v>
      </c>
      <c r="I27" s="35">
        <f>(I5-H5)/H5</f>
        <v>3.7814492097619855E-2</v>
      </c>
      <c r="J27" s="35">
        <f>(J5-I5)/I5</f>
        <v>4.1670452686862813E-2</v>
      </c>
      <c r="K27" s="35">
        <f>(K5-J5)/J5</f>
        <v>2.773900907187718E-2</v>
      </c>
      <c r="L27" s="35">
        <f>(L5-K5)/K5</f>
        <v>2.3815990493973857E-2</v>
      </c>
      <c r="M27" s="35">
        <f>(M5-L5)/L5</f>
        <v>4.3058710394110723E-2</v>
      </c>
      <c r="N27" s="35">
        <f>(N5-M5)/M5</f>
        <v>-3.6321729454776665E-2</v>
      </c>
      <c r="O27" s="35">
        <f>(O5-N5)/N5</f>
        <v>7.929072164948453E-2</v>
      </c>
      <c r="P27" s="35">
        <f>(P5-O5)/O5</f>
        <v>3.927741777723438E-3</v>
      </c>
      <c r="Q27" s="35">
        <f>(Q5-P5)/P5</f>
        <v>-5.6036779369453026E-2</v>
      </c>
      <c r="R27" s="35">
        <f>(R5-Q5)/Q5</f>
        <v>6.5249645207070051E-2</v>
      </c>
      <c r="S27" s="35">
        <f>(S5-R5)/R5</f>
        <v>1.226269415932419E-3</v>
      </c>
      <c r="T27" s="35">
        <f>(T5-S5)/S5</f>
        <v>9.0617675965827468E-2</v>
      </c>
      <c r="U27" s="35">
        <f>(U5-T5)/T5</f>
        <v>6.5397626441881102E-2</v>
      </c>
      <c r="V27" s="35">
        <f>(V5-U5)/U5</f>
        <v>7.7272431517990764E-2</v>
      </c>
      <c r="W27" s="35">
        <f>(W5-V5)/V5</f>
        <v>6.6607878429146075E-2</v>
      </c>
      <c r="X27" s="35">
        <f>(X5-W5)/W5</f>
        <v>4.015991483289353E-2</v>
      </c>
      <c r="Y27" s="35">
        <f>(Y5-X5)/X5</f>
        <v>3.0573914179632632E-2</v>
      </c>
      <c r="Z27" s="35">
        <f>(Z5-Y5)/Y5</f>
        <v>5.8816071673833348E-2</v>
      </c>
      <c r="AA27" s="35">
        <f>(AA5-Z5)/Z5</f>
        <v>3.7119080404717716E-2</v>
      </c>
      <c r="AB27" s="37">
        <f>(AB5-AA5)/AA5</f>
        <v>-5.7822932902307144E-3</v>
      </c>
      <c r="AC27" s="38">
        <f t="shared" ref="AC27:AC38" si="0">_xlfn.STDEV.S(C27:AB27)</f>
        <v>3.604082677605755E-2</v>
      </c>
    </row>
    <row r="28" spans="1:31" ht="15" thickBot="1">
      <c r="A28" s="34" t="s">
        <v>65</v>
      </c>
      <c r="B28" s="35">
        <v>0</v>
      </c>
      <c r="C28" s="35">
        <f>(C6-B6)/B6</f>
        <v>4.1558111457075685E-2</v>
      </c>
      <c r="D28" s="35">
        <f>(D6-C6)/C6</f>
        <v>3.5263254224879505E-2</v>
      </c>
      <c r="E28" s="35">
        <f>(E6-D6)/D6</f>
        <v>-2.2688431846307974E-2</v>
      </c>
      <c r="F28" s="35">
        <f>(F6-E6)/E6</f>
        <v>0.35401591895803186</v>
      </c>
      <c r="G28" s="35">
        <f>(G6-F6)/F6</f>
        <v>6.7156535292807837E-2</v>
      </c>
      <c r="H28" s="35">
        <f>(H6-G6)/G6</f>
        <v>7.2653674414722702E-2</v>
      </c>
      <c r="I28" s="35">
        <f>(I6-H6)/H6</f>
        <v>4.5168067226890755E-2</v>
      </c>
      <c r="J28" s="35">
        <f>(J6-I6)/I6</f>
        <v>5.8440349897636329E-2</v>
      </c>
      <c r="K28" s="35">
        <f>(K6-J6)/J6</f>
        <v>6.8225778090381578E-2</v>
      </c>
      <c r="L28" s="35">
        <f>(L6-K6)/K6</f>
        <v>4.7374485596707816E-2</v>
      </c>
      <c r="M28" s="35">
        <f>(M6-L6)/L6</f>
        <v>5.5950210599107313E-2</v>
      </c>
      <c r="N28" s="35">
        <f>(N6-M6)/M6</f>
        <v>-1.5627790676906589E-2</v>
      </c>
      <c r="O28" s="35">
        <f>(O6-N6)/N6</f>
        <v>-2.8727811545556262E-2</v>
      </c>
      <c r="P28" s="35">
        <f>(P6-O6)/O6</f>
        <v>-6.1552352190292349E-2</v>
      </c>
      <c r="Q28" s="35">
        <f>(Q6-P6)/P6</f>
        <v>-4.2034370645610775E-2</v>
      </c>
      <c r="R28" s="35">
        <f>(R6-Q6)/Q6</f>
        <v>4.8138528138528137E-3</v>
      </c>
      <c r="S28" s="35">
        <f>(S6-R6)/R6</f>
        <v>4.411663334941752E-3</v>
      </c>
      <c r="T28" s="35">
        <f>(T6-S6)/S6</f>
        <v>5.8781140621782996E-2</v>
      </c>
      <c r="U28" s="35">
        <f>(U6-T6)/T6</f>
        <v>4.80959325879112E-2</v>
      </c>
      <c r="V28" s="35">
        <f>(V6-U6)/U6</f>
        <v>4.9290330560623395E-2</v>
      </c>
      <c r="W28" s="35">
        <f>(W6-V6)/V6</f>
        <v>4.4234226269413257E-2</v>
      </c>
      <c r="X28" s="35">
        <f>(X6-W6)/W6</f>
        <v>1.7977084156459898E-2</v>
      </c>
      <c r="Y28" s="35">
        <f>(Y6-X6)/X6</f>
        <v>1.8130908486041417E-2</v>
      </c>
      <c r="Z28" s="35">
        <f>(Z6-Y6)/Y6</f>
        <v>4.4329475833900615E-2</v>
      </c>
      <c r="AA28" s="35">
        <f>(AA6-Z6)/Z6</f>
        <v>7.0164002815946605E-2</v>
      </c>
      <c r="AB28" s="37">
        <f>(AB6-AA6)/AA6</f>
        <v>-1.7030503849527336E-2</v>
      </c>
      <c r="AC28" s="38">
        <f t="shared" si="0"/>
        <v>7.4525335622309716E-2</v>
      </c>
    </row>
    <row r="29" spans="1:31" ht="15" thickBot="1">
      <c r="A29" s="34" t="s">
        <v>66</v>
      </c>
      <c r="B29" s="35">
        <v>0</v>
      </c>
      <c r="C29" s="35">
        <f>(C7-B7)/B7</f>
        <v>5.3076313704779506E-2</v>
      </c>
      <c r="D29" s="35">
        <f>(D7-C7)/C7</f>
        <v>4.0120361083249748E-2</v>
      </c>
      <c r="E29" s="35">
        <f>(E7-D7)/D7</f>
        <v>-8.6306653809064604E-2</v>
      </c>
      <c r="F29" s="35">
        <f>(F7-E7)/E7</f>
        <v>1.1224274406332453</v>
      </c>
      <c r="G29" s="35">
        <f>(G7-F7)/F7</f>
        <v>0.22066136250621582</v>
      </c>
      <c r="H29" s="35">
        <f>(H7-G7)/G7</f>
        <v>7.0170078419390977E-2</v>
      </c>
      <c r="I29" s="35">
        <f>(I7-H7)/H7</f>
        <v>4.51084887704606E-2</v>
      </c>
      <c r="J29" s="35">
        <f>(J7-I7)/I7</f>
        <v>5.6182844654889819E-2</v>
      </c>
      <c r="K29" s="35">
        <f>(K7-J7)/J7</f>
        <v>5.4401241486335031E-2</v>
      </c>
      <c r="L29" s="35">
        <f>(L7-K7)/K7</f>
        <v>3.5895339329517578E-2</v>
      </c>
      <c r="M29" s="35">
        <f>(M7-L7)/L7</f>
        <v>6.2356934248954138E-2</v>
      </c>
      <c r="N29" s="35">
        <f>(N7-M7)/M7</f>
        <v>-7.9426406122297344E-2</v>
      </c>
      <c r="O29" s="35">
        <f>(O7-N7)/N7</f>
        <v>-4.9717514124293788E-2</v>
      </c>
      <c r="P29" s="35">
        <f>(P7-O7)/O7</f>
        <v>-4.5863767623577377E-2</v>
      </c>
      <c r="Q29" s="35">
        <f>(Q7-P7)/P7</f>
        <v>1.9672423001602279E-2</v>
      </c>
      <c r="R29" s="35">
        <f>(R7-Q7)/Q7</f>
        <v>-2.6189436927106066E-3</v>
      </c>
      <c r="S29" s="35">
        <f>(S7-R7)/R7</f>
        <v>2.6258205689277899E-3</v>
      </c>
      <c r="T29" s="35">
        <f>(T7-S7)/S7</f>
        <v>4.0855521606285465E-2</v>
      </c>
      <c r="U29" s="35">
        <f>(U7-T7)/T7</f>
        <v>2.7845340937683469E-2</v>
      </c>
      <c r="V29" s="35">
        <f>(V7-U7)/U7</f>
        <v>3.345573235414117E-2</v>
      </c>
      <c r="W29" s="35">
        <f>(W7-V7)/V7</f>
        <v>1.7765495459928938E-2</v>
      </c>
      <c r="X29" s="35">
        <f>(X7-W7)/W7</f>
        <v>1.3964313421256788E-3</v>
      </c>
      <c r="Y29" s="35">
        <f>(Y7-X7)/X7</f>
        <v>2.7967152153703129E-2</v>
      </c>
      <c r="Z29" s="35">
        <f>(Z7-Y7)/Y7</f>
        <v>1.8087271082975358E-2</v>
      </c>
      <c r="AA29" s="35">
        <f>(AA7-Z7)/Z7</f>
        <v>6.4327485380116955E-2</v>
      </c>
      <c r="AB29" s="37">
        <f>(AB7-AA7)/AA7</f>
        <v>-6.6073167338990121E-3</v>
      </c>
      <c r="AC29" s="38">
        <f t="shared" si="0"/>
        <v>0.22290407775137902</v>
      </c>
    </row>
    <row r="30" spans="1:31" ht="15" thickBot="1">
      <c r="A30" s="34" t="s">
        <v>67</v>
      </c>
      <c r="B30" s="35">
        <v>0</v>
      </c>
      <c r="C30" s="35">
        <f>(C8-B8)/B8</f>
        <v>5.578845533698807E-2</v>
      </c>
      <c r="D30" s="35">
        <f>(D8-C8)/C8</f>
        <v>-9.1631032376298109E-4</v>
      </c>
      <c r="E30" s="35">
        <f>(E8-D8)/D8</f>
        <v>-5.1054723326199938E-2</v>
      </c>
      <c r="F30" s="35">
        <f>(F8-E8)/E8</f>
        <v>0.58505154639175261</v>
      </c>
      <c r="G30" s="35">
        <f>(G8-F8)/F8</f>
        <v>0.10304878048780487</v>
      </c>
      <c r="H30" s="35">
        <f>(H8-G8)/G8</f>
        <v>8.5682697622996129E-2</v>
      </c>
      <c r="I30" s="35">
        <f>(I8-H8)/H8</f>
        <v>4.5655125594025799E-2</v>
      </c>
      <c r="J30" s="35">
        <f>(J8-I8)/I8</f>
        <v>2.9216036357734135E-2</v>
      </c>
      <c r="K30" s="35">
        <f>(K8-J8)/J8</f>
        <v>4.9676707143983596E-2</v>
      </c>
      <c r="L30" s="35">
        <f>(L8-K8)/K8</f>
        <v>3.064903846153846E-2</v>
      </c>
      <c r="M30" s="35">
        <f>(M8-L8)/L8</f>
        <v>3.5276967930029157E-2</v>
      </c>
      <c r="N30" s="35">
        <f>(N8-M8)/M8</f>
        <v>-8.4483244156575613E-2</v>
      </c>
      <c r="O30" s="35">
        <f>(O8-N8)/N8</f>
        <v>-7.2746847123961858E-2</v>
      </c>
      <c r="P30" s="35">
        <f>(P8-O8)/O8</f>
        <v>-4.1632111461270528E-2</v>
      </c>
      <c r="Q30" s="35">
        <f>(Q8-P8)/P8</f>
        <v>5.1921079958463137E-2</v>
      </c>
      <c r="R30" s="35">
        <f>(R8-Q8)/Q8</f>
        <v>-1.5301085883514315E-2</v>
      </c>
      <c r="S30" s="35">
        <f>(S8-R8)/R8</f>
        <v>5.1796157059314958E-3</v>
      </c>
      <c r="T30" s="35">
        <f>(T8-S8)/S8</f>
        <v>3.108377659574468E-2</v>
      </c>
      <c r="U30" s="35">
        <f>(U8-T8)/T8</f>
        <v>4.3527325487667254E-3</v>
      </c>
      <c r="V30" s="35">
        <f>(V8-U8)/U8</f>
        <v>1.5730337078651686E-2</v>
      </c>
      <c r="W30" s="35">
        <f>(W8-V8)/V8</f>
        <v>1.8331226295828066E-2</v>
      </c>
      <c r="X30" s="35">
        <f>(X8-W8)/W8</f>
        <v>9.9317194289261328E-3</v>
      </c>
      <c r="Y30" s="35">
        <f>(Y8-X8)/X8</f>
        <v>1.9207129686539644E-2</v>
      </c>
      <c r="Z30" s="35">
        <f>(Z8-Y8)/Y8</f>
        <v>2.2614201718679332E-3</v>
      </c>
      <c r="AA30" s="35">
        <f>(AA8-Z8)/Z8</f>
        <v>6.6335740072202165E-2</v>
      </c>
      <c r="AB30" s="37">
        <f>(AB8-AA8)/AA8</f>
        <v>2.8494851177881225E-2</v>
      </c>
      <c r="AC30" s="38">
        <f t="shared" si="0"/>
        <v>0.11982430802736563</v>
      </c>
    </row>
    <row r="31" spans="1:31" ht="15" thickBot="1">
      <c r="A31" s="34" t="s">
        <v>68</v>
      </c>
      <c r="B31" s="35">
        <v>0</v>
      </c>
      <c r="C31" s="35">
        <f>(C9-B9)/B9</f>
        <v>2.1258503401360544E-2</v>
      </c>
      <c r="D31" s="35">
        <f>(D9-C9)/C9</f>
        <v>0.10907577019150708</v>
      </c>
      <c r="E31" s="35">
        <f>(E9-D9)/D9</f>
        <v>-9.8348348348348352E-2</v>
      </c>
      <c r="F31" s="35">
        <f>(F9-E9)/E9</f>
        <v>0.48376353039134057</v>
      </c>
      <c r="G31" s="35">
        <f>(G9-F9)/F9</f>
        <v>1.5151515151515152E-2</v>
      </c>
      <c r="H31" s="35">
        <f>(H9-G9)/G9</f>
        <v>6.7993366500829183E-2</v>
      </c>
      <c r="I31" s="35">
        <f>(I9-H9)/H9</f>
        <v>2.7432712215320912E-2</v>
      </c>
      <c r="J31" s="35">
        <f>(J9-I9)/I9</f>
        <v>2.6196473551637279E-2</v>
      </c>
      <c r="K31" s="35">
        <f>(K9-J9)/J9</f>
        <v>9.3274423171330386E-3</v>
      </c>
      <c r="L31" s="35">
        <f>(L9-K9)/K9</f>
        <v>3.5019455252918288E-2</v>
      </c>
      <c r="M31" s="35">
        <f>(M9-L9)/L9</f>
        <v>6.2969924812030079E-2</v>
      </c>
      <c r="N31" s="35">
        <f>(N9-M9)/M9</f>
        <v>-6.9849690539345713E-2</v>
      </c>
      <c r="O31" s="35">
        <f>(O9-N9)/N9</f>
        <v>-0.11406844106463879</v>
      </c>
      <c r="P31" s="35">
        <f>(P9-O9)/O9</f>
        <v>-8.1008583690987124E-2</v>
      </c>
      <c r="Q31" s="35">
        <f>(Q9-P9)/P9</f>
        <v>5.9544658493870403E-2</v>
      </c>
      <c r="R31" s="35">
        <f>(R9-Q9)/Q9</f>
        <v>-3.1955922865013774E-2</v>
      </c>
      <c r="S31" s="35">
        <f>(S9-R9)/R9</f>
        <v>-5.6915196357427435E-4</v>
      </c>
      <c r="T31" s="35">
        <f>(T9-S9)/S9</f>
        <v>-1.9362186788154899E-2</v>
      </c>
      <c r="U31" s="35">
        <f>(U9-T9)/T9</f>
        <v>6.968641114982578E-2</v>
      </c>
      <c r="V31" s="35">
        <f>(V9-U9)/U9</f>
        <v>2.3344191096634093E-2</v>
      </c>
      <c r="W31" s="35">
        <f>(W9-V9)/V9</f>
        <v>2.8647214854111407E-2</v>
      </c>
      <c r="X31" s="35">
        <f>(X9-W9)/W9</f>
        <v>-1.7534811758638472E-2</v>
      </c>
      <c r="Y31" s="35">
        <f>(Y9-X9)/X9</f>
        <v>1.6797900262467191E-2</v>
      </c>
      <c r="Z31" s="35">
        <f>(Z9-Y9)/Y9</f>
        <v>2.8910686628807435E-2</v>
      </c>
      <c r="AA31" s="35">
        <f>(AA9-Z9)/Z9</f>
        <v>3.7631710988459612E-2</v>
      </c>
      <c r="AB31" s="37">
        <f>(AB9-AA9)/AA9</f>
        <v>-5.6092843326885883E-2</v>
      </c>
      <c r="AC31" s="38">
        <f t="shared" si="0"/>
        <v>0.10840034227111452</v>
      </c>
    </row>
    <row r="32" spans="1:31" ht="15" thickBot="1">
      <c r="A32" s="34" t="s">
        <v>69</v>
      </c>
      <c r="B32" s="35">
        <v>0</v>
      </c>
      <c r="C32" s="35">
        <f>(C10-B10)/B10</f>
        <v>9.2560553633217996E-2</v>
      </c>
      <c r="D32" s="35">
        <f>(D10-C10)/C10</f>
        <v>-5.9382422802850353E-2</v>
      </c>
      <c r="E32" s="35">
        <f>(E10-D10)/D10</f>
        <v>-6.6498316498316501E-2</v>
      </c>
      <c r="F32" s="35">
        <f>(F10-E10)/E10</f>
        <v>-9.9188458070333635E-2</v>
      </c>
      <c r="G32" s="35">
        <f>(G10-F10)/F10</f>
        <v>0.78378378378378377</v>
      </c>
      <c r="H32" s="35">
        <f>(H10-G10)/G10</f>
        <v>2.1885521885521887E-2</v>
      </c>
      <c r="I32" s="35">
        <f>(I10-H10)/H10</f>
        <v>4.6677649643053265E-2</v>
      </c>
      <c r="J32" s="35">
        <f>(J10-I10)/I10</f>
        <v>1.1542497376705142E-2</v>
      </c>
      <c r="K32" s="35">
        <f>(K10-J10)/J10</f>
        <v>5.4979253112033194E-2</v>
      </c>
      <c r="L32" s="35">
        <f>(L10-K10)/K10</f>
        <v>4.6705998033431659E-2</v>
      </c>
      <c r="M32" s="35">
        <f>(M10-L10)/L10</f>
        <v>3.8515735086895257E-2</v>
      </c>
      <c r="N32" s="35">
        <f>(N10-M10)/M10</f>
        <v>-6.6485753052917235E-2</v>
      </c>
      <c r="O32" s="35">
        <f>(O10-N10)/N10</f>
        <v>-8.1395348837209308E-2</v>
      </c>
      <c r="P32" s="35">
        <f>(P10-O10)/O10</f>
        <v>-6.434599156118144E-2</v>
      </c>
      <c r="Q32" s="35">
        <f>(Q10-P10)/P10</f>
        <v>1.2401352874859075E-2</v>
      </c>
      <c r="R32" s="35">
        <f>(R10-Q10)/Q10</f>
        <v>-2.2271714922048998E-2</v>
      </c>
      <c r="S32" s="35">
        <f>(S10-R10)/R10</f>
        <v>-2.2779043280182231E-3</v>
      </c>
      <c r="T32" s="35">
        <f>(T10-S10)/S10</f>
        <v>5.5365296803652965E-2</v>
      </c>
      <c r="U32" s="35">
        <f>(U10-T10)/T10</f>
        <v>-5.4083288263926451E-4</v>
      </c>
      <c r="V32" s="35">
        <f>(V10-U10)/U10</f>
        <v>1.6774891774891776E-2</v>
      </c>
      <c r="W32" s="35">
        <f>(W10-V10)/V10</f>
        <v>2.8206492815327302E-2</v>
      </c>
      <c r="X32" s="35">
        <f>(X10-W10)/W10</f>
        <v>-7.246376811594203E-3</v>
      </c>
      <c r="Y32" s="35">
        <f>(Y10-X10)/X10</f>
        <v>-2.6068821689259644E-3</v>
      </c>
      <c r="Z32" s="35">
        <f>(Z10-Y10)/Y10</f>
        <v>-3.4500784108729747E-2</v>
      </c>
      <c r="AA32" s="35">
        <f>(AA10-Z10)/Z10</f>
        <v>7.0384407146724419E-3</v>
      </c>
      <c r="AB32" s="37">
        <f>(AB10-AA10)/AA10</f>
        <v>1.5053763440860216E-2</v>
      </c>
      <c r="AC32" s="38">
        <f t="shared" si="0"/>
        <v>0.16142573345494612</v>
      </c>
    </row>
    <row r="33" spans="1:29" ht="15" thickBot="1">
      <c r="A33" s="34" t="s">
        <v>70</v>
      </c>
      <c r="B33" s="35">
        <v>0</v>
      </c>
      <c r="C33" s="35">
        <f>(C11-B11)/B11</f>
        <v>5.808080808080808E-2</v>
      </c>
      <c r="D33" s="35">
        <f>(D11-C11)/C11</f>
        <v>-5.2505966587112173E-2</v>
      </c>
      <c r="E33" s="35">
        <f>(E11-D11)/D11</f>
        <v>-8.3123425692695208E-2</v>
      </c>
      <c r="F33" s="35">
        <f>(F11-E11)/E11</f>
        <v>-2.7472527472527472E-2</v>
      </c>
      <c r="G33" s="35">
        <f>(G11-F11)/F11</f>
        <v>0.29096045197740111</v>
      </c>
      <c r="H33" s="35">
        <f>(H11-G11)/G11</f>
        <v>0.27571115973741794</v>
      </c>
      <c r="I33" s="35">
        <f>(I11-H11)/H11</f>
        <v>-5.6603773584905662E-2</v>
      </c>
      <c r="J33" s="35">
        <f>(J11-I11)/I11</f>
        <v>4.1818181818181817E-2</v>
      </c>
      <c r="K33" s="35">
        <f>(K11-J11)/J11</f>
        <v>1.7452006980802792E-2</v>
      </c>
      <c r="L33" s="35">
        <f>(L11-K11)/K11</f>
        <v>2.4013722126929673E-2</v>
      </c>
      <c r="M33" s="35">
        <f>(M11-L11)/L11</f>
        <v>8.3752093802345065E-2</v>
      </c>
      <c r="N33" s="35">
        <f>(N11-M11)/M11</f>
        <v>-7.8825347758887165E-2</v>
      </c>
      <c r="O33" s="35">
        <f>(O11-N11)/N11</f>
        <v>-5.0335570469798654E-3</v>
      </c>
      <c r="P33" s="35">
        <f>(P11-O11)/O11</f>
        <v>-7.7571669477234401E-2</v>
      </c>
      <c r="Q33" s="35">
        <f>(Q11-P11)/P11</f>
        <v>-3.1078610603290677E-2</v>
      </c>
      <c r="R33" s="35">
        <f>(R11-Q11)/Q11</f>
        <v>-1.3207547169811321E-2</v>
      </c>
      <c r="S33" s="35">
        <f>(S11-R11)/R11</f>
        <v>-3.8240917782026767E-3</v>
      </c>
      <c r="T33" s="35">
        <f>(T11-S11)/S11</f>
        <v>-1.9193857965451054E-2</v>
      </c>
      <c r="U33" s="35">
        <f>(U11-T11)/T11</f>
        <v>4.5009784735812131E-2</v>
      </c>
      <c r="V33" s="35">
        <f>(V11-U11)/U11</f>
        <v>1.4981273408239701E-2</v>
      </c>
      <c r="W33" s="35">
        <f>(W11-V11)/V11</f>
        <v>2.5830258302583026E-2</v>
      </c>
      <c r="X33" s="35">
        <f>(X11-W11)/W11</f>
        <v>-1.2589928057553957E-2</v>
      </c>
      <c r="Y33" s="35">
        <f>(Y11-X11)/X11</f>
        <v>6.3752276867030971E-2</v>
      </c>
      <c r="Z33" s="35">
        <f>(Z11-Y11)/Y11</f>
        <v>3.0821917808219176E-2</v>
      </c>
      <c r="AA33" s="35">
        <f>(AA11-Z11)/Z11</f>
        <v>2.4916943521594685E-2</v>
      </c>
      <c r="AB33" s="37">
        <f>(AB11-AA11)/AA11</f>
        <v>-4.2139384116693678E-2</v>
      </c>
      <c r="AC33" s="38">
        <f t="shared" si="0"/>
        <v>8.9933435736652523E-2</v>
      </c>
    </row>
    <row r="34" spans="1:29" ht="15" thickBot="1">
      <c r="A34" s="34" t="s">
        <v>71</v>
      </c>
      <c r="B34" s="35">
        <v>0</v>
      </c>
      <c r="C34" s="35">
        <f>(C12-B12)/B12</f>
        <v>7.77027027027027E-2</v>
      </c>
      <c r="D34" s="35">
        <f>(D12-C12)/C12</f>
        <v>-4.7021943573667714E-2</v>
      </c>
      <c r="E34" s="35">
        <f>(E12-D12)/D12</f>
        <v>-0.10855263157894737</v>
      </c>
      <c r="F34" s="35">
        <f>(F12-E12)/E12</f>
        <v>0.12177121771217712</v>
      </c>
      <c r="G34" s="35">
        <f>(G12-F12)/F12</f>
        <v>0.39802631578947367</v>
      </c>
      <c r="H34" s="35">
        <f>(H12-G12)/G12</f>
        <v>6.1176470588235297E-2</v>
      </c>
      <c r="I34" s="35">
        <f>(I12-H12)/H12</f>
        <v>2.8824833702882482E-2</v>
      </c>
      <c r="J34" s="35">
        <f>(J12-I12)/I12</f>
        <v>1.0775862068965518E-2</v>
      </c>
      <c r="K34" s="35">
        <f>(K12-J12)/J12</f>
        <v>-4.2643923240938165E-3</v>
      </c>
      <c r="L34" s="35">
        <f>(L12-K12)/K12</f>
        <v>4.9250535331905779E-2</v>
      </c>
      <c r="M34" s="35">
        <f>(M12-L12)/L12</f>
        <v>4.2857142857142858E-2</v>
      </c>
      <c r="N34" s="35">
        <f>(N12-M12)/M12</f>
        <v>-5.2837573385518588E-2</v>
      </c>
      <c r="O34" s="35">
        <f>(O12-N12)/N12</f>
        <v>-2.4793388429752067E-2</v>
      </c>
      <c r="P34" s="35">
        <f>(P12-O12)/O12</f>
        <v>-4.6610169491525424E-2</v>
      </c>
      <c r="Q34" s="35">
        <f>(Q12-P12)/P12</f>
        <v>-7.3333333333333334E-2</v>
      </c>
      <c r="R34" s="35">
        <f>(R12-Q12)/Q12</f>
        <v>-2.6378896882494004E-2</v>
      </c>
      <c r="S34" s="35">
        <f>(S12-R12)/R12</f>
        <v>-2.4630541871921183E-3</v>
      </c>
      <c r="T34" s="35">
        <f>(T12-S12)/S12</f>
        <v>7.6543209876543214E-2</v>
      </c>
      <c r="U34" s="35">
        <f>(U12-T12)/T12</f>
        <v>7.3394495412844041E-2</v>
      </c>
      <c r="V34" s="35">
        <f>(V12-U12)/U12</f>
        <v>3.8461538461538464E-2</v>
      </c>
      <c r="W34" s="35">
        <f>(W12-V12)/V12</f>
        <v>-2.4691358024691357E-2</v>
      </c>
      <c r="X34" s="35">
        <f>(X12-W12)/W12</f>
        <v>-6.118143459915612E-2</v>
      </c>
      <c r="Y34" s="35">
        <f>(Y12-X12)/X12</f>
        <v>-8.988764044943821E-3</v>
      </c>
      <c r="Z34" s="35">
        <f>(Z12-Y12)/Y12</f>
        <v>0</v>
      </c>
      <c r="AA34" s="35">
        <f>(AA12-Z12)/Z12</f>
        <v>-1.8140589569160998E-2</v>
      </c>
      <c r="AB34" s="37">
        <f>(AB12-AA12)/AA12</f>
        <v>-1.1547344110854504E-2</v>
      </c>
      <c r="AC34" s="38">
        <f t="shared" si="0"/>
        <v>9.4469492605562075E-2</v>
      </c>
    </row>
    <row r="35" spans="1:29" ht="15" thickBot="1">
      <c r="A35" s="34" t="s">
        <v>72</v>
      </c>
      <c r="B35" s="35">
        <v>0</v>
      </c>
      <c r="C35" s="35">
        <f>(C13-B13)/B13</f>
        <v>6.2992125984251968E-2</v>
      </c>
      <c r="D35" s="35">
        <f>(D13-C13)/C13</f>
        <v>-6.4197530864197536E-2</v>
      </c>
      <c r="E35" s="35">
        <f>(E13-D13)/D13</f>
        <v>-0.10026385224274406</v>
      </c>
      <c r="F35" s="35">
        <f>(F13-E13)/E13</f>
        <v>0.26979472140762462</v>
      </c>
      <c r="G35" s="35">
        <f>(G13-F13)/F13</f>
        <v>0.20092378752886836</v>
      </c>
      <c r="H35" s="35">
        <f>(H13-G13)/G13</f>
        <v>2.8846153846153848E-2</v>
      </c>
      <c r="I35" s="35">
        <f>(I13-H13)/H13</f>
        <v>4.6728971962616821E-2</v>
      </c>
      <c r="J35" s="35">
        <f>(J13-I13)/I13</f>
        <v>-7.1428571428571426E-3</v>
      </c>
      <c r="K35" s="35">
        <f>(K13-J13)/J13</f>
        <v>1.0791366906474821E-2</v>
      </c>
      <c r="L35" s="35">
        <f>(L13-K13)/K13</f>
        <v>5.8718861209964411E-2</v>
      </c>
      <c r="M35" s="35">
        <f>(M13-L13)/L13</f>
        <v>1.1764705882352941E-2</v>
      </c>
      <c r="N35" s="35">
        <f>(N13-M13)/M13</f>
        <v>-0.11794019933554817</v>
      </c>
      <c r="O35" s="35">
        <f>(O13-N13)/N13</f>
        <v>-1.1299435028248588E-2</v>
      </c>
      <c r="P35" s="35">
        <f>(P13-O13)/O13</f>
        <v>-0.08</v>
      </c>
      <c r="Q35" s="35">
        <f>(Q13-P13)/P13</f>
        <v>0</v>
      </c>
      <c r="R35" s="35">
        <f>(R13-Q13)/Q13</f>
        <v>-4.140786749482402E-3</v>
      </c>
      <c r="S35" s="35">
        <f>(S13-R13)/R13</f>
        <v>2.0790020790020791E-3</v>
      </c>
      <c r="T35" s="35">
        <f>(T13-S13)/S13</f>
        <v>1.4522821576763486E-2</v>
      </c>
      <c r="U35" s="35">
        <f>(U13-T13)/T13</f>
        <v>1.8404907975460124E-2</v>
      </c>
      <c r="V35" s="35">
        <f>(V13-U13)/U13</f>
        <v>8.0321285140562249E-2</v>
      </c>
      <c r="W35" s="35">
        <f>(W13-V13)/V13</f>
        <v>2.9739776951672861E-2</v>
      </c>
      <c r="X35" s="35">
        <f>(X13-W13)/W13</f>
        <v>3.4296028880866428E-2</v>
      </c>
      <c r="Y35" s="35">
        <f>(Y13-X13)/X13</f>
        <v>0</v>
      </c>
      <c r="Z35" s="35">
        <f>(Z13-Y13)/Y13</f>
        <v>-5.06108202443281E-2</v>
      </c>
      <c r="AA35" s="35">
        <f>(AA13-Z13)/Z13</f>
        <v>1.6544117647058824E-2</v>
      </c>
      <c r="AB35" s="37">
        <f>(AB13-AA13)/AA13</f>
        <v>1.2658227848101266E-2</v>
      </c>
      <c r="AC35" s="38">
        <f t="shared" si="0"/>
        <v>8.0578801522688065E-2</v>
      </c>
    </row>
    <row r="36" spans="1:29" ht="15" thickBot="1">
      <c r="A36" s="34" t="s">
        <v>73</v>
      </c>
      <c r="B36" s="35">
        <v>0</v>
      </c>
      <c r="C36" s="35">
        <f>(C14-B14)/B14</f>
        <v>0.16822429906542055</v>
      </c>
      <c r="D36" s="35">
        <f>(D14-C14)/C14</f>
        <v>-0.16</v>
      </c>
      <c r="E36" s="35">
        <f>(E14-D14)/D14</f>
        <v>-0.13333333333333333</v>
      </c>
      <c r="F36" s="35">
        <f>(F14-E14)/E14</f>
        <v>0.4175824175824176</v>
      </c>
      <c r="G36" s="35">
        <f>(G14-F14)/F14</f>
        <v>-4.6511627906976744E-2</v>
      </c>
      <c r="H36" s="35">
        <f>(H14-G14)/G14</f>
        <v>9.7560975609756101E-2</v>
      </c>
      <c r="I36" s="35">
        <f>(I14-H14)/H14</f>
        <v>9.6296296296296297E-2</v>
      </c>
      <c r="J36" s="35">
        <f>(J14-I14)/I14</f>
        <v>0</v>
      </c>
      <c r="K36" s="35">
        <f>(K14-J14)/J14</f>
        <v>0</v>
      </c>
      <c r="L36" s="35">
        <f>(L14-K14)/K14</f>
        <v>4.0540540540540543E-2</v>
      </c>
      <c r="M36" s="35">
        <f>(M14-L14)/L14</f>
        <v>6.4935064935064929E-2</v>
      </c>
      <c r="N36" s="35">
        <f>(N14-M14)/M14</f>
        <v>-6.097560975609756E-2</v>
      </c>
      <c r="O36" s="35">
        <f>(O14-N14)/N14</f>
        <v>-5.844155844155844E-2</v>
      </c>
      <c r="P36" s="35">
        <f>(P14-O14)/O14</f>
        <v>1.3793103448275862E-2</v>
      </c>
      <c r="Q36" s="35">
        <f>(Q14-P14)/P14</f>
        <v>-1.3605442176870748E-2</v>
      </c>
      <c r="R36" s="35">
        <f>(R14-Q14)/Q14</f>
        <v>-6.2068965517241378E-2</v>
      </c>
      <c r="S36" s="35">
        <f>(S14-R14)/R14</f>
        <v>1.4705882352941176E-2</v>
      </c>
      <c r="T36" s="35">
        <f>(T14-S14)/S14</f>
        <v>3.6231884057971016E-2</v>
      </c>
      <c r="U36" s="35">
        <f>(U14-T14)/T14</f>
        <v>2.7972027972027972E-2</v>
      </c>
      <c r="V36" s="35">
        <f>(V14-U14)/U14</f>
        <v>-2.0408163265306121E-2</v>
      </c>
      <c r="W36" s="35">
        <f>(W14-V14)/V14</f>
        <v>6.9444444444444441E-3</v>
      </c>
      <c r="X36" s="35">
        <f>(X14-W14)/W14</f>
        <v>2.7586206896551724E-2</v>
      </c>
      <c r="Y36" s="35">
        <f>(Y14-X14)/X14</f>
        <v>-4.0268456375838924E-2</v>
      </c>
      <c r="Z36" s="35">
        <f>(Z14-Y14)/Y14</f>
        <v>-0.13286713286713286</v>
      </c>
      <c r="AA36" s="35">
        <f>(AA14-Z14)/Z14</f>
        <v>8.0645161290322578E-3</v>
      </c>
      <c r="AB36" s="37">
        <f>(AB14-AA14)/AA14</f>
        <v>0</v>
      </c>
      <c r="AC36" s="38">
        <f t="shared" si="0"/>
        <v>0.11024103956901415</v>
      </c>
    </row>
    <row r="37" spans="1:29" ht="15" thickBot="1">
      <c r="A37" s="34" t="s">
        <v>74</v>
      </c>
      <c r="B37" s="35">
        <v>0</v>
      </c>
      <c r="C37" s="35">
        <f>(C15-B15)/B15</f>
        <v>-6.6666666666666666E-2</v>
      </c>
      <c r="D37" s="35">
        <f>(D15-C15)/C15</f>
        <v>3.5714285714285712E-2</v>
      </c>
      <c r="E37" s="35">
        <f>(E15-D15)/D15</f>
        <v>-0.1206896551724138</v>
      </c>
      <c r="F37" s="35">
        <f>(F15-E15)/E15</f>
        <v>0.33333333333333331</v>
      </c>
      <c r="G37" s="35">
        <f>(G15-F15)/F15</f>
        <v>-8.8235294117647065E-2</v>
      </c>
      <c r="H37" s="35">
        <f>(H15-G15)/G15</f>
        <v>0.20967741935483872</v>
      </c>
      <c r="I37" s="35">
        <f>(I15-H15)/H15</f>
        <v>0</v>
      </c>
      <c r="J37" s="35">
        <f>(J15-I15)/I15</f>
        <v>-0.13333333333333333</v>
      </c>
      <c r="K37" s="35">
        <f>(K15-J15)/J15</f>
        <v>0.1076923076923077</v>
      </c>
      <c r="L37" s="35">
        <f>(L15-K15)/K15</f>
        <v>-9.7222222222222224E-2</v>
      </c>
      <c r="M37" s="35">
        <f>(M15-L15)/L15</f>
        <v>-7.6923076923076927E-2</v>
      </c>
      <c r="N37" s="35">
        <f>(N15-M15)/M15</f>
        <v>3.3333333333333333E-2</v>
      </c>
      <c r="O37" s="35">
        <f>(O15-N15)/N15</f>
        <v>-3.2258064516129031E-2</v>
      </c>
      <c r="P37" s="35">
        <f>(P15-O15)/O15</f>
        <v>-6.6666666666666666E-2</v>
      </c>
      <c r="Q37" s="35">
        <f>(Q15-P15)/P15</f>
        <v>-1.7857142857142856E-2</v>
      </c>
      <c r="R37" s="35">
        <f>(R15-Q15)/Q15</f>
        <v>-7.2727272727272724E-2</v>
      </c>
      <c r="S37" s="35">
        <f>(S15-R15)/R15</f>
        <v>-5.8823529411764705E-2</v>
      </c>
      <c r="T37" s="35">
        <f>(T15-S15)/S15</f>
        <v>0.16666666666666666</v>
      </c>
      <c r="U37" s="35">
        <f>(U15-T15)/T15</f>
        <v>1.7857142857142856E-2</v>
      </c>
      <c r="V37" s="35">
        <f>(V15-U15)/U15</f>
        <v>5.2631578947368418E-2</v>
      </c>
      <c r="W37" s="35">
        <f>(W15-V15)/V15</f>
        <v>-6.6666666666666666E-2</v>
      </c>
      <c r="X37" s="35">
        <f>(X15-W15)/W15</f>
        <v>5.3571428571428568E-2</v>
      </c>
      <c r="Y37" s="35">
        <f>(Y15-X15)/X15</f>
        <v>-1.6949152542372881E-2</v>
      </c>
      <c r="Z37" s="35">
        <f>(Z15-Y15)/Y15</f>
        <v>-3.4482758620689655E-2</v>
      </c>
      <c r="AA37" s="35">
        <f>(AA15-Z15)/Z15</f>
        <v>0.10714285714285714</v>
      </c>
      <c r="AB37" s="37">
        <f>(AB15-AA15)/AA15</f>
        <v>-6.4516129032258063E-2</v>
      </c>
      <c r="AC37" s="38">
        <f t="shared" si="0"/>
        <v>0.1092598493315478</v>
      </c>
    </row>
    <row r="38" spans="1:29" ht="15" thickBot="1">
      <c r="A38" s="34" t="s">
        <v>75</v>
      </c>
      <c r="B38" s="35">
        <v>0</v>
      </c>
      <c r="C38" s="35">
        <f>(C16-B16)/B16</f>
        <v>5.2631578947368418E-2</v>
      </c>
      <c r="D38" s="35">
        <f>(D16-C16)/C16</f>
        <v>0.05</v>
      </c>
      <c r="E38" s="35">
        <f>(E16-D16)/D16</f>
        <v>-0.16666666666666666</v>
      </c>
      <c r="F38" s="35">
        <f>(F16-E16)/E16</f>
        <v>0.6</v>
      </c>
      <c r="G38" s="35">
        <f>(G16-F16)/F16</f>
        <v>1.7857142857142856E-2</v>
      </c>
      <c r="H38" s="35">
        <f>(H16-G16)/G16</f>
        <v>0.12280701754385964</v>
      </c>
      <c r="I38" s="35">
        <f>(I16-H16)/H16</f>
        <v>-6.25E-2</v>
      </c>
      <c r="J38" s="35">
        <f>(J16-I16)/I16</f>
        <v>-6.6666666666666666E-2</v>
      </c>
      <c r="K38" s="35">
        <f>(K16-J16)/J16</f>
        <v>-3.5714285714285712E-2</v>
      </c>
      <c r="L38" s="35">
        <f>(L16-K16)/K16</f>
        <v>0.1111111111111111</v>
      </c>
      <c r="M38" s="35">
        <f>(M16-L16)/L16</f>
        <v>-1.6666666666666666E-2</v>
      </c>
      <c r="N38" s="35">
        <f>(N16-M16)/M16</f>
        <v>5.0847457627118647E-2</v>
      </c>
      <c r="O38" s="35">
        <f>(O16-N16)/N16</f>
        <v>0</v>
      </c>
      <c r="P38" s="35">
        <f>(P16-O16)/O16</f>
        <v>-3.2258064516129031E-2</v>
      </c>
      <c r="Q38" s="35">
        <f>(Q16-P16)/P16</f>
        <v>-1.6666666666666666E-2</v>
      </c>
      <c r="R38" s="35">
        <f>(R16-Q16)/Q16</f>
        <v>1.6949152542372881E-2</v>
      </c>
      <c r="S38" s="35">
        <f>(S16-R16)/R16</f>
        <v>0</v>
      </c>
      <c r="T38" s="35">
        <f>(T16-S16)/S16</f>
        <v>-3.3333333333333333E-2</v>
      </c>
      <c r="U38" s="35">
        <f>(U16-T16)/T16</f>
        <v>-1.7241379310344827E-2</v>
      </c>
      <c r="V38" s="35">
        <f>(V16-U16)/U16</f>
        <v>-1.7543859649122806E-2</v>
      </c>
      <c r="W38" s="35">
        <f>(W16-V16)/V16</f>
        <v>3.5714285714285712E-2</v>
      </c>
      <c r="X38" s="35">
        <f>(X16-W16)/W16</f>
        <v>-6.8965517241379309E-2</v>
      </c>
      <c r="Y38" s="35">
        <f>(Y16-X16)/X16</f>
        <v>0</v>
      </c>
      <c r="Z38" s="35">
        <f>(Z16-Y16)/Y16</f>
        <v>3.7037037037037035E-2</v>
      </c>
      <c r="AA38" s="35">
        <f>(AA16-Z16)/Z16</f>
        <v>-7.1428571428571425E-2</v>
      </c>
      <c r="AB38" s="37">
        <f>(AB16-AA16)/AA16</f>
        <v>0</v>
      </c>
      <c r="AC38" s="38">
        <f t="shared" si="0"/>
        <v>0.1326502761599275</v>
      </c>
    </row>
  </sheetData>
  <mergeCells count="1">
    <mergeCell ref="B24:AB24"/>
  </mergeCells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R17"/>
  <sheetViews>
    <sheetView tabSelected="1" zoomScale="73" workbookViewId="0">
      <selection activeCell="A34" sqref="A34"/>
    </sheetView>
  </sheetViews>
  <sheetFormatPr defaultRowHeight="14.4"/>
  <cols>
    <col min="1" max="1" width="35.33203125" customWidth="1"/>
  </cols>
  <sheetData>
    <row r="1" spans="1:18" ht="19.2">
      <c r="A1" s="7" t="s">
        <v>77</v>
      </c>
    </row>
    <row r="2" spans="1:18" ht="19.2">
      <c r="A2" s="7"/>
    </row>
    <row r="3" spans="1:18" ht="28.2">
      <c r="A3" s="25" t="s">
        <v>78</v>
      </c>
      <c r="B3" s="29" t="s">
        <v>46</v>
      </c>
      <c r="C3" s="30" t="s">
        <v>47</v>
      </c>
      <c r="D3" s="26" t="s">
        <v>79</v>
      </c>
      <c r="E3" s="26" t="s">
        <v>80</v>
      </c>
      <c r="F3" s="26" t="s">
        <v>81</v>
      </c>
      <c r="G3" s="26" t="s">
        <v>82</v>
      </c>
      <c r="H3" s="26" t="s">
        <v>83</v>
      </c>
      <c r="I3" s="26" t="s">
        <v>84</v>
      </c>
      <c r="J3" s="26" t="s">
        <v>85</v>
      </c>
      <c r="K3" s="26" t="s">
        <v>86</v>
      </c>
      <c r="L3" s="26" t="s">
        <v>87</v>
      </c>
      <c r="M3" s="26" t="s">
        <v>88</v>
      </c>
      <c r="N3" s="26" t="s">
        <v>89</v>
      </c>
      <c r="O3" s="26" t="s">
        <v>90</v>
      </c>
      <c r="P3" s="26" t="s">
        <v>91</v>
      </c>
      <c r="Q3" s="26" t="s">
        <v>92</v>
      </c>
      <c r="R3" s="26" t="s">
        <v>62</v>
      </c>
    </row>
    <row r="4" spans="1:18">
      <c r="A4" s="27" t="s">
        <v>93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</row>
    <row r="5" spans="1:18">
      <c r="A5" s="24" t="s">
        <v>94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</row>
    <row r="6" spans="1:18">
      <c r="A6" s="24" t="s">
        <v>95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</row>
    <row r="7" spans="1:18">
      <c r="A7" s="24" t="s">
        <v>96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</row>
    <row r="8" spans="1:18">
      <c r="A8" s="24" t="s">
        <v>97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</row>
    <row r="9" spans="1:18">
      <c r="A9" s="24" t="s">
        <v>98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</row>
    <row r="10" spans="1:18">
      <c r="A10" s="24" t="s">
        <v>99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</row>
    <row r="11" spans="1:18">
      <c r="A11" s="24" t="s">
        <v>100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</row>
    <row r="12" spans="1:18">
      <c r="A12" s="24" t="s">
        <v>101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</row>
    <row r="13" spans="1:18">
      <c r="A13" s="24" t="s">
        <v>102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</row>
    <row r="14" spans="1:18">
      <c r="A14" s="24" t="s">
        <v>103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</row>
    <row r="15" spans="1:18">
      <c r="A15" s="24" t="s">
        <v>104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</row>
    <row r="16" spans="1:18">
      <c r="A16" s="28" t="s">
        <v>76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3">
        <v>364514</v>
      </c>
    </row>
    <row r="17" spans="1:18">
      <c r="A17" s="24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</sheetData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9BCEDCB0A13E24B9F084ADC54387FAB" ma:contentTypeVersion="3" ma:contentTypeDescription="Create a new document." ma:contentTypeScope="" ma:versionID="70e7583d5cbf7f9cc6cb2c1c5de33bd5">
  <xsd:schema xmlns:xsd="http://www.w3.org/2001/XMLSchema" xmlns:xs="http://www.w3.org/2001/XMLSchema" xmlns:p="http://schemas.microsoft.com/office/2006/metadata/properties" xmlns:ns2="89e56c63-a953-42dc-a043-e059f94b1806" targetNamespace="http://schemas.microsoft.com/office/2006/metadata/properties" ma:root="true" ma:fieldsID="f9f065b326b2de9d65d98178f034dc9d" ns2:_="">
    <xsd:import namespace="89e56c63-a953-42dc-a043-e059f94b180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e56c63-a953-42dc-a043-e059f94b18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CFDA11B-9985-4C5D-9982-CC5BC344E1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e56c63-a953-42dc-a043-e059f94b18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C997A326-E008-416A-AF2D-E617052E022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Public Sector Value</vt:lpstr>
      <vt:lpstr>Private Sector Value</vt:lpstr>
      <vt:lpstr>Firm Size</vt:lpstr>
      <vt:lpstr>No. of Firms - Turnover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2025-12-11T22:55:16Z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0x01010089BCEDCB0A13E24B9F084ADC54387FAB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  <property fmtid="{D5CDD505-2E9C-101B-9397-08002B2CF9AE}" pid="13" name="MSIP_Label_2dbba3f9-212b-4b23-8b50-6dd6ff6ac453_Enabled">
    <vt:lpwstr>true</vt:lpwstr>
  </property>
  <property fmtid="{D5CDD505-2E9C-101B-9397-08002B2CF9AE}" pid="14" name="MSIP_Label_2dbba3f9-212b-4b23-8b50-6dd6ff6ac453_SetDate">
    <vt:lpwstr>2025-11-10T13:26:51Z</vt:lpwstr>
  </property>
  <property fmtid="{D5CDD505-2E9C-101B-9397-08002B2CF9AE}" pid="15" name="MSIP_Label_2dbba3f9-212b-4b23-8b50-6dd6ff6ac453_Method">
    <vt:lpwstr>Standard</vt:lpwstr>
  </property>
  <property fmtid="{D5CDD505-2E9C-101B-9397-08002B2CF9AE}" pid="16" name="MSIP_Label_2dbba3f9-212b-4b23-8b50-6dd6ff6ac453_Name">
    <vt:lpwstr>2dbba3f9-212b-4b23-8b50-6dd6ff6ac453</vt:lpwstr>
  </property>
  <property fmtid="{D5CDD505-2E9C-101B-9397-08002B2CF9AE}" pid="17" name="MSIP_Label_2dbba3f9-212b-4b23-8b50-6dd6ff6ac453_SiteId">
    <vt:lpwstr>19f05e49-84c6-45a1-81fe-2de9179458e4</vt:lpwstr>
  </property>
  <property fmtid="{D5CDD505-2E9C-101B-9397-08002B2CF9AE}" pid="18" name="MSIP_Label_2dbba3f9-212b-4b23-8b50-6dd6ff6ac453_ActionId">
    <vt:lpwstr>61456276-222e-44fc-a7e3-15ad84fd9a17</vt:lpwstr>
  </property>
  <property fmtid="{D5CDD505-2E9C-101B-9397-08002B2CF9AE}" pid="19" name="MSIP_Label_2dbba3f9-212b-4b23-8b50-6dd6ff6ac453_ContentBits">
    <vt:lpwstr>0</vt:lpwstr>
  </property>
  <property fmtid="{D5CDD505-2E9C-101B-9397-08002B2CF9AE}" pid="20" name="MSIP_Label_2dbba3f9-212b-4b23-8b50-6dd6ff6ac453_Tag">
    <vt:lpwstr>10, 3, 0, 1</vt:lpwstr>
  </property>
</Properties>
</file>