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phi\Documents\UNIVERSITY\Masters\Hybrid Powertrain and Control\"/>
    </mc:Choice>
  </mc:AlternateContent>
  <xr:revisionPtr revIDLastSave="0" documentId="13_ncr:1_{1DAD1181-FD18-4BB0-832C-067EAD56F178}" xr6:coauthVersionLast="47" xr6:coauthVersionMax="47" xr10:uidLastSave="{00000000-0000-0000-0000-000000000000}"/>
  <bookViews>
    <workbookView xWindow="7560" yWindow="2745" windowWidth="21600" windowHeight="11385" xr2:uid="{3278D1B2-BFA6-4510-871D-783A70E5765F}"/>
  </bookViews>
  <sheets>
    <sheet name="SH Choices" sheetId="2" r:id="rId1"/>
    <sheet name="SH Duty Cycle" sheetId="4" r:id="rId2"/>
    <sheet name="Series Hybrid Fuel Comparison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3" i="1" l="1"/>
  <c r="L12" i="1"/>
  <c r="L8" i="1"/>
  <c r="L7" i="1"/>
  <c r="L5" i="1"/>
  <c r="L2" i="1"/>
  <c r="H10" i="1" l="1"/>
  <c r="I158" i="4" l="1"/>
  <c r="Y155" i="4"/>
  <c r="S155" i="4"/>
  <c r="P155" i="4"/>
  <c r="Q155" i="4" s="1"/>
  <c r="L155" i="4"/>
  <c r="G155" i="4"/>
  <c r="E155" i="4"/>
  <c r="Y154" i="4"/>
  <c r="S154" i="4"/>
  <c r="P154" i="4"/>
  <c r="Q154" i="4" s="1"/>
  <c r="L154" i="4"/>
  <c r="G154" i="4"/>
  <c r="E154" i="4"/>
  <c r="Y153" i="4"/>
  <c r="S153" i="4"/>
  <c r="Q153" i="4"/>
  <c r="R153" i="4" s="1"/>
  <c r="P153" i="4"/>
  <c r="L153" i="4"/>
  <c r="G153" i="4"/>
  <c r="E153" i="4"/>
  <c r="Y152" i="4"/>
  <c r="S152" i="4"/>
  <c r="P152" i="4"/>
  <c r="Q152" i="4" s="1"/>
  <c r="L152" i="4"/>
  <c r="G152" i="4"/>
  <c r="E152" i="4"/>
  <c r="Y151" i="4"/>
  <c r="S151" i="4"/>
  <c r="P151" i="4"/>
  <c r="Q151" i="4" s="1"/>
  <c r="T151" i="4" s="1"/>
  <c r="L151" i="4"/>
  <c r="G151" i="4"/>
  <c r="E151" i="4"/>
  <c r="Y150" i="4"/>
  <c r="S150" i="4"/>
  <c r="P150" i="4"/>
  <c r="Q150" i="4" s="1"/>
  <c r="L150" i="4"/>
  <c r="G150" i="4"/>
  <c r="E150" i="4"/>
  <c r="Y149" i="4"/>
  <c r="S149" i="4"/>
  <c r="P149" i="4"/>
  <c r="Q149" i="4" s="1"/>
  <c r="T149" i="4" s="1"/>
  <c r="L149" i="4"/>
  <c r="G149" i="4"/>
  <c r="E149" i="4"/>
  <c r="Y148" i="4"/>
  <c r="S148" i="4"/>
  <c r="P148" i="4"/>
  <c r="Q148" i="4" s="1"/>
  <c r="L148" i="4"/>
  <c r="G148" i="4"/>
  <c r="E148" i="4"/>
  <c r="Y147" i="4"/>
  <c r="S147" i="4"/>
  <c r="P147" i="4"/>
  <c r="Q147" i="4" s="1"/>
  <c r="L147" i="4"/>
  <c r="G147" i="4"/>
  <c r="E147" i="4"/>
  <c r="Y146" i="4"/>
  <c r="S146" i="4"/>
  <c r="P146" i="4"/>
  <c r="Q146" i="4" s="1"/>
  <c r="L146" i="4"/>
  <c r="G146" i="4"/>
  <c r="E146" i="4"/>
  <c r="Y145" i="4"/>
  <c r="S145" i="4"/>
  <c r="P145" i="4"/>
  <c r="Q145" i="4" s="1"/>
  <c r="L145" i="4"/>
  <c r="G145" i="4"/>
  <c r="E145" i="4"/>
  <c r="Y144" i="4"/>
  <c r="S144" i="4"/>
  <c r="P144" i="4"/>
  <c r="Q144" i="4" s="1"/>
  <c r="L144" i="4"/>
  <c r="G144" i="4"/>
  <c r="E144" i="4"/>
  <c r="Y143" i="4"/>
  <c r="S143" i="4"/>
  <c r="P143" i="4"/>
  <c r="Q143" i="4" s="1"/>
  <c r="L143" i="4"/>
  <c r="G143" i="4"/>
  <c r="E143" i="4"/>
  <c r="Y142" i="4"/>
  <c r="S142" i="4"/>
  <c r="P142" i="4"/>
  <c r="Q142" i="4" s="1"/>
  <c r="L142" i="4"/>
  <c r="G142" i="4"/>
  <c r="E142" i="4"/>
  <c r="Y141" i="4"/>
  <c r="S141" i="4"/>
  <c r="P141" i="4"/>
  <c r="Q141" i="4" s="1"/>
  <c r="T141" i="4" s="1"/>
  <c r="L141" i="4"/>
  <c r="G141" i="4"/>
  <c r="E141" i="4"/>
  <c r="Y140" i="4"/>
  <c r="S140" i="4"/>
  <c r="P140" i="4"/>
  <c r="Q140" i="4" s="1"/>
  <c r="L140" i="4"/>
  <c r="G140" i="4"/>
  <c r="E140" i="4"/>
  <c r="Y139" i="4"/>
  <c r="S139" i="4"/>
  <c r="P139" i="4"/>
  <c r="Q139" i="4" s="1"/>
  <c r="L139" i="4"/>
  <c r="G139" i="4"/>
  <c r="E139" i="4"/>
  <c r="Y138" i="4"/>
  <c r="S138" i="4"/>
  <c r="P138" i="4"/>
  <c r="Q138" i="4" s="1"/>
  <c r="L138" i="4"/>
  <c r="G138" i="4"/>
  <c r="E138" i="4"/>
  <c r="Y137" i="4"/>
  <c r="S137" i="4"/>
  <c r="P137" i="4"/>
  <c r="Q137" i="4" s="1"/>
  <c r="L137" i="4"/>
  <c r="G137" i="4"/>
  <c r="E137" i="4"/>
  <c r="Y136" i="4"/>
  <c r="S136" i="4"/>
  <c r="P136" i="4"/>
  <c r="Q136" i="4" s="1"/>
  <c r="T136" i="4" s="1"/>
  <c r="L136" i="4"/>
  <c r="G136" i="4"/>
  <c r="E136" i="4"/>
  <c r="Y135" i="4"/>
  <c r="S135" i="4"/>
  <c r="P135" i="4"/>
  <c r="Q135" i="4" s="1"/>
  <c r="L135" i="4"/>
  <c r="G135" i="4"/>
  <c r="E135" i="4"/>
  <c r="Y134" i="4"/>
  <c r="S134" i="4"/>
  <c r="P134" i="4"/>
  <c r="Q134" i="4" s="1"/>
  <c r="T134" i="4" s="1"/>
  <c r="L134" i="4"/>
  <c r="G134" i="4"/>
  <c r="E134" i="4"/>
  <c r="Y133" i="4"/>
  <c r="S133" i="4"/>
  <c r="P133" i="4"/>
  <c r="Q133" i="4" s="1"/>
  <c r="L133" i="4"/>
  <c r="G133" i="4"/>
  <c r="E133" i="4"/>
  <c r="Y132" i="4"/>
  <c r="S132" i="4"/>
  <c r="P132" i="4"/>
  <c r="Q132" i="4" s="1"/>
  <c r="T132" i="4" s="1"/>
  <c r="L132" i="4"/>
  <c r="G132" i="4"/>
  <c r="E132" i="4"/>
  <c r="Y131" i="4"/>
  <c r="S131" i="4"/>
  <c r="Q131" i="4"/>
  <c r="T131" i="4" s="1"/>
  <c r="P131" i="4"/>
  <c r="L131" i="4"/>
  <c r="G131" i="4"/>
  <c r="E131" i="4"/>
  <c r="Y130" i="4"/>
  <c r="S130" i="4"/>
  <c r="P130" i="4"/>
  <c r="Q130" i="4" s="1"/>
  <c r="T130" i="4" s="1"/>
  <c r="L130" i="4"/>
  <c r="G130" i="4"/>
  <c r="E130" i="4"/>
  <c r="Y129" i="4"/>
  <c r="S129" i="4"/>
  <c r="P129" i="4"/>
  <c r="Q129" i="4" s="1"/>
  <c r="L129" i="4"/>
  <c r="G129" i="4"/>
  <c r="E129" i="4"/>
  <c r="Y128" i="4"/>
  <c r="S128" i="4"/>
  <c r="P128" i="4"/>
  <c r="Q128" i="4" s="1"/>
  <c r="L128" i="4"/>
  <c r="G128" i="4"/>
  <c r="E128" i="4"/>
  <c r="Y127" i="4"/>
  <c r="S127" i="4"/>
  <c r="P127" i="4"/>
  <c r="Q127" i="4" s="1"/>
  <c r="T127" i="4" s="1"/>
  <c r="L127" i="4"/>
  <c r="G127" i="4"/>
  <c r="E127" i="4"/>
  <c r="Y126" i="4"/>
  <c r="S126" i="4"/>
  <c r="Q126" i="4"/>
  <c r="P126" i="4"/>
  <c r="L126" i="4"/>
  <c r="G126" i="4"/>
  <c r="E126" i="4"/>
  <c r="Y125" i="4"/>
  <c r="S125" i="4"/>
  <c r="P125" i="4"/>
  <c r="Q125" i="4" s="1"/>
  <c r="L125" i="4"/>
  <c r="G125" i="4"/>
  <c r="E125" i="4"/>
  <c r="Y124" i="4"/>
  <c r="S124" i="4"/>
  <c r="Q124" i="4"/>
  <c r="P124" i="4"/>
  <c r="L124" i="4"/>
  <c r="G124" i="4"/>
  <c r="E124" i="4"/>
  <c r="Y123" i="4"/>
  <c r="S123" i="4"/>
  <c r="P123" i="4"/>
  <c r="Q123" i="4" s="1"/>
  <c r="L123" i="4"/>
  <c r="G123" i="4"/>
  <c r="E123" i="4"/>
  <c r="Y122" i="4"/>
  <c r="S122" i="4"/>
  <c r="P122" i="4"/>
  <c r="Q122" i="4" s="1"/>
  <c r="L122" i="4"/>
  <c r="G122" i="4"/>
  <c r="E122" i="4"/>
  <c r="Y121" i="4"/>
  <c r="S121" i="4"/>
  <c r="P121" i="4"/>
  <c r="Q121" i="4" s="1"/>
  <c r="L121" i="4"/>
  <c r="G121" i="4"/>
  <c r="E121" i="4"/>
  <c r="Y120" i="4"/>
  <c r="S120" i="4"/>
  <c r="P120" i="4"/>
  <c r="Q120" i="4" s="1"/>
  <c r="L120" i="4"/>
  <c r="G120" i="4"/>
  <c r="E120" i="4"/>
  <c r="Y119" i="4"/>
  <c r="S119" i="4"/>
  <c r="P119" i="4"/>
  <c r="Q119" i="4" s="1"/>
  <c r="L119" i="4"/>
  <c r="G119" i="4"/>
  <c r="E119" i="4"/>
  <c r="Y118" i="4"/>
  <c r="S118" i="4"/>
  <c r="P118" i="4"/>
  <c r="Q118" i="4" s="1"/>
  <c r="L118" i="4"/>
  <c r="G118" i="4"/>
  <c r="E118" i="4"/>
  <c r="Y117" i="4"/>
  <c r="S117" i="4"/>
  <c r="P117" i="4"/>
  <c r="Q117" i="4" s="1"/>
  <c r="L117" i="4"/>
  <c r="G117" i="4"/>
  <c r="E117" i="4"/>
  <c r="Y116" i="4"/>
  <c r="S116" i="4"/>
  <c r="P116" i="4"/>
  <c r="Q116" i="4" s="1"/>
  <c r="L116" i="4"/>
  <c r="G116" i="4"/>
  <c r="E116" i="4"/>
  <c r="Y115" i="4"/>
  <c r="S115" i="4"/>
  <c r="P115" i="4"/>
  <c r="Q115" i="4" s="1"/>
  <c r="L115" i="4"/>
  <c r="G115" i="4"/>
  <c r="E115" i="4"/>
  <c r="Y114" i="4"/>
  <c r="S114" i="4"/>
  <c r="P114" i="4"/>
  <c r="Q114" i="4" s="1"/>
  <c r="L114" i="4"/>
  <c r="G114" i="4"/>
  <c r="E114" i="4"/>
  <c r="Y113" i="4"/>
  <c r="S113" i="4"/>
  <c r="P113" i="4"/>
  <c r="Q113" i="4" s="1"/>
  <c r="L113" i="4"/>
  <c r="G113" i="4"/>
  <c r="E113" i="4"/>
  <c r="Y112" i="4"/>
  <c r="S112" i="4"/>
  <c r="P112" i="4"/>
  <c r="Q112" i="4" s="1"/>
  <c r="L112" i="4"/>
  <c r="G112" i="4"/>
  <c r="E112" i="4"/>
  <c r="Y111" i="4"/>
  <c r="S111" i="4"/>
  <c r="P111" i="4"/>
  <c r="Q111" i="4" s="1"/>
  <c r="L111" i="4"/>
  <c r="G111" i="4"/>
  <c r="E111" i="4"/>
  <c r="Y110" i="4"/>
  <c r="S110" i="4"/>
  <c r="P110" i="4"/>
  <c r="Q110" i="4" s="1"/>
  <c r="L110" i="4"/>
  <c r="G110" i="4"/>
  <c r="E110" i="4"/>
  <c r="Y109" i="4"/>
  <c r="S109" i="4"/>
  <c r="P109" i="4"/>
  <c r="Q109" i="4" s="1"/>
  <c r="L109" i="4"/>
  <c r="G109" i="4"/>
  <c r="E109" i="4"/>
  <c r="Y108" i="4"/>
  <c r="S108" i="4"/>
  <c r="P108" i="4"/>
  <c r="Q108" i="4" s="1"/>
  <c r="L108" i="4"/>
  <c r="G108" i="4"/>
  <c r="E108" i="4"/>
  <c r="Y107" i="4"/>
  <c r="S107" i="4"/>
  <c r="P107" i="4"/>
  <c r="Q107" i="4" s="1"/>
  <c r="T107" i="4" s="1"/>
  <c r="L107" i="4"/>
  <c r="G107" i="4"/>
  <c r="E107" i="4"/>
  <c r="Y106" i="4"/>
  <c r="S106" i="4"/>
  <c r="P106" i="4"/>
  <c r="Q106" i="4" s="1"/>
  <c r="L106" i="4"/>
  <c r="G106" i="4"/>
  <c r="E106" i="4"/>
  <c r="Y105" i="4"/>
  <c r="S105" i="4"/>
  <c r="P105" i="4"/>
  <c r="Q105" i="4" s="1"/>
  <c r="L105" i="4"/>
  <c r="G105" i="4"/>
  <c r="E105" i="4"/>
  <c r="Y104" i="4"/>
  <c r="S104" i="4"/>
  <c r="P104" i="4"/>
  <c r="Q104" i="4" s="1"/>
  <c r="L104" i="4"/>
  <c r="G104" i="4"/>
  <c r="E104" i="4"/>
  <c r="Y103" i="4"/>
  <c r="S103" i="4"/>
  <c r="P103" i="4"/>
  <c r="Q103" i="4" s="1"/>
  <c r="L103" i="4"/>
  <c r="G103" i="4"/>
  <c r="E103" i="4"/>
  <c r="Y102" i="4"/>
  <c r="S102" i="4"/>
  <c r="P102" i="4"/>
  <c r="Q102" i="4" s="1"/>
  <c r="L102" i="4"/>
  <c r="G102" i="4"/>
  <c r="E102" i="4"/>
  <c r="Y101" i="4"/>
  <c r="S101" i="4"/>
  <c r="P101" i="4"/>
  <c r="Q101" i="4" s="1"/>
  <c r="L101" i="4"/>
  <c r="G101" i="4"/>
  <c r="E101" i="4"/>
  <c r="Y100" i="4"/>
  <c r="S100" i="4"/>
  <c r="P100" i="4"/>
  <c r="Q100" i="4" s="1"/>
  <c r="L100" i="4"/>
  <c r="G100" i="4"/>
  <c r="E100" i="4"/>
  <c r="Y99" i="4"/>
  <c r="S99" i="4"/>
  <c r="P99" i="4"/>
  <c r="Q99" i="4" s="1"/>
  <c r="L99" i="4"/>
  <c r="G99" i="4"/>
  <c r="E99" i="4"/>
  <c r="Y98" i="4"/>
  <c r="S98" i="4"/>
  <c r="P98" i="4"/>
  <c r="Q98" i="4" s="1"/>
  <c r="L98" i="4"/>
  <c r="G98" i="4"/>
  <c r="E98" i="4"/>
  <c r="Y97" i="4"/>
  <c r="S97" i="4"/>
  <c r="P97" i="4"/>
  <c r="Q97" i="4" s="1"/>
  <c r="L97" i="4"/>
  <c r="G97" i="4"/>
  <c r="E97" i="4"/>
  <c r="Y96" i="4"/>
  <c r="S96" i="4"/>
  <c r="P96" i="4"/>
  <c r="Q96" i="4" s="1"/>
  <c r="L96" i="4"/>
  <c r="G96" i="4"/>
  <c r="E96" i="4"/>
  <c r="Y95" i="4"/>
  <c r="S95" i="4"/>
  <c r="P95" i="4"/>
  <c r="Q95" i="4" s="1"/>
  <c r="T95" i="4" s="1"/>
  <c r="L95" i="4"/>
  <c r="G95" i="4"/>
  <c r="E95" i="4"/>
  <c r="Y94" i="4"/>
  <c r="S94" i="4"/>
  <c r="P94" i="4"/>
  <c r="Q94" i="4" s="1"/>
  <c r="T94" i="4" s="1"/>
  <c r="L94" i="4"/>
  <c r="G94" i="4"/>
  <c r="E94" i="4"/>
  <c r="Y93" i="4"/>
  <c r="S93" i="4"/>
  <c r="P93" i="4"/>
  <c r="Q93" i="4" s="1"/>
  <c r="L93" i="4"/>
  <c r="G93" i="4"/>
  <c r="E93" i="4"/>
  <c r="Y92" i="4"/>
  <c r="S92" i="4"/>
  <c r="P92" i="4"/>
  <c r="Q92" i="4" s="1"/>
  <c r="T92" i="4" s="1"/>
  <c r="L92" i="4"/>
  <c r="G92" i="4"/>
  <c r="E92" i="4"/>
  <c r="Y91" i="4"/>
  <c r="S91" i="4"/>
  <c r="P91" i="4"/>
  <c r="Q91" i="4" s="1"/>
  <c r="L91" i="4"/>
  <c r="G91" i="4"/>
  <c r="E91" i="4"/>
  <c r="Y90" i="4"/>
  <c r="S90" i="4"/>
  <c r="P90" i="4"/>
  <c r="Q90" i="4" s="1"/>
  <c r="T90" i="4" s="1"/>
  <c r="L90" i="4"/>
  <c r="G90" i="4"/>
  <c r="E90" i="4"/>
  <c r="Y89" i="4"/>
  <c r="S89" i="4"/>
  <c r="P89" i="4"/>
  <c r="Q89" i="4" s="1"/>
  <c r="L89" i="4"/>
  <c r="G89" i="4"/>
  <c r="E89" i="4"/>
  <c r="Y88" i="4"/>
  <c r="S88" i="4"/>
  <c r="P88" i="4"/>
  <c r="Q88" i="4" s="1"/>
  <c r="T88" i="4" s="1"/>
  <c r="L88" i="4"/>
  <c r="G88" i="4"/>
  <c r="E88" i="4"/>
  <c r="Y87" i="4"/>
  <c r="S87" i="4"/>
  <c r="P87" i="4"/>
  <c r="Q87" i="4" s="1"/>
  <c r="L87" i="4"/>
  <c r="G87" i="4"/>
  <c r="E87" i="4"/>
  <c r="Y86" i="4"/>
  <c r="S86" i="4"/>
  <c r="P86" i="4"/>
  <c r="Q86" i="4" s="1"/>
  <c r="L86" i="4"/>
  <c r="G86" i="4"/>
  <c r="E86" i="4"/>
  <c r="Y85" i="4"/>
  <c r="S85" i="4"/>
  <c r="P85" i="4"/>
  <c r="Q85" i="4" s="1"/>
  <c r="L85" i="4"/>
  <c r="G85" i="4"/>
  <c r="E85" i="4"/>
  <c r="Y84" i="4"/>
  <c r="S84" i="4"/>
  <c r="P84" i="4"/>
  <c r="Q84" i="4" s="1"/>
  <c r="L84" i="4"/>
  <c r="G84" i="4"/>
  <c r="E84" i="4"/>
  <c r="Y83" i="4"/>
  <c r="S83" i="4"/>
  <c r="P83" i="4"/>
  <c r="Q83" i="4" s="1"/>
  <c r="L83" i="4"/>
  <c r="G83" i="4"/>
  <c r="E83" i="4"/>
  <c r="Y82" i="4"/>
  <c r="S82" i="4"/>
  <c r="P82" i="4"/>
  <c r="Q82" i="4" s="1"/>
  <c r="L82" i="4"/>
  <c r="G82" i="4"/>
  <c r="E82" i="4"/>
  <c r="Y81" i="4"/>
  <c r="S81" i="4"/>
  <c r="P81" i="4"/>
  <c r="Q81" i="4" s="1"/>
  <c r="T81" i="4" s="1"/>
  <c r="L81" i="4"/>
  <c r="G81" i="4"/>
  <c r="E81" i="4"/>
  <c r="Y80" i="4"/>
  <c r="S80" i="4"/>
  <c r="P80" i="4"/>
  <c r="Q80" i="4" s="1"/>
  <c r="L80" i="4"/>
  <c r="G80" i="4"/>
  <c r="E80" i="4"/>
  <c r="Y79" i="4"/>
  <c r="S79" i="4"/>
  <c r="P79" i="4"/>
  <c r="Q79" i="4" s="1"/>
  <c r="L79" i="4"/>
  <c r="G79" i="4"/>
  <c r="E79" i="4"/>
  <c r="Y78" i="4"/>
  <c r="S78" i="4"/>
  <c r="P78" i="4"/>
  <c r="Q78" i="4" s="1"/>
  <c r="L78" i="4"/>
  <c r="G78" i="4"/>
  <c r="E78" i="4"/>
  <c r="Y77" i="4"/>
  <c r="S77" i="4"/>
  <c r="P77" i="4"/>
  <c r="Q77" i="4" s="1"/>
  <c r="T77" i="4" s="1"/>
  <c r="L77" i="4"/>
  <c r="G77" i="4"/>
  <c r="E77" i="4"/>
  <c r="Y76" i="4"/>
  <c r="S76" i="4"/>
  <c r="P76" i="4"/>
  <c r="Q76" i="4" s="1"/>
  <c r="L76" i="4"/>
  <c r="G76" i="4"/>
  <c r="E76" i="4"/>
  <c r="Y75" i="4"/>
  <c r="S75" i="4"/>
  <c r="P75" i="4"/>
  <c r="Q75" i="4" s="1"/>
  <c r="T75" i="4" s="1"/>
  <c r="L75" i="4"/>
  <c r="G75" i="4"/>
  <c r="E75" i="4"/>
  <c r="Y74" i="4"/>
  <c r="S74" i="4"/>
  <c r="P74" i="4"/>
  <c r="Q74" i="4" s="1"/>
  <c r="L74" i="4"/>
  <c r="G74" i="4"/>
  <c r="E74" i="4"/>
  <c r="Y73" i="4"/>
  <c r="S73" i="4"/>
  <c r="P73" i="4"/>
  <c r="Q73" i="4" s="1"/>
  <c r="T73" i="4" s="1"/>
  <c r="L73" i="4"/>
  <c r="G73" i="4"/>
  <c r="E73" i="4"/>
  <c r="Y72" i="4"/>
  <c r="S72" i="4"/>
  <c r="P72" i="4"/>
  <c r="Q72" i="4" s="1"/>
  <c r="L72" i="4"/>
  <c r="G72" i="4"/>
  <c r="E72" i="4"/>
  <c r="Y71" i="4"/>
  <c r="S71" i="4"/>
  <c r="P71" i="4"/>
  <c r="Q71" i="4" s="1"/>
  <c r="T71" i="4" s="1"/>
  <c r="L71" i="4"/>
  <c r="G71" i="4"/>
  <c r="E71" i="4"/>
  <c r="Y70" i="4"/>
  <c r="S70" i="4"/>
  <c r="P70" i="4"/>
  <c r="Q70" i="4" s="1"/>
  <c r="L70" i="4"/>
  <c r="G70" i="4"/>
  <c r="E70" i="4"/>
  <c r="Y69" i="4"/>
  <c r="S69" i="4"/>
  <c r="P69" i="4"/>
  <c r="Q69" i="4" s="1"/>
  <c r="L69" i="4"/>
  <c r="G69" i="4"/>
  <c r="E69" i="4"/>
  <c r="Y68" i="4"/>
  <c r="S68" i="4"/>
  <c r="P68" i="4"/>
  <c r="Q68" i="4" s="1"/>
  <c r="L68" i="4"/>
  <c r="G68" i="4"/>
  <c r="E68" i="4"/>
  <c r="Y67" i="4"/>
  <c r="S67" i="4"/>
  <c r="P67" i="4"/>
  <c r="Q67" i="4" s="1"/>
  <c r="L67" i="4"/>
  <c r="G67" i="4"/>
  <c r="E67" i="4"/>
  <c r="Y66" i="4"/>
  <c r="S66" i="4"/>
  <c r="P66" i="4"/>
  <c r="Q66" i="4" s="1"/>
  <c r="L66" i="4"/>
  <c r="G66" i="4"/>
  <c r="E66" i="4"/>
  <c r="Y65" i="4"/>
  <c r="S65" i="4"/>
  <c r="P65" i="4"/>
  <c r="Q65" i="4" s="1"/>
  <c r="L65" i="4"/>
  <c r="G65" i="4"/>
  <c r="E65" i="4"/>
  <c r="Y64" i="4"/>
  <c r="S64" i="4"/>
  <c r="P64" i="4"/>
  <c r="Q64" i="4" s="1"/>
  <c r="L64" i="4"/>
  <c r="G64" i="4"/>
  <c r="E64" i="4"/>
  <c r="Y63" i="4"/>
  <c r="S63" i="4"/>
  <c r="P63" i="4"/>
  <c r="Q63" i="4" s="1"/>
  <c r="L63" i="4"/>
  <c r="G63" i="4"/>
  <c r="E63" i="4"/>
  <c r="Y62" i="4"/>
  <c r="S62" i="4"/>
  <c r="P62" i="4"/>
  <c r="Q62" i="4" s="1"/>
  <c r="T62" i="4" s="1"/>
  <c r="L62" i="4"/>
  <c r="G62" i="4"/>
  <c r="E62" i="4"/>
  <c r="Y61" i="4"/>
  <c r="S61" i="4"/>
  <c r="P61" i="4"/>
  <c r="Q61" i="4" s="1"/>
  <c r="L61" i="4"/>
  <c r="G61" i="4"/>
  <c r="E61" i="4"/>
  <c r="Y60" i="4"/>
  <c r="S60" i="4"/>
  <c r="P60" i="4"/>
  <c r="Q60" i="4" s="1"/>
  <c r="T60" i="4" s="1"/>
  <c r="L60" i="4"/>
  <c r="G60" i="4"/>
  <c r="E60" i="4"/>
  <c r="Y59" i="4"/>
  <c r="S59" i="4"/>
  <c r="P59" i="4"/>
  <c r="Q59" i="4" s="1"/>
  <c r="L59" i="4"/>
  <c r="G59" i="4"/>
  <c r="E59" i="4"/>
  <c r="Y58" i="4"/>
  <c r="S58" i="4"/>
  <c r="P58" i="4"/>
  <c r="Q58" i="4" s="1"/>
  <c r="L58" i="4"/>
  <c r="G58" i="4"/>
  <c r="E58" i="4"/>
  <c r="Y57" i="4"/>
  <c r="S57" i="4"/>
  <c r="P57" i="4"/>
  <c r="Q57" i="4" s="1"/>
  <c r="L57" i="4"/>
  <c r="G57" i="4"/>
  <c r="E57" i="4"/>
  <c r="Y56" i="4"/>
  <c r="S56" i="4"/>
  <c r="P56" i="4"/>
  <c r="Q56" i="4" s="1"/>
  <c r="L56" i="4"/>
  <c r="G56" i="4"/>
  <c r="E56" i="4"/>
  <c r="Y55" i="4"/>
  <c r="S55" i="4"/>
  <c r="P55" i="4"/>
  <c r="Q55" i="4" s="1"/>
  <c r="L55" i="4"/>
  <c r="G55" i="4"/>
  <c r="E55" i="4"/>
  <c r="Y54" i="4"/>
  <c r="S54" i="4"/>
  <c r="P54" i="4"/>
  <c r="Q54" i="4" s="1"/>
  <c r="L54" i="4"/>
  <c r="G54" i="4"/>
  <c r="E54" i="4"/>
  <c r="Y53" i="4"/>
  <c r="S53" i="4"/>
  <c r="P53" i="4"/>
  <c r="Q53" i="4" s="1"/>
  <c r="L53" i="4"/>
  <c r="G53" i="4"/>
  <c r="E53" i="4"/>
  <c r="Y52" i="4"/>
  <c r="S52" i="4"/>
  <c r="P52" i="4"/>
  <c r="Q52" i="4" s="1"/>
  <c r="L52" i="4"/>
  <c r="G52" i="4"/>
  <c r="E52" i="4"/>
  <c r="Y51" i="4"/>
  <c r="S51" i="4"/>
  <c r="P51" i="4"/>
  <c r="Q51" i="4" s="1"/>
  <c r="L51" i="4"/>
  <c r="G51" i="4"/>
  <c r="E51" i="4"/>
  <c r="Y50" i="4"/>
  <c r="S50" i="4"/>
  <c r="P50" i="4"/>
  <c r="Q50" i="4" s="1"/>
  <c r="L50" i="4"/>
  <c r="G50" i="4"/>
  <c r="E50" i="4"/>
  <c r="Y49" i="4"/>
  <c r="S49" i="4"/>
  <c r="P49" i="4"/>
  <c r="Q49" i="4" s="1"/>
  <c r="T49" i="4" s="1"/>
  <c r="L49" i="4"/>
  <c r="G49" i="4"/>
  <c r="E49" i="4"/>
  <c r="Y48" i="4"/>
  <c r="S48" i="4"/>
  <c r="P48" i="4"/>
  <c r="Q48" i="4" s="1"/>
  <c r="L48" i="4"/>
  <c r="G48" i="4"/>
  <c r="E48" i="4"/>
  <c r="Y47" i="4"/>
  <c r="S47" i="4"/>
  <c r="P47" i="4"/>
  <c r="Q47" i="4" s="1"/>
  <c r="L47" i="4"/>
  <c r="G47" i="4"/>
  <c r="E47" i="4"/>
  <c r="Y46" i="4"/>
  <c r="S46" i="4"/>
  <c r="P46" i="4"/>
  <c r="Q46" i="4" s="1"/>
  <c r="L46" i="4"/>
  <c r="G46" i="4"/>
  <c r="E46" i="4"/>
  <c r="Y45" i="4"/>
  <c r="S45" i="4"/>
  <c r="P45" i="4"/>
  <c r="Q45" i="4" s="1"/>
  <c r="T45" i="4" s="1"/>
  <c r="L45" i="4"/>
  <c r="G45" i="4"/>
  <c r="E45" i="4"/>
  <c r="Y44" i="4"/>
  <c r="S44" i="4"/>
  <c r="P44" i="4"/>
  <c r="Q44" i="4" s="1"/>
  <c r="L44" i="4"/>
  <c r="G44" i="4"/>
  <c r="E44" i="4"/>
  <c r="Y43" i="4"/>
  <c r="S43" i="4"/>
  <c r="P43" i="4"/>
  <c r="Q43" i="4" s="1"/>
  <c r="T43" i="4" s="1"/>
  <c r="L43" i="4"/>
  <c r="G43" i="4"/>
  <c r="E43" i="4"/>
  <c r="Y42" i="4"/>
  <c r="S42" i="4"/>
  <c r="P42" i="4"/>
  <c r="Q42" i="4" s="1"/>
  <c r="L42" i="4"/>
  <c r="G42" i="4"/>
  <c r="E42" i="4"/>
  <c r="Y41" i="4"/>
  <c r="S41" i="4"/>
  <c r="P41" i="4"/>
  <c r="Q41" i="4" s="1"/>
  <c r="T41" i="4" s="1"/>
  <c r="L41" i="4"/>
  <c r="G41" i="4"/>
  <c r="E41" i="4"/>
  <c r="Y40" i="4"/>
  <c r="S40" i="4"/>
  <c r="P40" i="4"/>
  <c r="Q40" i="4" s="1"/>
  <c r="L40" i="4"/>
  <c r="G40" i="4"/>
  <c r="E40" i="4"/>
  <c r="Y39" i="4"/>
  <c r="S39" i="4"/>
  <c r="P39" i="4"/>
  <c r="Q39" i="4" s="1"/>
  <c r="L39" i="4"/>
  <c r="G39" i="4"/>
  <c r="E39" i="4"/>
  <c r="Y38" i="4"/>
  <c r="S38" i="4"/>
  <c r="P38" i="4"/>
  <c r="Q38" i="4" s="1"/>
  <c r="L38" i="4"/>
  <c r="G38" i="4"/>
  <c r="E38" i="4"/>
  <c r="Y37" i="4"/>
  <c r="S37" i="4"/>
  <c r="P37" i="4"/>
  <c r="Q37" i="4" s="1"/>
  <c r="L37" i="4"/>
  <c r="G37" i="4"/>
  <c r="E37" i="4"/>
  <c r="Y36" i="4"/>
  <c r="S36" i="4"/>
  <c r="P36" i="4"/>
  <c r="Q36" i="4" s="1"/>
  <c r="L36" i="4"/>
  <c r="G36" i="4"/>
  <c r="E36" i="4"/>
  <c r="Y35" i="4"/>
  <c r="S35" i="4"/>
  <c r="P35" i="4"/>
  <c r="Q35" i="4" s="1"/>
  <c r="L35" i="4"/>
  <c r="G35" i="4"/>
  <c r="E35" i="4"/>
  <c r="Y34" i="4"/>
  <c r="S34" i="4"/>
  <c r="P34" i="4"/>
  <c r="Q34" i="4" s="1"/>
  <c r="L34" i="4"/>
  <c r="G34" i="4"/>
  <c r="E34" i="4"/>
  <c r="Y33" i="4"/>
  <c r="S33" i="4"/>
  <c r="P33" i="4"/>
  <c r="Q33" i="4" s="1"/>
  <c r="L33" i="4"/>
  <c r="G33" i="4"/>
  <c r="E33" i="4"/>
  <c r="Y32" i="4"/>
  <c r="S32" i="4"/>
  <c r="P32" i="4"/>
  <c r="Q32" i="4" s="1"/>
  <c r="L32" i="4"/>
  <c r="G32" i="4"/>
  <c r="E32" i="4"/>
  <c r="Y31" i="4"/>
  <c r="S31" i="4"/>
  <c r="P31" i="4"/>
  <c r="Q31" i="4" s="1"/>
  <c r="L31" i="4"/>
  <c r="G31" i="4"/>
  <c r="E31" i="4"/>
  <c r="Y30" i="4"/>
  <c r="S30" i="4"/>
  <c r="P30" i="4"/>
  <c r="Q30" i="4" s="1"/>
  <c r="L30" i="4"/>
  <c r="G30" i="4"/>
  <c r="E30" i="4"/>
  <c r="Y29" i="4"/>
  <c r="S29" i="4"/>
  <c r="P29" i="4"/>
  <c r="Q29" i="4" s="1"/>
  <c r="T29" i="4" s="1"/>
  <c r="L29" i="4"/>
  <c r="G29" i="4"/>
  <c r="E29" i="4"/>
  <c r="Y28" i="4"/>
  <c r="S28" i="4"/>
  <c r="P28" i="4"/>
  <c r="Q28" i="4" s="1"/>
  <c r="L28" i="4"/>
  <c r="G28" i="4"/>
  <c r="E28" i="4"/>
  <c r="Y27" i="4"/>
  <c r="S27" i="4"/>
  <c r="Q27" i="4"/>
  <c r="T27" i="4" s="1"/>
  <c r="P27" i="4"/>
  <c r="L27" i="4"/>
  <c r="G27" i="4"/>
  <c r="E27" i="4"/>
  <c r="Y26" i="4"/>
  <c r="S26" i="4"/>
  <c r="P26" i="4"/>
  <c r="Q26" i="4" s="1"/>
  <c r="L26" i="4"/>
  <c r="G26" i="4"/>
  <c r="E26" i="4"/>
  <c r="Y25" i="4"/>
  <c r="S25" i="4"/>
  <c r="P25" i="4"/>
  <c r="Q25" i="4" s="1"/>
  <c r="T25" i="4" s="1"/>
  <c r="L25" i="4"/>
  <c r="G25" i="4"/>
  <c r="E25" i="4"/>
  <c r="Y24" i="4"/>
  <c r="S24" i="4"/>
  <c r="P24" i="4"/>
  <c r="Q24" i="4" s="1"/>
  <c r="L24" i="4"/>
  <c r="G24" i="4"/>
  <c r="E24" i="4"/>
  <c r="Y23" i="4"/>
  <c r="S23" i="4"/>
  <c r="P23" i="4"/>
  <c r="Q23" i="4" s="1"/>
  <c r="T23" i="4" s="1"/>
  <c r="L23" i="4"/>
  <c r="G23" i="4"/>
  <c r="E23" i="4"/>
  <c r="Y22" i="4"/>
  <c r="S22" i="4"/>
  <c r="P22" i="4"/>
  <c r="Q22" i="4" s="1"/>
  <c r="L22" i="4"/>
  <c r="G22" i="4"/>
  <c r="E22" i="4"/>
  <c r="Y21" i="4"/>
  <c r="S21" i="4"/>
  <c r="P21" i="4"/>
  <c r="Q21" i="4" s="1"/>
  <c r="T21" i="4" s="1"/>
  <c r="L21" i="4"/>
  <c r="G21" i="4"/>
  <c r="E21" i="4"/>
  <c r="Y20" i="4"/>
  <c r="S20" i="4"/>
  <c r="P20" i="4"/>
  <c r="Q20" i="4" s="1"/>
  <c r="L20" i="4"/>
  <c r="G20" i="4"/>
  <c r="E20" i="4"/>
  <c r="Y19" i="4"/>
  <c r="S19" i="4"/>
  <c r="P19" i="4"/>
  <c r="Q19" i="4" s="1"/>
  <c r="T19" i="4" s="1"/>
  <c r="L19" i="4"/>
  <c r="G19" i="4"/>
  <c r="E19" i="4"/>
  <c r="Y18" i="4"/>
  <c r="S18" i="4"/>
  <c r="P18" i="4"/>
  <c r="Q18" i="4" s="1"/>
  <c r="L18" i="4"/>
  <c r="G18" i="4"/>
  <c r="E18" i="4"/>
  <c r="Y17" i="4"/>
  <c r="S17" i="4"/>
  <c r="P17" i="4"/>
  <c r="Q17" i="4" s="1"/>
  <c r="L17" i="4"/>
  <c r="G17" i="4"/>
  <c r="E17" i="4"/>
  <c r="Y16" i="4"/>
  <c r="S16" i="4"/>
  <c r="P16" i="4"/>
  <c r="Q16" i="4" s="1"/>
  <c r="L16" i="4"/>
  <c r="G16" i="4"/>
  <c r="E16" i="4"/>
  <c r="Y15" i="4"/>
  <c r="S15" i="4"/>
  <c r="P15" i="4"/>
  <c r="Q15" i="4" s="1"/>
  <c r="L15" i="4"/>
  <c r="G15" i="4"/>
  <c r="E15" i="4"/>
  <c r="AJ14" i="4"/>
  <c r="AM14" i="4" s="1"/>
  <c r="AF14" i="4"/>
  <c r="AG14" i="4" s="1"/>
  <c r="AE14" i="4"/>
  <c r="Y14" i="4"/>
  <c r="S14" i="4"/>
  <c r="P14" i="4"/>
  <c r="Q14" i="4" s="1"/>
  <c r="L14" i="4"/>
  <c r="G14" i="4"/>
  <c r="E14" i="4"/>
  <c r="Y13" i="4"/>
  <c r="S13" i="4"/>
  <c r="P13" i="4"/>
  <c r="Q13" i="4" s="1"/>
  <c r="T13" i="4" s="1"/>
  <c r="L13" i="4"/>
  <c r="G13" i="4"/>
  <c r="E13" i="4"/>
  <c r="Y12" i="4"/>
  <c r="S12" i="4"/>
  <c r="P12" i="4"/>
  <c r="Q12" i="4" s="1"/>
  <c r="L12" i="4"/>
  <c r="G12" i="4"/>
  <c r="E12" i="4"/>
  <c r="Y11" i="4"/>
  <c r="S11" i="4"/>
  <c r="P11" i="4"/>
  <c r="Q11" i="4" s="1"/>
  <c r="T11" i="4" s="1"/>
  <c r="L11" i="4"/>
  <c r="G11" i="4"/>
  <c r="E11" i="4"/>
  <c r="Y10" i="4"/>
  <c r="S10" i="4"/>
  <c r="P10" i="4"/>
  <c r="Q10" i="4" s="1"/>
  <c r="L10" i="4"/>
  <c r="G10" i="4"/>
  <c r="E10" i="4"/>
  <c r="Y9" i="4"/>
  <c r="S9" i="4"/>
  <c r="P9" i="4"/>
  <c r="Q9" i="4" s="1"/>
  <c r="L9" i="4"/>
  <c r="G9" i="4"/>
  <c r="E9" i="4"/>
  <c r="Y8" i="4"/>
  <c r="S8" i="4"/>
  <c r="P8" i="4"/>
  <c r="Q8" i="4" s="1"/>
  <c r="L8" i="4"/>
  <c r="G8" i="4"/>
  <c r="E8" i="4"/>
  <c r="Y7" i="4"/>
  <c r="S7" i="4"/>
  <c r="P7" i="4"/>
  <c r="Q7" i="4" s="1"/>
  <c r="T7" i="4" s="1"/>
  <c r="L7" i="4"/>
  <c r="G7" i="4"/>
  <c r="E7" i="4"/>
  <c r="Y6" i="4"/>
  <c r="S6" i="4"/>
  <c r="Q6" i="4"/>
  <c r="P6" i="4"/>
  <c r="L6" i="4"/>
  <c r="G6" i="4"/>
  <c r="E6" i="4"/>
  <c r="Y5" i="4"/>
  <c r="S5" i="4"/>
  <c r="P5" i="4"/>
  <c r="Q5" i="4" s="1"/>
  <c r="L5" i="4"/>
  <c r="G5" i="4"/>
  <c r="E5" i="4"/>
  <c r="Y4" i="4"/>
  <c r="S4" i="4"/>
  <c r="P4" i="4"/>
  <c r="Q4" i="4" s="1"/>
  <c r="L4" i="4"/>
  <c r="G4" i="4"/>
  <c r="E4" i="4"/>
  <c r="Y3" i="4"/>
  <c r="S3" i="4"/>
  <c r="P3" i="4"/>
  <c r="Q3" i="4" s="1"/>
  <c r="T3" i="4" s="1"/>
  <c r="L3" i="4"/>
  <c r="H3" i="4"/>
  <c r="G3" i="4"/>
  <c r="E3" i="4"/>
  <c r="D1" i="4"/>
  <c r="A3" i="4" s="1"/>
  <c r="B11" i="4" s="1"/>
  <c r="C10" i="2"/>
  <c r="B10" i="2"/>
  <c r="R65" i="4" l="1"/>
  <c r="R35" i="4"/>
  <c r="R44" i="4"/>
  <c r="R42" i="4"/>
  <c r="R143" i="4"/>
  <c r="T143" i="4"/>
  <c r="R147" i="4"/>
  <c r="T147" i="4"/>
  <c r="R155" i="4"/>
  <c r="T155" i="4"/>
  <c r="R145" i="4"/>
  <c r="T145" i="4"/>
  <c r="B19" i="4"/>
  <c r="T153" i="4"/>
  <c r="B7" i="4"/>
  <c r="R8" i="4"/>
  <c r="T8" i="4"/>
  <c r="R23" i="4"/>
  <c r="T22" i="4"/>
  <c r="R22" i="4"/>
  <c r="R4" i="4"/>
  <c r="R7" i="4"/>
  <c r="R13" i="4"/>
  <c r="T16" i="4"/>
  <c r="R16" i="4"/>
  <c r="R31" i="4"/>
  <c r="T56" i="4"/>
  <c r="R56" i="4"/>
  <c r="R9" i="4"/>
  <c r="T12" i="4"/>
  <c r="R12" i="4"/>
  <c r="U13" i="4"/>
  <c r="T14" i="4"/>
  <c r="R14" i="4"/>
  <c r="R21" i="4"/>
  <c r="T20" i="4"/>
  <c r="R27" i="4"/>
  <c r="T26" i="4"/>
  <c r="R26" i="4"/>
  <c r="T31" i="4"/>
  <c r="T39" i="4"/>
  <c r="R39" i="4"/>
  <c r="T4" i="4"/>
  <c r="B5" i="4"/>
  <c r="T9" i="4"/>
  <c r="T15" i="4"/>
  <c r="R15" i="4"/>
  <c r="R20" i="4"/>
  <c r="T33" i="4"/>
  <c r="R33" i="4"/>
  <c r="T61" i="4"/>
  <c r="R61" i="4"/>
  <c r="R62" i="4"/>
  <c r="T30" i="4"/>
  <c r="R30" i="4"/>
  <c r="T46" i="4"/>
  <c r="R46" i="4"/>
  <c r="T6" i="4"/>
  <c r="R10" i="4"/>
  <c r="R19" i="4"/>
  <c r="T18" i="4"/>
  <c r="R18" i="4"/>
  <c r="R25" i="4"/>
  <c r="T24" i="4"/>
  <c r="R24" i="4"/>
  <c r="R40" i="4"/>
  <c r="B154" i="4"/>
  <c r="B152" i="4"/>
  <c r="B150" i="4"/>
  <c r="B148" i="4"/>
  <c r="B146" i="4"/>
  <c r="B144" i="4"/>
  <c r="B142" i="4"/>
  <c r="B140" i="4"/>
  <c r="B138" i="4"/>
  <c r="B136" i="4"/>
  <c r="B134" i="4"/>
  <c r="B132" i="4"/>
  <c r="B130" i="4"/>
  <c r="B128" i="4"/>
  <c r="B126" i="4"/>
  <c r="B155" i="4"/>
  <c r="B153" i="4"/>
  <c r="B151" i="4"/>
  <c r="B149" i="4"/>
  <c r="B147" i="4"/>
  <c r="B145" i="4"/>
  <c r="B143" i="4"/>
  <c r="B141" i="4"/>
  <c r="B139" i="4"/>
  <c r="B137" i="4"/>
  <c r="B135" i="4"/>
  <c r="B133" i="4"/>
  <c r="B131" i="4"/>
  <c r="B129" i="4"/>
  <c r="B127" i="4"/>
  <c r="B121" i="4"/>
  <c r="B119" i="4"/>
  <c r="B117" i="4"/>
  <c r="B115" i="4"/>
  <c r="B113" i="4"/>
  <c r="B111" i="4"/>
  <c r="B109" i="4"/>
  <c r="B107" i="4"/>
  <c r="B105" i="4"/>
  <c r="B103" i="4"/>
  <c r="B124" i="4"/>
  <c r="B122" i="4"/>
  <c r="B120" i="4"/>
  <c r="B118" i="4"/>
  <c r="B116" i="4"/>
  <c r="B114" i="4"/>
  <c r="B112" i="4"/>
  <c r="B123" i="4"/>
  <c r="B104" i="4"/>
  <c r="B94" i="4"/>
  <c r="B92" i="4"/>
  <c r="B90" i="4"/>
  <c r="B88" i="4"/>
  <c r="B98" i="4"/>
  <c r="B106" i="4"/>
  <c r="B99" i="4"/>
  <c r="B100" i="4"/>
  <c r="B101" i="4"/>
  <c r="B125" i="4"/>
  <c r="B110" i="4"/>
  <c r="B102" i="4"/>
  <c r="B95" i="4"/>
  <c r="B93" i="4"/>
  <c r="B91" i="4"/>
  <c r="B89" i="4"/>
  <c r="B87" i="4"/>
  <c r="B108" i="4"/>
  <c r="B84" i="4"/>
  <c r="B79" i="4"/>
  <c r="B76" i="4"/>
  <c r="B85" i="4"/>
  <c r="B77" i="4"/>
  <c r="B69" i="4"/>
  <c r="B67" i="4"/>
  <c r="B65" i="4"/>
  <c r="B63" i="4"/>
  <c r="B61" i="4"/>
  <c r="B59" i="4"/>
  <c r="B80" i="4"/>
  <c r="B83" i="4"/>
  <c r="B74" i="4"/>
  <c r="B73" i="4"/>
  <c r="B72" i="4"/>
  <c r="B71" i="4"/>
  <c r="B96" i="4"/>
  <c r="B81" i="4"/>
  <c r="B70" i="4"/>
  <c r="B68" i="4"/>
  <c r="B66" i="4"/>
  <c r="B64" i="4"/>
  <c r="B86" i="4"/>
  <c r="B57" i="4"/>
  <c r="B58" i="4"/>
  <c r="B51" i="4"/>
  <c r="B47" i="4"/>
  <c r="B38" i="4"/>
  <c r="B50" i="4"/>
  <c r="B46" i="4"/>
  <c r="B44" i="4"/>
  <c r="B42" i="4"/>
  <c r="B40" i="4"/>
  <c r="B60" i="4"/>
  <c r="B78" i="4"/>
  <c r="B49" i="4"/>
  <c r="B75" i="4"/>
  <c r="B82" i="4"/>
  <c r="B62" i="4"/>
  <c r="B39" i="4"/>
  <c r="B37" i="4"/>
  <c r="B35" i="4"/>
  <c r="B33" i="4"/>
  <c r="B31" i="4"/>
  <c r="B56" i="4"/>
  <c r="B52" i="4"/>
  <c r="B45" i="4"/>
  <c r="B36" i="4"/>
  <c r="B28" i="4"/>
  <c r="B26" i="4"/>
  <c r="B24" i="4"/>
  <c r="B22" i="4"/>
  <c r="B10" i="4"/>
  <c r="B8" i="4"/>
  <c r="B6" i="4"/>
  <c r="B4" i="4"/>
  <c r="B53" i="4"/>
  <c r="B20" i="4"/>
  <c r="B18" i="4"/>
  <c r="B12" i="4"/>
  <c r="B16" i="4"/>
  <c r="B14" i="4"/>
  <c r="B41" i="4"/>
  <c r="B30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B54" i="4"/>
  <c r="B48" i="4"/>
  <c r="B34" i="4"/>
  <c r="B32" i="4"/>
  <c r="B97" i="4"/>
  <c r="B55" i="4"/>
  <c r="B43" i="4"/>
  <c r="B29" i="4"/>
  <c r="B27" i="4"/>
  <c r="B25" i="4"/>
  <c r="B23" i="4"/>
  <c r="B17" i="4"/>
  <c r="B15" i="4"/>
  <c r="B13" i="4"/>
  <c r="R5" i="4"/>
  <c r="T10" i="4"/>
  <c r="B21" i="4"/>
  <c r="T53" i="4"/>
  <c r="R53" i="4"/>
  <c r="B3" i="4"/>
  <c r="C3" i="4" s="1"/>
  <c r="U10" i="4"/>
  <c r="T17" i="4"/>
  <c r="R17" i="4"/>
  <c r="V16" i="4"/>
  <c r="W16" i="4" s="1"/>
  <c r="X16" i="4" s="1"/>
  <c r="R6" i="4"/>
  <c r="B9" i="4"/>
  <c r="T5" i="4"/>
  <c r="R11" i="4"/>
  <c r="R29" i="4"/>
  <c r="T28" i="4"/>
  <c r="R28" i="4"/>
  <c r="T35" i="4"/>
  <c r="T36" i="4"/>
  <c r="T38" i="4"/>
  <c r="R36" i="4"/>
  <c r="T37" i="4"/>
  <c r="R38" i="4"/>
  <c r="T44" i="4"/>
  <c r="R37" i="4"/>
  <c r="T51" i="4"/>
  <c r="R51" i="4"/>
  <c r="T63" i="4"/>
  <c r="R63" i="4"/>
  <c r="T50" i="4"/>
  <c r="R50" i="4"/>
  <c r="T42" i="4"/>
  <c r="T57" i="4"/>
  <c r="R57" i="4"/>
  <c r="T34" i="4"/>
  <c r="T32" i="4"/>
  <c r="R34" i="4"/>
  <c r="R32" i="4"/>
  <c r="T40" i="4"/>
  <c r="T47" i="4"/>
  <c r="R47" i="4"/>
  <c r="T59" i="4"/>
  <c r="R59" i="4"/>
  <c r="T99" i="4"/>
  <c r="R99" i="4"/>
  <c r="R100" i="4"/>
  <c r="T124" i="4"/>
  <c r="R124" i="4"/>
  <c r="R72" i="4"/>
  <c r="T86" i="4"/>
  <c r="R86" i="4"/>
  <c r="T106" i="4"/>
  <c r="R106" i="4"/>
  <c r="R58" i="4"/>
  <c r="T72" i="4"/>
  <c r="R71" i="4"/>
  <c r="T58" i="4"/>
  <c r="T64" i="4"/>
  <c r="R64" i="4"/>
  <c r="T70" i="4"/>
  <c r="R70" i="4"/>
  <c r="T82" i="4"/>
  <c r="R82" i="4"/>
  <c r="R85" i="4"/>
  <c r="R41" i="4"/>
  <c r="R43" i="4"/>
  <c r="R45" i="4"/>
  <c r="R48" i="4"/>
  <c r="R52" i="4"/>
  <c r="R54" i="4"/>
  <c r="R55" i="4"/>
  <c r="T65" i="4"/>
  <c r="T68" i="4"/>
  <c r="R68" i="4"/>
  <c r="T69" i="4"/>
  <c r="R69" i="4"/>
  <c r="T85" i="4"/>
  <c r="T74" i="4"/>
  <c r="R74" i="4"/>
  <c r="T78" i="4"/>
  <c r="R78" i="4"/>
  <c r="T48" i="4"/>
  <c r="T52" i="4"/>
  <c r="T54" i="4"/>
  <c r="T55" i="4"/>
  <c r="T66" i="4"/>
  <c r="R66" i="4"/>
  <c r="T67" i="4"/>
  <c r="R67" i="4"/>
  <c r="T84" i="4"/>
  <c r="R84" i="4"/>
  <c r="T103" i="4"/>
  <c r="R104" i="4"/>
  <c r="R49" i="4"/>
  <c r="T80" i="4"/>
  <c r="R80" i="4"/>
  <c r="R103" i="4"/>
  <c r="R60" i="4"/>
  <c r="R73" i="4"/>
  <c r="R77" i="4"/>
  <c r="T98" i="4"/>
  <c r="R98" i="4"/>
  <c r="T116" i="4"/>
  <c r="R116" i="4"/>
  <c r="R79" i="4"/>
  <c r="T76" i="4"/>
  <c r="R76" i="4"/>
  <c r="T101" i="4"/>
  <c r="T79" i="4"/>
  <c r="T97" i="4"/>
  <c r="R97" i="4"/>
  <c r="R101" i="4"/>
  <c r="T105" i="4"/>
  <c r="R105" i="4"/>
  <c r="R81" i="4"/>
  <c r="T96" i="4"/>
  <c r="R96" i="4"/>
  <c r="R107" i="4"/>
  <c r="R75" i="4"/>
  <c r="R95" i="4"/>
  <c r="T100" i="4"/>
  <c r="R93" i="4"/>
  <c r="T117" i="4"/>
  <c r="R117" i="4"/>
  <c r="R91" i="4"/>
  <c r="R83" i="4"/>
  <c r="R87" i="4"/>
  <c r="R89" i="4"/>
  <c r="T93" i="4"/>
  <c r="T91" i="4"/>
  <c r="T83" i="4"/>
  <c r="T87" i="4"/>
  <c r="T89" i="4"/>
  <c r="T111" i="4"/>
  <c r="T114" i="4"/>
  <c r="R114" i="4"/>
  <c r="T115" i="4"/>
  <c r="R115" i="4"/>
  <c r="T126" i="4"/>
  <c r="R126" i="4"/>
  <c r="R111" i="4"/>
  <c r="T112" i="4"/>
  <c r="R112" i="4"/>
  <c r="R123" i="4"/>
  <c r="T123" i="4"/>
  <c r="T109" i="4"/>
  <c r="T113" i="4"/>
  <c r="R113" i="4"/>
  <c r="R109" i="4"/>
  <c r="R88" i="4"/>
  <c r="R90" i="4"/>
  <c r="R92" i="4"/>
  <c r="R94" i="4"/>
  <c r="T104" i="4"/>
  <c r="T122" i="4"/>
  <c r="R122" i="4"/>
  <c r="T108" i="4"/>
  <c r="R108" i="4"/>
  <c r="T110" i="4"/>
  <c r="T121" i="4"/>
  <c r="R121" i="4"/>
  <c r="T102" i="4"/>
  <c r="R110" i="4"/>
  <c r="T120" i="4"/>
  <c r="R120" i="4"/>
  <c r="R102" i="4"/>
  <c r="T118" i="4"/>
  <c r="R118" i="4"/>
  <c r="T119" i="4"/>
  <c r="R119" i="4"/>
  <c r="T150" i="4"/>
  <c r="R150" i="4"/>
  <c r="R135" i="4"/>
  <c r="T140" i="4"/>
  <c r="R140" i="4"/>
  <c r="T135" i="4"/>
  <c r="R139" i="4"/>
  <c r="T146" i="4"/>
  <c r="R146" i="4"/>
  <c r="R127" i="4"/>
  <c r="R149" i="4"/>
  <c r="T139" i="4"/>
  <c r="T152" i="4"/>
  <c r="R152" i="4"/>
  <c r="R125" i="4"/>
  <c r="R133" i="4"/>
  <c r="T138" i="4"/>
  <c r="R138" i="4"/>
  <c r="T142" i="4"/>
  <c r="R142" i="4"/>
  <c r="T125" i="4"/>
  <c r="T128" i="4"/>
  <c r="R128" i="4"/>
  <c r="R131" i="4"/>
  <c r="T133" i="4"/>
  <c r="R129" i="4"/>
  <c r="T148" i="4"/>
  <c r="R148" i="4"/>
  <c r="R137" i="4"/>
  <c r="R151" i="4"/>
  <c r="T129" i="4"/>
  <c r="T154" i="4"/>
  <c r="R154" i="4"/>
  <c r="T137" i="4"/>
  <c r="R141" i="4"/>
  <c r="T144" i="4"/>
  <c r="R144" i="4"/>
  <c r="R130" i="4"/>
  <c r="R132" i="4"/>
  <c r="R134" i="4"/>
  <c r="R136" i="4"/>
  <c r="V17" i="4" l="1"/>
  <c r="W17" i="4" s="1"/>
  <c r="X17" i="4" s="1"/>
  <c r="V6" i="4"/>
  <c r="W6" i="4" s="1"/>
  <c r="X6" i="4" s="1"/>
  <c r="V13" i="4"/>
  <c r="W13" i="4" s="1"/>
  <c r="X13" i="4" s="1"/>
  <c r="V10" i="4"/>
  <c r="W10" i="4" s="1"/>
  <c r="X10" i="4" s="1"/>
  <c r="V15" i="4"/>
  <c r="W15" i="4" s="1"/>
  <c r="X15" i="4" s="1"/>
  <c r="V12" i="4"/>
  <c r="W12" i="4" s="1"/>
  <c r="X12" i="4" s="1"/>
  <c r="U16" i="4"/>
  <c r="U9" i="4"/>
  <c r="V9" i="4"/>
  <c r="W9" i="4" s="1"/>
  <c r="X9" i="4" s="1"/>
  <c r="U14" i="4"/>
  <c r="U5" i="4"/>
  <c r="V14" i="4"/>
  <c r="W14" i="4" s="1"/>
  <c r="X14" i="4" s="1"/>
  <c r="U11" i="4"/>
  <c r="V11" i="4"/>
  <c r="W11" i="4" s="1"/>
  <c r="X11" i="4" s="1"/>
  <c r="V8" i="4"/>
  <c r="W8" i="4" s="1"/>
  <c r="X8" i="4" s="1"/>
  <c r="C4" i="4"/>
  <c r="M4" i="4" s="1"/>
  <c r="N4" i="4" s="1"/>
  <c r="Z4" i="4" s="1"/>
  <c r="AC4" i="4" s="1"/>
  <c r="AD4" i="4" s="1"/>
  <c r="V19" i="4"/>
  <c r="W19" i="4" s="1"/>
  <c r="X19" i="4" s="1"/>
  <c r="U12" i="4"/>
  <c r="U20" i="4"/>
  <c r="V20" i="4"/>
  <c r="W20" i="4" s="1"/>
  <c r="X20" i="4" s="1"/>
  <c r="R158" i="4"/>
  <c r="U6" i="4"/>
  <c r="U3" i="4"/>
  <c r="U8" i="4"/>
  <c r="V4" i="4"/>
  <c r="W4" i="4" s="1"/>
  <c r="X4" i="4" s="1"/>
  <c r="U19" i="4"/>
  <c r="U7" i="4"/>
  <c r="U18" i="4"/>
  <c r="V18" i="4"/>
  <c r="W18" i="4" s="1"/>
  <c r="X18" i="4" s="1"/>
  <c r="V3" i="4"/>
  <c r="W3" i="4" s="1"/>
  <c r="X3" i="4" s="1"/>
  <c r="Z3" i="4" s="1"/>
  <c r="V7" i="4"/>
  <c r="W7" i="4" s="1"/>
  <c r="X7" i="4" s="1"/>
  <c r="A23" i="4"/>
  <c r="V21" i="4"/>
  <c r="W21" i="4" s="1"/>
  <c r="X21" i="4" s="1"/>
  <c r="U4" i="4"/>
  <c r="V5" i="4"/>
  <c r="W5" i="4" s="1"/>
  <c r="X5" i="4" s="1"/>
  <c r="U17" i="4"/>
  <c r="U15" i="4"/>
  <c r="U21" i="4"/>
  <c r="C5" i="4" l="1"/>
  <c r="M5" i="4" s="1"/>
  <c r="N5" i="4" s="1"/>
  <c r="Z5" i="4" s="1"/>
  <c r="AC5" i="4" s="1"/>
  <c r="AD5" i="4" s="1"/>
  <c r="AF5" i="4" s="1"/>
  <c r="AG5" i="4" s="1"/>
  <c r="A24" i="4"/>
  <c r="V22" i="4"/>
  <c r="W22" i="4" s="1"/>
  <c r="X22" i="4" s="1"/>
  <c r="U22" i="4"/>
  <c r="AE4" i="4"/>
  <c r="AJ4" i="4"/>
  <c r="AM4" i="4" s="1"/>
  <c r="K4" i="4"/>
  <c r="AF4" i="4"/>
  <c r="AG4" i="4" s="1"/>
  <c r="AC3" i="4"/>
  <c r="AD3" i="4" s="1"/>
  <c r="AA3" i="4"/>
  <c r="AA4" i="4"/>
  <c r="C6" i="4"/>
  <c r="AA5" i="4" l="1"/>
  <c r="AE5" i="4"/>
  <c r="AJ5" i="4"/>
  <c r="AM5" i="4" s="1"/>
  <c r="K5" i="4"/>
  <c r="AL5" i="4" s="1" a="1"/>
  <c r="AL5" i="4" s="1"/>
  <c r="AK4" i="4" a="1"/>
  <c r="AK4" i="4" s="1"/>
  <c r="AL4" i="4" a="1"/>
  <c r="AL4" i="4" s="1"/>
  <c r="AJ3" i="4"/>
  <c r="AM3" i="4" s="1"/>
  <c r="AF3" i="4"/>
  <c r="AG3" i="4" s="1"/>
  <c r="AE3" i="4"/>
  <c r="K3" i="4"/>
  <c r="M6" i="4"/>
  <c r="N6" i="4" s="1"/>
  <c r="Z6" i="4" s="1"/>
  <c r="C7" i="4"/>
  <c r="A25" i="4"/>
  <c r="U23" i="4"/>
  <c r="V23" i="4"/>
  <c r="W23" i="4" s="1"/>
  <c r="X23" i="4" s="1"/>
  <c r="AK5" i="4" l="1" a="1"/>
  <c r="AK5" i="4" s="1"/>
  <c r="M7" i="4"/>
  <c r="N7" i="4" s="1"/>
  <c r="Z7" i="4" s="1"/>
  <c r="AC7" i="4" s="1"/>
  <c r="AD7" i="4" s="1"/>
  <c r="C8" i="4"/>
  <c r="AC6" i="4"/>
  <c r="AD6" i="4" s="1"/>
  <c r="AA6" i="4"/>
  <c r="AK3" i="4" a="1"/>
  <c r="AK3" i="4" s="1"/>
  <c r="AL3" i="4" a="1"/>
  <c r="AL3" i="4" s="1"/>
  <c r="AH5" i="4"/>
  <c r="AH4" i="4"/>
  <c r="AH3" i="4"/>
  <c r="A26" i="4"/>
  <c r="V24" i="4"/>
  <c r="W24" i="4" s="1"/>
  <c r="X24" i="4" s="1"/>
  <c r="U24" i="4"/>
  <c r="AI5" i="4"/>
  <c r="AI3" i="4"/>
  <c r="AI4" i="4"/>
  <c r="AA7" i="4" l="1"/>
  <c r="A27" i="4"/>
  <c r="U25" i="4"/>
  <c r="V25" i="4"/>
  <c r="W25" i="4" s="1"/>
  <c r="X25" i="4" s="1"/>
  <c r="AE6" i="4"/>
  <c r="K6" i="4"/>
  <c r="AJ6" i="4"/>
  <c r="AM6" i="4" s="1"/>
  <c r="AF6" i="4"/>
  <c r="AG6" i="4" s="1"/>
  <c r="M8" i="4"/>
  <c r="N8" i="4" s="1"/>
  <c r="Z8" i="4" s="1"/>
  <c r="C9" i="4"/>
  <c r="AF7" i="4"/>
  <c r="AG7" i="4" s="1"/>
  <c r="AJ7" i="4"/>
  <c r="AM7" i="4" s="1"/>
  <c r="AE7" i="4"/>
  <c r="K7" i="4"/>
  <c r="AH7" i="4" l="1"/>
  <c r="AH6" i="4"/>
  <c r="AL6" i="4" a="1"/>
  <c r="AL6" i="4" s="1"/>
  <c r="AK6" i="4" a="1"/>
  <c r="AK6" i="4" s="1"/>
  <c r="A28" i="4"/>
  <c r="U26" i="4"/>
  <c r="V26" i="4"/>
  <c r="W26" i="4" s="1"/>
  <c r="X26" i="4" s="1"/>
  <c r="AL7" i="4" a="1"/>
  <c r="AL7" i="4" s="1"/>
  <c r="AK7" i="4" a="1"/>
  <c r="AK7" i="4" s="1"/>
  <c r="AC8" i="4"/>
  <c r="AD8" i="4" s="1"/>
  <c r="AA8" i="4"/>
  <c r="M9" i="4"/>
  <c r="N9" i="4" s="1"/>
  <c r="Z9" i="4" s="1"/>
  <c r="AC9" i="4" s="1"/>
  <c r="AD9" i="4" s="1"/>
  <c r="C10" i="4"/>
  <c r="AI7" i="4"/>
  <c r="AI6" i="4"/>
  <c r="A29" i="4" l="1"/>
  <c r="U27" i="4"/>
  <c r="V27" i="4"/>
  <c r="W27" i="4" s="1"/>
  <c r="X27" i="4" s="1"/>
  <c r="AA9" i="4"/>
  <c r="M10" i="4"/>
  <c r="N10" i="4" s="1"/>
  <c r="Z10" i="4" s="1"/>
  <c r="AA10" i="4" s="1"/>
  <c r="C11" i="4"/>
  <c r="AE8" i="4"/>
  <c r="AJ8" i="4"/>
  <c r="AM8" i="4" s="1"/>
  <c r="K8" i="4"/>
  <c r="AF8" i="4"/>
  <c r="AG8" i="4" s="1"/>
  <c r="AF9" i="4"/>
  <c r="AG9" i="4" s="1"/>
  <c r="AE9" i="4"/>
  <c r="AJ9" i="4"/>
  <c r="AM9" i="4" s="1"/>
  <c r="K9" i="4"/>
  <c r="AH9" i="4" l="1"/>
  <c r="AH8" i="4"/>
  <c r="AL8" i="4" a="1"/>
  <c r="AL8" i="4" s="1"/>
  <c r="AK8" i="4" a="1"/>
  <c r="AK8" i="4" s="1"/>
  <c r="A30" i="4"/>
  <c r="U28" i="4"/>
  <c r="V28" i="4"/>
  <c r="W28" i="4" s="1"/>
  <c r="X28" i="4" s="1"/>
  <c r="AL9" i="4" a="1"/>
  <c r="AL9" i="4" s="1"/>
  <c r="AK9" i="4" a="1"/>
  <c r="AK9" i="4" s="1"/>
  <c r="M11" i="4"/>
  <c r="N11" i="4" s="1"/>
  <c r="Z11" i="4" s="1"/>
  <c r="C12" i="4"/>
  <c r="AC10" i="4"/>
  <c r="AD10" i="4" s="1"/>
  <c r="AI9" i="4"/>
  <c r="AI8" i="4"/>
  <c r="AE10" i="4" l="1"/>
  <c r="AF10" i="4"/>
  <c r="AG10" i="4" s="1"/>
  <c r="K10" i="4"/>
  <c r="AJ10" i="4"/>
  <c r="AM10" i="4" s="1"/>
  <c r="A31" i="4"/>
  <c r="U29" i="4"/>
  <c r="V29" i="4"/>
  <c r="W29" i="4" s="1"/>
  <c r="X29" i="4" s="1"/>
  <c r="M12" i="4"/>
  <c r="N12" i="4" s="1"/>
  <c r="Z12" i="4" s="1"/>
  <c r="AA12" i="4" s="1"/>
  <c r="C13" i="4"/>
  <c r="AC11" i="4"/>
  <c r="AD11" i="4" s="1"/>
  <c r="AA11" i="4"/>
  <c r="AF11" i="4" l="1"/>
  <c r="AG11" i="4" s="1"/>
  <c r="AI11" i="4" s="1"/>
  <c r="AE11" i="4"/>
  <c r="AH11" i="4" s="1"/>
  <c r="K11" i="4"/>
  <c r="AJ11" i="4"/>
  <c r="AM11" i="4" s="1"/>
  <c r="M13" i="4"/>
  <c r="N13" i="4" s="1"/>
  <c r="Z13" i="4" s="1"/>
  <c r="C14" i="4"/>
  <c r="AC12" i="4"/>
  <c r="AD12" i="4" s="1"/>
  <c r="A32" i="4"/>
  <c r="V30" i="4"/>
  <c r="W30" i="4" s="1"/>
  <c r="X30" i="4" s="1"/>
  <c r="U30" i="4"/>
  <c r="AL10" i="4" a="1"/>
  <c r="AL10" i="4" s="1"/>
  <c r="AK10" i="4" a="1"/>
  <c r="AK10" i="4" s="1"/>
  <c r="AI10" i="4"/>
  <c r="AH10" i="4"/>
  <c r="AE12" i="4" l="1"/>
  <c r="AJ12" i="4"/>
  <c r="AM12" i="4" s="1"/>
  <c r="AF12" i="4"/>
  <c r="AG12" i="4" s="1"/>
  <c r="K12" i="4"/>
  <c r="A33" i="4"/>
  <c r="U31" i="4"/>
  <c r="V31" i="4"/>
  <c r="W31" i="4" s="1"/>
  <c r="X31" i="4" s="1"/>
  <c r="M14" i="4"/>
  <c r="N14" i="4" s="1"/>
  <c r="Z14" i="4" s="1"/>
  <c r="C15" i="4"/>
  <c r="AC13" i="4"/>
  <c r="AD13" i="4" s="1"/>
  <c r="AA13" i="4"/>
  <c r="AL11" i="4" a="1"/>
  <c r="AL11" i="4" s="1"/>
  <c r="AK11" i="4" a="1"/>
  <c r="AK11" i="4" s="1"/>
  <c r="AJ13" i="4" l="1"/>
  <c r="AM13" i="4" s="1"/>
  <c r="AF13" i="4"/>
  <c r="AG13" i="4" s="1"/>
  <c r="AI13" i="4" s="1"/>
  <c r="AE13" i="4"/>
  <c r="AH14" i="4" s="1"/>
  <c r="K13" i="4"/>
  <c r="M15" i="4"/>
  <c r="N15" i="4" s="1"/>
  <c r="Z15" i="4" s="1"/>
  <c r="C16" i="4"/>
  <c r="AC14" i="4"/>
  <c r="K14" i="4"/>
  <c r="AA14" i="4"/>
  <c r="A34" i="4"/>
  <c r="V32" i="4"/>
  <c r="W32" i="4" s="1"/>
  <c r="X32" i="4" s="1"/>
  <c r="U32" i="4"/>
  <c r="AL12" i="4" a="1"/>
  <c r="AL12" i="4" s="1"/>
  <c r="AK12" i="4" a="1"/>
  <c r="AK12" i="4" s="1"/>
  <c r="AI12" i="4"/>
  <c r="AH12" i="4"/>
  <c r="AI14" i="4" l="1"/>
  <c r="AH13" i="4"/>
  <c r="A35" i="4"/>
  <c r="V33" i="4"/>
  <c r="W33" i="4" s="1"/>
  <c r="X33" i="4" s="1"/>
  <c r="U33" i="4"/>
  <c r="AL14" i="4" a="1"/>
  <c r="AL14" i="4" s="1"/>
  <c r="AK14" i="4" a="1"/>
  <c r="AK14" i="4" s="1"/>
  <c r="M16" i="4"/>
  <c r="N16" i="4" s="1"/>
  <c r="Z16" i="4" s="1"/>
  <c r="C17" i="4"/>
  <c r="AC15" i="4"/>
  <c r="AD15" i="4" s="1"/>
  <c r="AA15" i="4"/>
  <c r="AL13" i="4" a="1"/>
  <c r="AL13" i="4" s="1"/>
  <c r="AK13" i="4" a="1"/>
  <c r="AK13" i="4" s="1"/>
  <c r="AJ15" i="4" l="1"/>
  <c r="AM15" i="4" s="1"/>
  <c r="AF15" i="4"/>
  <c r="AG15" i="4" s="1"/>
  <c r="AI15" i="4" s="1"/>
  <c r="AE15" i="4"/>
  <c r="K15" i="4"/>
  <c r="M17" i="4"/>
  <c r="N17" i="4" s="1"/>
  <c r="Z17" i="4" s="1"/>
  <c r="C18" i="4"/>
  <c r="AC16" i="4"/>
  <c r="AD16" i="4" s="1"/>
  <c r="AA16" i="4"/>
  <c r="A36" i="4"/>
  <c r="U34" i="4"/>
  <c r="V34" i="4"/>
  <c r="W34" i="4" s="1"/>
  <c r="X34" i="4" s="1"/>
  <c r="M18" i="4" l="1"/>
  <c r="N18" i="4" s="1"/>
  <c r="Z18" i="4" s="1"/>
  <c r="C19" i="4"/>
  <c r="AC17" i="4"/>
  <c r="AD17" i="4" s="1"/>
  <c r="AA17" i="4"/>
  <c r="AL15" i="4" a="1"/>
  <c r="AL15" i="4" s="1"/>
  <c r="AK15" i="4" a="1"/>
  <c r="AK15" i="4" s="1"/>
  <c r="AE16" i="4"/>
  <c r="K16" i="4"/>
  <c r="AJ16" i="4"/>
  <c r="AM16" i="4" s="1"/>
  <c r="AF16" i="4"/>
  <c r="AG16" i="4" s="1"/>
  <c r="AI16" i="4" s="1"/>
  <c r="AH15" i="4"/>
  <c r="A37" i="4"/>
  <c r="V35" i="4"/>
  <c r="W35" i="4" s="1"/>
  <c r="X35" i="4" s="1"/>
  <c r="U35" i="4"/>
  <c r="A38" i="4" l="1"/>
  <c r="V36" i="4"/>
  <c r="W36" i="4" s="1"/>
  <c r="X36" i="4" s="1"/>
  <c r="U36" i="4"/>
  <c r="AJ17" i="4"/>
  <c r="AM17" i="4" s="1"/>
  <c r="AF17" i="4"/>
  <c r="AG17" i="4" s="1"/>
  <c r="AI17" i="4" s="1"/>
  <c r="AE17" i="4"/>
  <c r="K17" i="4"/>
  <c r="AL16" i="4" a="1"/>
  <c r="AL16" i="4" s="1"/>
  <c r="AK16" i="4" a="1"/>
  <c r="AK16" i="4" s="1"/>
  <c r="M19" i="4"/>
  <c r="N19" i="4" s="1"/>
  <c r="Z19" i="4" s="1"/>
  <c r="C20" i="4"/>
  <c r="AH16" i="4"/>
  <c r="AC18" i="4"/>
  <c r="AD18" i="4" s="1"/>
  <c r="AA18" i="4"/>
  <c r="M20" i="4" l="1"/>
  <c r="N20" i="4" s="1"/>
  <c r="Z20" i="4" s="1"/>
  <c r="C21" i="4"/>
  <c r="AC19" i="4"/>
  <c r="AD19" i="4" s="1"/>
  <c r="AA19" i="4"/>
  <c r="AL17" i="4" a="1"/>
  <c r="AL17" i="4" s="1"/>
  <c r="AK17" i="4" a="1"/>
  <c r="AK17" i="4" s="1"/>
  <c r="AH17" i="4"/>
  <c r="AE18" i="4"/>
  <c r="K18" i="4"/>
  <c r="AF18" i="4"/>
  <c r="AG18" i="4" s="1"/>
  <c r="AI18" i="4" s="1"/>
  <c r="AJ18" i="4"/>
  <c r="AM18" i="4" s="1"/>
  <c r="A39" i="4"/>
  <c r="V37" i="4"/>
  <c r="W37" i="4" s="1"/>
  <c r="X37" i="4" s="1"/>
  <c r="U37" i="4"/>
  <c r="A40" i="4" l="1"/>
  <c r="V38" i="4"/>
  <c r="W38" i="4" s="1"/>
  <c r="X38" i="4" s="1"/>
  <c r="U38" i="4"/>
  <c r="AL18" i="4" a="1"/>
  <c r="AL18" i="4" s="1"/>
  <c r="AK18" i="4" a="1"/>
  <c r="AK18" i="4" s="1"/>
  <c r="AH18" i="4"/>
  <c r="AJ19" i="4"/>
  <c r="AM19" i="4" s="1"/>
  <c r="AF19" i="4"/>
  <c r="AG19" i="4" s="1"/>
  <c r="AI19" i="4" s="1"/>
  <c r="AE19" i="4"/>
  <c r="K19" i="4"/>
  <c r="M21" i="4"/>
  <c r="N21" i="4" s="1"/>
  <c r="Z21" i="4" s="1"/>
  <c r="C22" i="4"/>
  <c r="AC20" i="4"/>
  <c r="AD20" i="4" s="1"/>
  <c r="AA20" i="4"/>
  <c r="AC21" i="4" l="1"/>
  <c r="AD21" i="4" s="1"/>
  <c r="AA21" i="4"/>
  <c r="M22" i="4"/>
  <c r="N22" i="4" s="1"/>
  <c r="Z22" i="4" s="1"/>
  <c r="C23" i="4"/>
  <c r="AK19" i="4" a="1"/>
  <c r="AK19" i="4" s="1"/>
  <c r="AL19" i="4" a="1"/>
  <c r="AL19" i="4" s="1"/>
  <c r="K20" i="4"/>
  <c r="AJ20" i="4"/>
  <c r="AM20" i="4" s="1"/>
  <c r="AF20" i="4"/>
  <c r="AG20" i="4" s="1"/>
  <c r="AI20" i="4" s="1"/>
  <c r="AE20" i="4"/>
  <c r="AH19" i="4"/>
  <c r="A41" i="4"/>
  <c r="V39" i="4"/>
  <c r="W39" i="4" s="1"/>
  <c r="X39" i="4" s="1"/>
  <c r="U39" i="4"/>
  <c r="AH20" i="4" l="1"/>
  <c r="M23" i="4"/>
  <c r="N23" i="4" s="1"/>
  <c r="Z23" i="4" s="1"/>
  <c r="C24" i="4"/>
  <c r="AL20" i="4" a="1"/>
  <c r="AL20" i="4" s="1"/>
  <c r="AK20" i="4" a="1"/>
  <c r="AK20" i="4" s="1"/>
  <c r="AC22" i="4"/>
  <c r="AD22" i="4" s="1"/>
  <c r="AA22" i="4"/>
  <c r="A42" i="4"/>
  <c r="V40" i="4"/>
  <c r="W40" i="4" s="1"/>
  <c r="X40" i="4" s="1"/>
  <c r="U40" i="4"/>
  <c r="AJ21" i="4"/>
  <c r="AM21" i="4" s="1"/>
  <c r="AF21" i="4"/>
  <c r="AG21" i="4" s="1"/>
  <c r="AI21" i="4" s="1"/>
  <c r="AE21" i="4"/>
  <c r="K21" i="4"/>
  <c r="AH21" i="4" l="1"/>
  <c r="A43" i="4"/>
  <c r="V41" i="4"/>
  <c r="W41" i="4" s="1"/>
  <c r="X41" i="4" s="1"/>
  <c r="U41" i="4"/>
  <c r="M24" i="4"/>
  <c r="N24" i="4" s="1"/>
  <c r="Z24" i="4" s="1"/>
  <c r="C25" i="4"/>
  <c r="AC23" i="4"/>
  <c r="AD23" i="4" s="1"/>
  <c r="AA23" i="4"/>
  <c r="K22" i="4"/>
  <c r="AJ22" i="4"/>
  <c r="AM22" i="4" s="1"/>
  <c r="AE22" i="4"/>
  <c r="AF22" i="4"/>
  <c r="AG22" i="4" s="1"/>
  <c r="AI22" i="4" s="1"/>
  <c r="AK21" i="4" a="1"/>
  <c r="AK21" i="4" s="1"/>
  <c r="AL21" i="4" a="1"/>
  <c r="AL21" i="4" s="1"/>
  <c r="AH22" i="4" l="1"/>
  <c r="AC24" i="4"/>
  <c r="AD24" i="4" s="1"/>
  <c r="AA24" i="4"/>
  <c r="A44" i="4"/>
  <c r="V42" i="4"/>
  <c r="W42" i="4" s="1"/>
  <c r="X42" i="4" s="1"/>
  <c r="U42" i="4"/>
  <c r="AJ23" i="4"/>
  <c r="AM23" i="4" s="1"/>
  <c r="AF23" i="4"/>
  <c r="AG23" i="4" s="1"/>
  <c r="AI23" i="4" s="1"/>
  <c r="AE23" i="4"/>
  <c r="K23" i="4"/>
  <c r="M25" i="4"/>
  <c r="N25" i="4" s="1"/>
  <c r="Z25" i="4" s="1"/>
  <c r="C26" i="4"/>
  <c r="AL22" i="4" a="1"/>
  <c r="AL22" i="4" s="1"/>
  <c r="AK22" i="4" a="1"/>
  <c r="AK22" i="4" s="1"/>
  <c r="M26" i="4" l="1"/>
  <c r="N26" i="4" s="1"/>
  <c r="Z26" i="4" s="1"/>
  <c r="C27" i="4"/>
  <c r="AH23" i="4"/>
  <c r="A45" i="4"/>
  <c r="V43" i="4"/>
  <c r="W43" i="4" s="1"/>
  <c r="X43" i="4" s="1"/>
  <c r="U43" i="4"/>
  <c r="AC25" i="4"/>
  <c r="AD25" i="4" s="1"/>
  <c r="AA25" i="4"/>
  <c r="K24" i="4"/>
  <c r="AJ24" i="4"/>
  <c r="AM24" i="4" s="1"/>
  <c r="AE24" i="4"/>
  <c r="AF24" i="4"/>
  <c r="AG24" i="4" s="1"/>
  <c r="AI24" i="4" s="1"/>
  <c r="AK23" i="4" a="1"/>
  <c r="AK23" i="4" s="1"/>
  <c r="AL23" i="4" a="1"/>
  <c r="AL23" i="4" s="1"/>
  <c r="AJ25" i="4" l="1"/>
  <c r="AM25" i="4" s="1"/>
  <c r="AF25" i="4"/>
  <c r="AG25" i="4" s="1"/>
  <c r="AI25" i="4" s="1"/>
  <c r="AE25" i="4"/>
  <c r="K25" i="4"/>
  <c r="AH24" i="4"/>
  <c r="AL24" i="4" a="1"/>
  <c r="AL24" i="4" s="1"/>
  <c r="AK24" i="4" a="1"/>
  <c r="AK24" i="4" s="1"/>
  <c r="A46" i="4"/>
  <c r="U44" i="4"/>
  <c r="V44" i="4"/>
  <c r="W44" i="4" s="1"/>
  <c r="X44" i="4" s="1"/>
  <c r="M27" i="4"/>
  <c r="N27" i="4" s="1"/>
  <c r="Z27" i="4" s="1"/>
  <c r="C28" i="4"/>
  <c r="AC26" i="4"/>
  <c r="AD26" i="4" s="1"/>
  <c r="AA26" i="4"/>
  <c r="AC27" i="4" l="1"/>
  <c r="AD27" i="4" s="1"/>
  <c r="AA27" i="4"/>
  <c r="AK25" i="4" a="1"/>
  <c r="AK25" i="4" s="1"/>
  <c r="AL25" i="4" a="1"/>
  <c r="AL25" i="4" s="1"/>
  <c r="AH25" i="4"/>
  <c r="K26" i="4"/>
  <c r="AJ26" i="4"/>
  <c r="AM26" i="4" s="1"/>
  <c r="AE26" i="4"/>
  <c r="AF26" i="4"/>
  <c r="AG26" i="4" s="1"/>
  <c r="AI26" i="4" s="1"/>
  <c r="M28" i="4"/>
  <c r="N28" i="4" s="1"/>
  <c r="Z28" i="4" s="1"/>
  <c r="C29" i="4"/>
  <c r="A47" i="4"/>
  <c r="V45" i="4"/>
  <c r="W45" i="4" s="1"/>
  <c r="X45" i="4" s="1"/>
  <c r="U45" i="4"/>
  <c r="A48" i="4" l="1"/>
  <c r="U46" i="4"/>
  <c r="V46" i="4"/>
  <c r="W46" i="4" s="1"/>
  <c r="X46" i="4" s="1"/>
  <c r="M29" i="4"/>
  <c r="N29" i="4" s="1"/>
  <c r="Z29" i="4" s="1"/>
  <c r="C30" i="4"/>
  <c r="AL26" i="4" a="1"/>
  <c r="AL26" i="4" s="1"/>
  <c r="AK26" i="4" a="1"/>
  <c r="AK26" i="4" s="1"/>
  <c r="AC28" i="4"/>
  <c r="AD28" i="4" s="1"/>
  <c r="AA28" i="4"/>
  <c r="AH26" i="4"/>
  <c r="AJ27" i="4"/>
  <c r="AM27" i="4" s="1"/>
  <c r="AF27" i="4"/>
  <c r="AG27" i="4" s="1"/>
  <c r="AI27" i="4" s="1"/>
  <c r="AE27" i="4"/>
  <c r="K27" i="4"/>
  <c r="AK27" i="4" l="1" a="1"/>
  <c r="AK27" i="4" s="1"/>
  <c r="AL27" i="4" a="1"/>
  <c r="AL27" i="4" s="1"/>
  <c r="AH27" i="4"/>
  <c r="AC29" i="4"/>
  <c r="AD29" i="4" s="1"/>
  <c r="AA29" i="4"/>
  <c r="K28" i="4"/>
  <c r="AJ28" i="4"/>
  <c r="AM28" i="4" s="1"/>
  <c r="AE28" i="4"/>
  <c r="AF28" i="4"/>
  <c r="AG28" i="4" s="1"/>
  <c r="AI28" i="4" s="1"/>
  <c r="M30" i="4"/>
  <c r="N30" i="4" s="1"/>
  <c r="Z30" i="4" s="1"/>
  <c r="C31" i="4"/>
  <c r="A49" i="4"/>
  <c r="U47" i="4"/>
  <c r="V47" i="4"/>
  <c r="W47" i="4" s="1"/>
  <c r="X47" i="4" s="1"/>
  <c r="AH28" i="4" l="1"/>
  <c r="AC30" i="4"/>
  <c r="AD30" i="4" s="1"/>
  <c r="AA30" i="4"/>
  <c r="AL28" i="4" a="1"/>
  <c r="AL28" i="4" s="1"/>
  <c r="AK28" i="4" a="1"/>
  <c r="AK28" i="4" s="1"/>
  <c r="M31" i="4"/>
  <c r="N31" i="4" s="1"/>
  <c r="Z31" i="4" s="1"/>
  <c r="C32" i="4"/>
  <c r="A50" i="4"/>
  <c r="V48" i="4"/>
  <c r="W48" i="4" s="1"/>
  <c r="X48" i="4" s="1"/>
  <c r="U48" i="4"/>
  <c r="AE29" i="4"/>
  <c r="AJ29" i="4"/>
  <c r="AM29" i="4" s="1"/>
  <c r="AF29" i="4"/>
  <c r="AG29" i="4" s="1"/>
  <c r="AI29" i="4" s="1"/>
  <c r="K29" i="4"/>
  <c r="AL29" i="4" l="1" a="1"/>
  <c r="AL29" i="4" s="1"/>
  <c r="AK29" i="4" a="1"/>
  <c r="AK29" i="4" s="1"/>
  <c r="AH29" i="4"/>
  <c r="A51" i="4"/>
  <c r="U49" i="4"/>
  <c r="V49" i="4"/>
  <c r="W49" i="4" s="1"/>
  <c r="X49" i="4" s="1"/>
  <c r="AC31" i="4"/>
  <c r="AD31" i="4" s="1"/>
  <c r="AA31" i="4"/>
  <c r="M32" i="4"/>
  <c r="N32" i="4" s="1"/>
  <c r="Z32" i="4" s="1"/>
  <c r="C33" i="4"/>
  <c r="AE30" i="4"/>
  <c r="AF30" i="4"/>
  <c r="AG30" i="4" s="1"/>
  <c r="AI30" i="4" s="1"/>
  <c r="K30" i="4"/>
  <c r="AJ30" i="4"/>
  <c r="AM30" i="4" s="1"/>
  <c r="AH30" i="4" l="1"/>
  <c r="AL30" i="4" a="1"/>
  <c r="AL30" i="4" s="1"/>
  <c r="AK30" i="4" a="1"/>
  <c r="AK30" i="4" s="1"/>
  <c r="AC32" i="4"/>
  <c r="AD32" i="4" s="1"/>
  <c r="AA32" i="4"/>
  <c r="AF31" i="4"/>
  <c r="AG31" i="4" s="1"/>
  <c r="AI31" i="4" s="1"/>
  <c r="AE31" i="4"/>
  <c r="K31" i="4"/>
  <c r="AJ31" i="4"/>
  <c r="AM31" i="4" s="1"/>
  <c r="M33" i="4"/>
  <c r="N33" i="4" s="1"/>
  <c r="Z33" i="4" s="1"/>
  <c r="C34" i="4"/>
  <c r="A52" i="4"/>
  <c r="U50" i="4"/>
  <c r="V50" i="4"/>
  <c r="W50" i="4" s="1"/>
  <c r="X50" i="4" s="1"/>
  <c r="AC33" i="4" l="1"/>
  <c r="AD33" i="4" s="1"/>
  <c r="AA33" i="4"/>
  <c r="M34" i="4"/>
  <c r="N34" i="4" s="1"/>
  <c r="Z34" i="4" s="1"/>
  <c r="C35" i="4"/>
  <c r="A53" i="4"/>
  <c r="V51" i="4"/>
  <c r="W51" i="4" s="1"/>
  <c r="X51" i="4" s="1"/>
  <c r="U51" i="4"/>
  <c r="AL31" i="4" a="1"/>
  <c r="AL31" i="4" s="1"/>
  <c r="AK31" i="4" a="1"/>
  <c r="AK31" i="4" s="1"/>
  <c r="AH31" i="4"/>
  <c r="AE32" i="4"/>
  <c r="K32" i="4"/>
  <c r="AJ32" i="4"/>
  <c r="AM32" i="4" s="1"/>
  <c r="AF32" i="4"/>
  <c r="AG32" i="4" s="1"/>
  <c r="AI32" i="4" s="1"/>
  <c r="AL32" i="4" l="1" a="1"/>
  <c r="AL32" i="4" s="1"/>
  <c r="AK32" i="4" a="1"/>
  <c r="AK32" i="4" s="1"/>
  <c r="AH32" i="4"/>
  <c r="AC34" i="4"/>
  <c r="AD34" i="4" s="1"/>
  <c r="AA34" i="4"/>
  <c r="A54" i="4"/>
  <c r="U52" i="4"/>
  <c r="V52" i="4"/>
  <c r="W52" i="4" s="1"/>
  <c r="X52" i="4" s="1"/>
  <c r="M35" i="4"/>
  <c r="N35" i="4" s="1"/>
  <c r="Z35" i="4" s="1"/>
  <c r="C36" i="4"/>
  <c r="AJ33" i="4"/>
  <c r="AM33" i="4" s="1"/>
  <c r="AF33" i="4"/>
  <c r="AG33" i="4" s="1"/>
  <c r="AI33" i="4" s="1"/>
  <c r="AE33" i="4"/>
  <c r="K33" i="4"/>
  <c r="AL33" i="4" l="1" a="1"/>
  <c r="AL33" i="4" s="1"/>
  <c r="AK33" i="4" a="1"/>
  <c r="AK33" i="4" s="1"/>
  <c r="M36" i="4"/>
  <c r="N36" i="4" s="1"/>
  <c r="Z36" i="4" s="1"/>
  <c r="C37" i="4"/>
  <c r="AH33" i="4"/>
  <c r="AE34" i="4"/>
  <c r="AJ34" i="4"/>
  <c r="AM34" i="4" s="1"/>
  <c r="K34" i="4"/>
  <c r="AF34" i="4"/>
  <c r="AG34" i="4" s="1"/>
  <c r="AI34" i="4" s="1"/>
  <c r="AC35" i="4"/>
  <c r="AD35" i="4" s="1"/>
  <c r="AA35" i="4"/>
  <c r="A55" i="4"/>
  <c r="V53" i="4"/>
  <c r="W53" i="4" s="1"/>
  <c r="X53" i="4" s="1"/>
  <c r="U53" i="4"/>
  <c r="A56" i="4" l="1"/>
  <c r="V54" i="4"/>
  <c r="W54" i="4" s="1"/>
  <c r="X54" i="4" s="1"/>
  <c r="U54" i="4"/>
  <c r="AH34" i="4"/>
  <c r="AL34" i="4" a="1"/>
  <c r="AL34" i="4" s="1"/>
  <c r="AK34" i="4" a="1"/>
  <c r="AK34" i="4" s="1"/>
  <c r="M37" i="4"/>
  <c r="N37" i="4" s="1"/>
  <c r="Z37" i="4" s="1"/>
  <c r="C38" i="4"/>
  <c r="AC36" i="4"/>
  <c r="AD36" i="4" s="1"/>
  <c r="AA36" i="4"/>
  <c r="AJ35" i="4"/>
  <c r="AM35" i="4" s="1"/>
  <c r="AF35" i="4"/>
  <c r="AG35" i="4" s="1"/>
  <c r="AI35" i="4" s="1"/>
  <c r="AE35" i="4"/>
  <c r="K35" i="4"/>
  <c r="M38" i="4" l="1"/>
  <c r="N38" i="4" s="1"/>
  <c r="Z38" i="4" s="1"/>
  <c r="C39" i="4"/>
  <c r="AE36" i="4"/>
  <c r="K36" i="4"/>
  <c r="AJ36" i="4"/>
  <c r="AM36" i="4" s="1"/>
  <c r="AF36" i="4"/>
  <c r="AG36" i="4" s="1"/>
  <c r="AI36" i="4" s="1"/>
  <c r="AL35" i="4" a="1"/>
  <c r="AL35" i="4" s="1"/>
  <c r="AK35" i="4" a="1"/>
  <c r="AK35" i="4" s="1"/>
  <c r="AH35" i="4"/>
  <c r="AC37" i="4"/>
  <c r="AD37" i="4" s="1"/>
  <c r="AA37" i="4"/>
  <c r="A57" i="4"/>
  <c r="V55" i="4"/>
  <c r="W55" i="4" s="1"/>
  <c r="X55" i="4" s="1"/>
  <c r="U55" i="4"/>
  <c r="AH36" i="4" l="1"/>
  <c r="A58" i="4"/>
  <c r="U56" i="4"/>
  <c r="V56" i="4"/>
  <c r="W56" i="4" s="1"/>
  <c r="X56" i="4" s="1"/>
  <c r="AL36" i="4" a="1"/>
  <c r="AL36" i="4" s="1"/>
  <c r="AK36" i="4" a="1"/>
  <c r="AK36" i="4" s="1"/>
  <c r="M39" i="4"/>
  <c r="N39" i="4" s="1"/>
  <c r="Z39" i="4" s="1"/>
  <c r="C40" i="4"/>
  <c r="AJ37" i="4"/>
  <c r="AM37" i="4" s="1"/>
  <c r="AF37" i="4"/>
  <c r="AG37" i="4" s="1"/>
  <c r="AI37" i="4" s="1"/>
  <c r="AE37" i="4"/>
  <c r="K37" i="4"/>
  <c r="AC38" i="4"/>
  <c r="AD38" i="4" s="1"/>
  <c r="AA38" i="4"/>
  <c r="AL37" i="4" l="1" a="1"/>
  <c r="AL37" i="4" s="1"/>
  <c r="AK37" i="4" a="1"/>
  <c r="AK37" i="4" s="1"/>
  <c r="AH37" i="4"/>
  <c r="M40" i="4"/>
  <c r="N40" i="4" s="1"/>
  <c r="Z40" i="4" s="1"/>
  <c r="C41" i="4"/>
  <c r="AE38" i="4"/>
  <c r="K38" i="4"/>
  <c r="AJ38" i="4"/>
  <c r="AM38" i="4" s="1"/>
  <c r="AF38" i="4"/>
  <c r="AG38" i="4" s="1"/>
  <c r="AI38" i="4" s="1"/>
  <c r="AC39" i="4"/>
  <c r="AD39" i="4" s="1"/>
  <c r="AA39" i="4"/>
  <c r="A59" i="4"/>
  <c r="V57" i="4"/>
  <c r="W57" i="4" s="1"/>
  <c r="X57" i="4" s="1"/>
  <c r="U57" i="4"/>
  <c r="A60" i="4" l="1"/>
  <c r="V58" i="4"/>
  <c r="W58" i="4" s="1"/>
  <c r="X58" i="4" s="1"/>
  <c r="U58" i="4"/>
  <c r="AH38" i="4"/>
  <c r="M41" i="4"/>
  <c r="N41" i="4" s="1"/>
  <c r="Z41" i="4" s="1"/>
  <c r="C42" i="4"/>
  <c r="AJ39" i="4"/>
  <c r="AF39" i="4"/>
  <c r="AG39" i="4" s="1"/>
  <c r="AI39" i="4" s="1"/>
  <c r="AE39" i="4"/>
  <c r="K39" i="4"/>
  <c r="AL38" i="4" a="1"/>
  <c r="AL38" i="4" s="1"/>
  <c r="AK38" i="4" a="1"/>
  <c r="AK38" i="4" s="1"/>
  <c r="AC40" i="4"/>
  <c r="AD40" i="4" s="1"/>
  <c r="AA40" i="4"/>
  <c r="AF40" i="4" l="1"/>
  <c r="AG40" i="4" s="1"/>
  <c r="AI40" i="4" s="1"/>
  <c r="AE40" i="4"/>
  <c r="K40" i="4"/>
  <c r="AJ40" i="4"/>
  <c r="AM40" i="4" s="1"/>
  <c r="AH39" i="4"/>
  <c r="AC41" i="4"/>
  <c r="AD41" i="4" s="1"/>
  <c r="AA41" i="4"/>
  <c r="AL39" i="4" a="1"/>
  <c r="AL39" i="4" s="1"/>
  <c r="AK39" i="4" a="1"/>
  <c r="AK39" i="4" s="1"/>
  <c r="M42" i="4"/>
  <c r="N42" i="4" s="1"/>
  <c r="Z42" i="4" s="1"/>
  <c r="C43" i="4"/>
  <c r="A61" i="4"/>
  <c r="V59" i="4"/>
  <c r="W59" i="4" s="1"/>
  <c r="X59" i="4" s="1"/>
  <c r="U59" i="4"/>
  <c r="M43" i="4" l="1"/>
  <c r="N43" i="4" s="1"/>
  <c r="Z43" i="4" s="1"/>
  <c r="C44" i="4"/>
  <c r="A62" i="4"/>
  <c r="U60" i="4"/>
  <c r="V60" i="4"/>
  <c r="W60" i="4" s="1"/>
  <c r="X60" i="4" s="1"/>
  <c r="AL40" i="4" a="1"/>
  <c r="AL40" i="4" s="1"/>
  <c r="AK40" i="4" a="1"/>
  <c r="AK40" i="4" s="1"/>
  <c r="AC42" i="4"/>
  <c r="AD42" i="4" s="1"/>
  <c r="AA42" i="4"/>
  <c r="AH40" i="4"/>
  <c r="AF41" i="4"/>
  <c r="AG41" i="4" s="1"/>
  <c r="AI41" i="4" s="1"/>
  <c r="AE41" i="4"/>
  <c r="K41" i="4"/>
  <c r="AJ41" i="4"/>
  <c r="AM41" i="4" s="1"/>
  <c r="AH41" i="4" l="1"/>
  <c r="AL41" i="4" a="1"/>
  <c r="AL41" i="4" s="1"/>
  <c r="AK41" i="4" a="1"/>
  <c r="AK41" i="4" s="1"/>
  <c r="AF42" i="4"/>
  <c r="AG42" i="4" s="1"/>
  <c r="AI42" i="4" s="1"/>
  <c r="AE42" i="4"/>
  <c r="K42" i="4"/>
  <c r="AJ42" i="4"/>
  <c r="AM42" i="4" s="1"/>
  <c r="A63" i="4"/>
  <c r="V61" i="4"/>
  <c r="W61" i="4" s="1"/>
  <c r="X61" i="4" s="1"/>
  <c r="U61" i="4"/>
  <c r="M44" i="4"/>
  <c r="N44" i="4" s="1"/>
  <c r="Z44" i="4" s="1"/>
  <c r="C45" i="4"/>
  <c r="AC43" i="4"/>
  <c r="AD43" i="4" s="1"/>
  <c r="AA43" i="4"/>
  <c r="AC44" i="4" l="1"/>
  <c r="AD44" i="4" s="1"/>
  <c r="AA44" i="4"/>
  <c r="AF43" i="4"/>
  <c r="AG43" i="4" s="1"/>
  <c r="AI43" i="4" s="1"/>
  <c r="AE43" i="4"/>
  <c r="K43" i="4"/>
  <c r="AJ43" i="4"/>
  <c r="AM43" i="4" s="1"/>
  <c r="M45" i="4"/>
  <c r="N45" i="4" s="1"/>
  <c r="Z45" i="4" s="1"/>
  <c r="C46" i="4"/>
  <c r="A64" i="4"/>
  <c r="U62" i="4"/>
  <c r="V62" i="4"/>
  <c r="W62" i="4" s="1"/>
  <c r="X62" i="4" s="1"/>
  <c r="AH42" i="4"/>
  <c r="AL42" i="4" a="1"/>
  <c r="AL42" i="4" s="1"/>
  <c r="AK42" i="4" a="1"/>
  <c r="AK42" i="4" s="1"/>
  <c r="M46" i="4" l="1"/>
  <c r="N46" i="4" s="1"/>
  <c r="Z46" i="4" s="1"/>
  <c r="C47" i="4"/>
  <c r="A65" i="4"/>
  <c r="V63" i="4"/>
  <c r="W63" i="4" s="1"/>
  <c r="X63" i="4" s="1"/>
  <c r="U63" i="4"/>
  <c r="AH43" i="4"/>
  <c r="AC45" i="4"/>
  <c r="AD45" i="4" s="1"/>
  <c r="AA45" i="4"/>
  <c r="AL43" i="4" a="1"/>
  <c r="AL43" i="4" s="1"/>
  <c r="AK43" i="4" a="1"/>
  <c r="AK43" i="4" s="1"/>
  <c r="AF44" i="4"/>
  <c r="AG44" i="4" s="1"/>
  <c r="AI44" i="4" s="1"/>
  <c r="AE44" i="4"/>
  <c r="K44" i="4"/>
  <c r="AJ44" i="4"/>
  <c r="AM44" i="4" s="1"/>
  <c r="AL44" i="4" l="1" a="1"/>
  <c r="AL44" i="4" s="1"/>
  <c r="AK44" i="4" a="1"/>
  <c r="AK44" i="4" s="1"/>
  <c r="V64" i="4"/>
  <c r="W64" i="4" s="1"/>
  <c r="X64" i="4" s="1"/>
  <c r="A66" i="4"/>
  <c r="U64" i="4"/>
  <c r="M47" i="4"/>
  <c r="N47" i="4" s="1"/>
  <c r="Z47" i="4" s="1"/>
  <c r="C48" i="4"/>
  <c r="AH44" i="4"/>
  <c r="AF45" i="4"/>
  <c r="AG45" i="4" s="1"/>
  <c r="AI45" i="4" s="1"/>
  <c r="AE45" i="4"/>
  <c r="K45" i="4"/>
  <c r="AJ45" i="4"/>
  <c r="AM45" i="4" s="1"/>
  <c r="AC46" i="4"/>
  <c r="AD46" i="4" s="1"/>
  <c r="AA46" i="4"/>
  <c r="AC47" i="4" l="1"/>
  <c r="AD47" i="4" s="1"/>
  <c r="AA47" i="4"/>
  <c r="M48" i="4"/>
  <c r="N48" i="4" s="1"/>
  <c r="Z48" i="4" s="1"/>
  <c r="C49" i="4"/>
  <c r="A67" i="4"/>
  <c r="V65" i="4"/>
  <c r="W65" i="4" s="1"/>
  <c r="X65" i="4" s="1"/>
  <c r="U65" i="4"/>
  <c r="AH45" i="4"/>
  <c r="AF46" i="4"/>
  <c r="AG46" i="4" s="1"/>
  <c r="AI46" i="4" s="1"/>
  <c r="AE46" i="4"/>
  <c r="K46" i="4"/>
  <c r="AJ46" i="4"/>
  <c r="AM46" i="4" s="1"/>
  <c r="AL45" i="4" a="1"/>
  <c r="AL45" i="4" s="1"/>
  <c r="AK45" i="4" a="1"/>
  <c r="AK45" i="4" s="1"/>
  <c r="AH46" i="4" l="1"/>
  <c r="AC48" i="4"/>
  <c r="AD48" i="4" s="1"/>
  <c r="AA48" i="4"/>
  <c r="AL46" i="4" a="1"/>
  <c r="AL46" i="4" s="1"/>
  <c r="AK46" i="4" a="1"/>
  <c r="AK46" i="4" s="1"/>
  <c r="A68" i="4"/>
  <c r="V66" i="4"/>
  <c r="W66" i="4" s="1"/>
  <c r="X66" i="4" s="1"/>
  <c r="U66" i="4"/>
  <c r="M49" i="4"/>
  <c r="N49" i="4" s="1"/>
  <c r="Z49" i="4" s="1"/>
  <c r="C50" i="4"/>
  <c r="AJ47" i="4"/>
  <c r="AM47" i="4" s="1"/>
  <c r="AF47" i="4"/>
  <c r="AG47" i="4" s="1"/>
  <c r="AI47" i="4" s="1"/>
  <c r="K47" i="4"/>
  <c r="AE47" i="4"/>
  <c r="AL47" i="4" l="1" a="1"/>
  <c r="AL47" i="4" s="1"/>
  <c r="AK47" i="4" a="1"/>
  <c r="AK47" i="4" s="1"/>
  <c r="A69" i="4"/>
  <c r="V67" i="4"/>
  <c r="W67" i="4" s="1"/>
  <c r="X67" i="4" s="1"/>
  <c r="U67" i="4"/>
  <c r="AC49" i="4"/>
  <c r="AD49" i="4" s="1"/>
  <c r="AA49" i="4"/>
  <c r="AJ48" i="4"/>
  <c r="AM48" i="4" s="1"/>
  <c r="AF48" i="4"/>
  <c r="AG48" i="4" s="1"/>
  <c r="AI48" i="4" s="1"/>
  <c r="AE48" i="4"/>
  <c r="K48" i="4"/>
  <c r="AH47" i="4"/>
  <c r="M50" i="4"/>
  <c r="N50" i="4" s="1"/>
  <c r="Z50" i="4" s="1"/>
  <c r="C51" i="4"/>
  <c r="AK48" i="4" l="1" a="1"/>
  <c r="AK48" i="4" s="1"/>
  <c r="AL48" i="4" a="1"/>
  <c r="AL48" i="4" s="1"/>
  <c r="AH48" i="4"/>
  <c r="M51" i="4"/>
  <c r="N51" i="4" s="1"/>
  <c r="Z51" i="4" s="1"/>
  <c r="C52" i="4"/>
  <c r="AJ49" i="4"/>
  <c r="AM49" i="4" s="1"/>
  <c r="AF49" i="4"/>
  <c r="AG49" i="4" s="1"/>
  <c r="AI49" i="4" s="1"/>
  <c r="AE49" i="4"/>
  <c r="K49" i="4"/>
  <c r="AC50" i="4"/>
  <c r="AD50" i="4" s="1"/>
  <c r="AA50" i="4"/>
  <c r="V68" i="4"/>
  <c r="W68" i="4" s="1"/>
  <c r="X68" i="4" s="1"/>
  <c r="A70" i="4"/>
  <c r="U68" i="4"/>
  <c r="AL49" i="4" l="1" a="1"/>
  <c r="AL49" i="4" s="1"/>
  <c r="AK49" i="4" a="1"/>
  <c r="AK49" i="4" s="1"/>
  <c r="A71" i="4"/>
  <c r="V69" i="4"/>
  <c r="W69" i="4" s="1"/>
  <c r="X69" i="4" s="1"/>
  <c r="U69" i="4"/>
  <c r="AH49" i="4"/>
  <c r="M52" i="4"/>
  <c r="N52" i="4" s="1"/>
  <c r="Z52" i="4" s="1"/>
  <c r="C53" i="4"/>
  <c r="AC51" i="4"/>
  <c r="AD51" i="4" s="1"/>
  <c r="AA51" i="4"/>
  <c r="AF50" i="4"/>
  <c r="AG50" i="4" s="1"/>
  <c r="AI50" i="4" s="1"/>
  <c r="AE50" i="4"/>
  <c r="K50" i="4"/>
  <c r="AJ50" i="4"/>
  <c r="AM50" i="4" s="1"/>
  <c r="AJ51" i="4" l="1"/>
  <c r="AM51" i="4" s="1"/>
  <c r="AF51" i="4"/>
  <c r="AG51" i="4" s="1"/>
  <c r="AI51" i="4" s="1"/>
  <c r="AE51" i="4"/>
  <c r="K51" i="4"/>
  <c r="M53" i="4"/>
  <c r="N53" i="4" s="1"/>
  <c r="Z53" i="4" s="1"/>
  <c r="C54" i="4"/>
  <c r="AC52" i="4"/>
  <c r="AD52" i="4" s="1"/>
  <c r="AA52" i="4"/>
  <c r="A72" i="4"/>
  <c r="V70" i="4"/>
  <c r="W70" i="4" s="1"/>
  <c r="X70" i="4" s="1"/>
  <c r="U70" i="4"/>
  <c r="AL50" i="4" a="1"/>
  <c r="AL50" i="4" s="1"/>
  <c r="AK50" i="4" a="1"/>
  <c r="AK50" i="4" s="1"/>
  <c r="AH50" i="4"/>
  <c r="AC53" i="4" l="1"/>
  <c r="AD53" i="4" s="1"/>
  <c r="AA53" i="4"/>
  <c r="AL51" i="4" a="1"/>
  <c r="AL51" i="4" s="1"/>
  <c r="AK51" i="4" a="1"/>
  <c r="AK51" i="4" s="1"/>
  <c r="A73" i="4"/>
  <c r="U71" i="4"/>
  <c r="V71" i="4"/>
  <c r="W71" i="4" s="1"/>
  <c r="X71" i="4" s="1"/>
  <c r="M54" i="4"/>
  <c r="N54" i="4" s="1"/>
  <c r="Z54" i="4" s="1"/>
  <c r="C55" i="4"/>
  <c r="AF52" i="4"/>
  <c r="AG52" i="4" s="1"/>
  <c r="AI52" i="4" s="1"/>
  <c r="AJ52" i="4"/>
  <c r="AM52" i="4" s="1"/>
  <c r="AE52" i="4"/>
  <c r="K52" i="4"/>
  <c r="AH51" i="4"/>
  <c r="AL52" i="4" l="1" a="1"/>
  <c r="AL52" i="4" s="1"/>
  <c r="AK52" i="4" a="1"/>
  <c r="AK52" i="4" s="1"/>
  <c r="M55" i="4"/>
  <c r="N55" i="4" s="1"/>
  <c r="Z55" i="4" s="1"/>
  <c r="C56" i="4"/>
  <c r="A74" i="4"/>
  <c r="U72" i="4"/>
  <c r="V72" i="4"/>
  <c r="W72" i="4" s="1"/>
  <c r="X72" i="4" s="1"/>
  <c r="AH52" i="4"/>
  <c r="AC54" i="4"/>
  <c r="AD54" i="4" s="1"/>
  <c r="AA54" i="4"/>
  <c r="AJ53" i="4"/>
  <c r="AM53" i="4" s="1"/>
  <c r="K53" i="4"/>
  <c r="AF53" i="4"/>
  <c r="AG53" i="4" s="1"/>
  <c r="AI53" i="4" s="1"/>
  <c r="AE53" i="4"/>
  <c r="AL53" i="4" l="1" a="1"/>
  <c r="AL53" i="4" s="1"/>
  <c r="AK53" i="4" a="1"/>
  <c r="AK53" i="4" s="1"/>
  <c r="AH53" i="4"/>
  <c r="AF54" i="4"/>
  <c r="AG54" i="4" s="1"/>
  <c r="AI54" i="4" s="1"/>
  <c r="AE54" i="4"/>
  <c r="AJ54" i="4"/>
  <c r="AM54" i="4" s="1"/>
  <c r="K54" i="4"/>
  <c r="A75" i="4"/>
  <c r="U73" i="4"/>
  <c r="V73" i="4"/>
  <c r="W73" i="4" s="1"/>
  <c r="X73" i="4" s="1"/>
  <c r="M56" i="4"/>
  <c r="N56" i="4" s="1"/>
  <c r="Z56" i="4" s="1"/>
  <c r="C57" i="4"/>
  <c r="AC55" i="4"/>
  <c r="AD55" i="4" s="1"/>
  <c r="AA55" i="4"/>
  <c r="AH54" i="4" l="1"/>
  <c r="M57" i="4"/>
  <c r="N57" i="4" s="1"/>
  <c r="Z57" i="4" s="1"/>
  <c r="C58" i="4"/>
  <c r="AC56" i="4"/>
  <c r="AD56" i="4" s="1"/>
  <c r="AA56" i="4"/>
  <c r="AL54" i="4" a="1"/>
  <c r="AL54" i="4" s="1"/>
  <c r="AK54" i="4" a="1"/>
  <c r="AK54" i="4" s="1"/>
  <c r="A76" i="4"/>
  <c r="U74" i="4"/>
  <c r="V74" i="4"/>
  <c r="W74" i="4" s="1"/>
  <c r="X74" i="4" s="1"/>
  <c r="AJ55" i="4"/>
  <c r="AM55" i="4" s="1"/>
  <c r="K55" i="4"/>
  <c r="AF55" i="4"/>
  <c r="AG55" i="4" s="1"/>
  <c r="AI55" i="4" s="1"/>
  <c r="AE55" i="4"/>
  <c r="AH55" i="4" l="1"/>
  <c r="AL55" i="4" a="1"/>
  <c r="AL55" i="4" s="1"/>
  <c r="AK55" i="4" a="1"/>
  <c r="AK55" i="4" s="1"/>
  <c r="V75" i="4"/>
  <c r="W75" i="4" s="1"/>
  <c r="X75" i="4" s="1"/>
  <c r="A77" i="4"/>
  <c r="U75" i="4"/>
  <c r="M58" i="4"/>
  <c r="N58" i="4" s="1"/>
  <c r="Z58" i="4" s="1"/>
  <c r="C59" i="4"/>
  <c r="AC57" i="4"/>
  <c r="AD57" i="4" s="1"/>
  <c r="AA57" i="4"/>
  <c r="AF56" i="4"/>
  <c r="AG56" i="4" s="1"/>
  <c r="AI56" i="4" s="1"/>
  <c r="AE56" i="4"/>
  <c r="AJ56" i="4"/>
  <c r="AM56" i="4" s="1"/>
  <c r="K56" i="4"/>
  <c r="AL56" i="4" l="1" a="1"/>
  <c r="AL56" i="4" s="1"/>
  <c r="AK56" i="4" a="1"/>
  <c r="AK56" i="4" s="1"/>
  <c r="AC58" i="4"/>
  <c r="AD58" i="4" s="1"/>
  <c r="AA58" i="4"/>
  <c r="AH56" i="4"/>
  <c r="AJ57" i="4"/>
  <c r="AM57" i="4" s="1"/>
  <c r="AF57" i="4"/>
  <c r="AG57" i="4" s="1"/>
  <c r="AI57" i="4" s="1"/>
  <c r="AE57" i="4"/>
  <c r="K57" i="4"/>
  <c r="M59" i="4"/>
  <c r="N59" i="4" s="1"/>
  <c r="Z59" i="4" s="1"/>
  <c r="C60" i="4"/>
  <c r="A78" i="4"/>
  <c r="V76" i="4"/>
  <c r="W76" i="4" s="1"/>
  <c r="X76" i="4" s="1"/>
  <c r="U76" i="4"/>
  <c r="AL57" i="4" l="1" a="1"/>
  <c r="AL57" i="4" s="1"/>
  <c r="AK57" i="4" a="1"/>
  <c r="AK57" i="4" s="1"/>
  <c r="AC59" i="4"/>
  <c r="AD59" i="4" s="1"/>
  <c r="AA59" i="4"/>
  <c r="M60" i="4"/>
  <c r="N60" i="4" s="1"/>
  <c r="Z60" i="4" s="1"/>
  <c r="C61" i="4"/>
  <c r="A79" i="4"/>
  <c r="U77" i="4"/>
  <c r="V77" i="4"/>
  <c r="W77" i="4" s="1"/>
  <c r="X77" i="4" s="1"/>
  <c r="AH57" i="4"/>
  <c r="AF58" i="4"/>
  <c r="AG58" i="4" s="1"/>
  <c r="AI58" i="4" s="1"/>
  <c r="AE58" i="4"/>
  <c r="AJ58" i="4"/>
  <c r="AM58" i="4" s="1"/>
  <c r="K58" i="4"/>
  <c r="AL58" i="4" l="1" a="1"/>
  <c r="AL58" i="4" s="1"/>
  <c r="AK58" i="4" a="1"/>
  <c r="AK58" i="4" s="1"/>
  <c r="AC60" i="4"/>
  <c r="AD60" i="4" s="1"/>
  <c r="AA60" i="4"/>
  <c r="AJ59" i="4"/>
  <c r="AM59" i="4" s="1"/>
  <c r="K59" i="4"/>
  <c r="AF59" i="4"/>
  <c r="AG59" i="4" s="1"/>
  <c r="AI59" i="4" s="1"/>
  <c r="AE59" i="4"/>
  <c r="A80" i="4"/>
  <c r="V78" i="4"/>
  <c r="W78" i="4" s="1"/>
  <c r="X78" i="4" s="1"/>
  <c r="U78" i="4"/>
  <c r="M61" i="4"/>
  <c r="N61" i="4" s="1"/>
  <c r="Z61" i="4" s="1"/>
  <c r="C62" i="4"/>
  <c r="AH58" i="4"/>
  <c r="AL59" i="4" l="1" a="1"/>
  <c r="AL59" i="4" s="1"/>
  <c r="AK59" i="4" a="1"/>
  <c r="AK59" i="4" s="1"/>
  <c r="AC61" i="4"/>
  <c r="AD61" i="4" s="1"/>
  <c r="AA61" i="4"/>
  <c r="AH59" i="4"/>
  <c r="M62" i="4"/>
  <c r="N62" i="4" s="1"/>
  <c r="Z62" i="4" s="1"/>
  <c r="C63" i="4"/>
  <c r="A81" i="4"/>
  <c r="U79" i="4"/>
  <c r="V79" i="4"/>
  <c r="W79" i="4" s="1"/>
  <c r="X79" i="4" s="1"/>
  <c r="AF60" i="4"/>
  <c r="AG60" i="4" s="1"/>
  <c r="AI60" i="4" s="1"/>
  <c r="AE60" i="4"/>
  <c r="AJ60" i="4"/>
  <c r="AM60" i="4" s="1"/>
  <c r="K60" i="4"/>
  <c r="AC62" i="4" l="1"/>
  <c r="AD62" i="4" s="1"/>
  <c r="AA62" i="4"/>
  <c r="AH60" i="4"/>
  <c r="M63" i="4"/>
  <c r="N63" i="4" s="1"/>
  <c r="Z63" i="4" s="1"/>
  <c r="C64" i="4"/>
  <c r="AJ61" i="4"/>
  <c r="AM61" i="4" s="1"/>
  <c r="K61" i="4"/>
  <c r="AF61" i="4"/>
  <c r="AG61" i="4" s="1"/>
  <c r="AI61" i="4" s="1"/>
  <c r="AE61" i="4"/>
  <c r="AL60" i="4" a="1"/>
  <c r="AL60" i="4" s="1"/>
  <c r="AK60" i="4" a="1"/>
  <c r="AK60" i="4" s="1"/>
  <c r="A82" i="4"/>
  <c r="V80" i="4"/>
  <c r="W80" i="4" s="1"/>
  <c r="X80" i="4" s="1"/>
  <c r="U80" i="4"/>
  <c r="A83" i="4" l="1"/>
  <c r="V81" i="4"/>
  <c r="W81" i="4" s="1"/>
  <c r="X81" i="4" s="1"/>
  <c r="U81" i="4"/>
  <c r="AH61" i="4"/>
  <c r="AL61" i="4" a="1"/>
  <c r="AL61" i="4" s="1"/>
  <c r="AK61" i="4" a="1"/>
  <c r="AK61" i="4" s="1"/>
  <c r="M64" i="4"/>
  <c r="N64" i="4" s="1"/>
  <c r="Z64" i="4" s="1"/>
  <c r="C65" i="4"/>
  <c r="AC63" i="4"/>
  <c r="AD63" i="4" s="1"/>
  <c r="AA63" i="4"/>
  <c r="AF62" i="4"/>
  <c r="AG62" i="4" s="1"/>
  <c r="AI62" i="4" s="1"/>
  <c r="AE62" i="4"/>
  <c r="AJ62" i="4"/>
  <c r="AM62" i="4" s="1"/>
  <c r="K62" i="4"/>
  <c r="AH62" i="4" l="1"/>
  <c r="K63" i="4"/>
  <c r="AJ63" i="4"/>
  <c r="AM63" i="4" s="1"/>
  <c r="AF63" i="4"/>
  <c r="AG63" i="4" s="1"/>
  <c r="AI63" i="4" s="1"/>
  <c r="AE63" i="4"/>
  <c r="AK62" i="4" a="1"/>
  <c r="AK62" i="4" s="1"/>
  <c r="AL62" i="4" a="1"/>
  <c r="AL62" i="4" s="1"/>
  <c r="AC64" i="4"/>
  <c r="AD64" i="4" s="1"/>
  <c r="AA64" i="4"/>
  <c r="M65" i="4"/>
  <c r="N65" i="4" s="1"/>
  <c r="Z65" i="4" s="1"/>
  <c r="C66" i="4"/>
  <c r="A84" i="4"/>
  <c r="U82" i="4"/>
  <c r="V82" i="4"/>
  <c r="W82" i="4" s="1"/>
  <c r="X82" i="4" s="1"/>
  <c r="A85" i="4" l="1"/>
  <c r="U83" i="4"/>
  <c r="V83" i="4"/>
  <c r="W83" i="4" s="1"/>
  <c r="X83" i="4" s="1"/>
  <c r="AC65" i="4"/>
  <c r="AD65" i="4" s="1"/>
  <c r="AA65" i="4"/>
  <c r="AL63" i="4" a="1"/>
  <c r="AL63" i="4" s="1"/>
  <c r="AK63" i="4" a="1"/>
  <c r="AK63" i="4" s="1"/>
  <c r="AF64" i="4"/>
  <c r="AG64" i="4" s="1"/>
  <c r="AI64" i="4" s="1"/>
  <c r="AE64" i="4"/>
  <c r="K64" i="4"/>
  <c r="AJ64" i="4"/>
  <c r="AM64" i="4" s="1"/>
  <c r="AH63" i="4"/>
  <c r="M66" i="4"/>
  <c r="N66" i="4" s="1"/>
  <c r="Z66" i="4" s="1"/>
  <c r="C67" i="4"/>
  <c r="AC66" i="4" l="1"/>
  <c r="AD66" i="4" s="1"/>
  <c r="AA66" i="4"/>
  <c r="M67" i="4"/>
  <c r="N67" i="4" s="1"/>
  <c r="Z67" i="4" s="1"/>
  <c r="C68" i="4"/>
  <c r="AK64" i="4" a="1"/>
  <c r="AK64" i="4" s="1"/>
  <c r="AL64" i="4" a="1"/>
  <c r="AL64" i="4" s="1"/>
  <c r="AH64" i="4"/>
  <c r="K65" i="4"/>
  <c r="AJ65" i="4"/>
  <c r="AM65" i="4" s="1"/>
  <c r="AE65" i="4"/>
  <c r="AF65" i="4"/>
  <c r="AG65" i="4" s="1"/>
  <c r="AI65" i="4" s="1"/>
  <c r="A86" i="4"/>
  <c r="U84" i="4"/>
  <c r="V84" i="4"/>
  <c r="W84" i="4" s="1"/>
  <c r="X84" i="4" s="1"/>
  <c r="A87" i="4" l="1"/>
  <c r="U85" i="4"/>
  <c r="V85" i="4"/>
  <c r="W85" i="4" s="1"/>
  <c r="X85" i="4" s="1"/>
  <c r="AL65" i="4" a="1"/>
  <c r="AL65" i="4" s="1"/>
  <c r="AK65" i="4" a="1"/>
  <c r="AK65" i="4" s="1"/>
  <c r="AC67" i="4"/>
  <c r="AD67" i="4" s="1"/>
  <c r="AA67" i="4"/>
  <c r="AH65" i="4"/>
  <c r="M68" i="4"/>
  <c r="N68" i="4" s="1"/>
  <c r="Z68" i="4" s="1"/>
  <c r="C69" i="4"/>
  <c r="AJ66" i="4"/>
  <c r="AM66" i="4" s="1"/>
  <c r="AF66" i="4"/>
  <c r="AG66" i="4" s="1"/>
  <c r="AI66" i="4" s="1"/>
  <c r="AE66" i="4"/>
  <c r="K66" i="4"/>
  <c r="AH66" i="4" l="1"/>
  <c r="M69" i="4"/>
  <c r="N69" i="4" s="1"/>
  <c r="Z69" i="4" s="1"/>
  <c r="C70" i="4"/>
  <c r="AK66" i="4" a="1"/>
  <c r="AK66" i="4" s="1"/>
  <c r="AL66" i="4" a="1"/>
  <c r="AL66" i="4" s="1"/>
  <c r="K67" i="4"/>
  <c r="AJ67" i="4"/>
  <c r="AM67" i="4" s="1"/>
  <c r="AE67" i="4"/>
  <c r="AF67" i="4"/>
  <c r="AG67" i="4" s="1"/>
  <c r="AI67" i="4" s="1"/>
  <c r="AC68" i="4"/>
  <c r="AD68" i="4" s="1"/>
  <c r="AA68" i="4"/>
  <c r="A88" i="4"/>
  <c r="V86" i="4"/>
  <c r="W86" i="4" s="1"/>
  <c r="X86" i="4" s="1"/>
  <c r="U86" i="4"/>
  <c r="A89" i="4" l="1"/>
  <c r="V87" i="4"/>
  <c r="W87" i="4" s="1"/>
  <c r="X87" i="4" s="1"/>
  <c r="U87" i="4"/>
  <c r="AJ68" i="4"/>
  <c r="AM68" i="4" s="1"/>
  <c r="AF68" i="4"/>
  <c r="AG68" i="4" s="1"/>
  <c r="AI68" i="4" s="1"/>
  <c r="AE68" i="4"/>
  <c r="K68" i="4"/>
  <c r="AL67" i="4" a="1"/>
  <c r="AL67" i="4" s="1"/>
  <c r="AK67" i="4" a="1"/>
  <c r="AK67" i="4" s="1"/>
  <c r="AH67" i="4"/>
  <c r="M70" i="4"/>
  <c r="N70" i="4" s="1"/>
  <c r="Z70" i="4" s="1"/>
  <c r="C71" i="4"/>
  <c r="AC69" i="4"/>
  <c r="AD69" i="4" s="1"/>
  <c r="AA69" i="4"/>
  <c r="K69" i="4" l="1"/>
  <c r="AJ69" i="4"/>
  <c r="AM69" i="4" s="1"/>
  <c r="AF69" i="4"/>
  <c r="AG69" i="4" s="1"/>
  <c r="AI69" i="4" s="1"/>
  <c r="AE69" i="4"/>
  <c r="M71" i="4"/>
  <c r="N71" i="4" s="1"/>
  <c r="Z71" i="4" s="1"/>
  <c r="C72" i="4"/>
  <c r="AK68" i="4" a="1"/>
  <c r="AK68" i="4" s="1"/>
  <c r="AL68" i="4" a="1"/>
  <c r="AL68" i="4" s="1"/>
  <c r="AH68" i="4"/>
  <c r="AC70" i="4"/>
  <c r="AD70" i="4" s="1"/>
  <c r="AA70" i="4"/>
  <c r="A90" i="4"/>
  <c r="V88" i="4"/>
  <c r="W88" i="4" s="1"/>
  <c r="X88" i="4" s="1"/>
  <c r="U88" i="4"/>
  <c r="A91" i="4" l="1"/>
  <c r="V89" i="4"/>
  <c r="W89" i="4" s="1"/>
  <c r="X89" i="4" s="1"/>
  <c r="U89" i="4"/>
  <c r="AJ70" i="4"/>
  <c r="AM70" i="4" s="1"/>
  <c r="AF70" i="4"/>
  <c r="AG70" i="4" s="1"/>
  <c r="AI70" i="4" s="1"/>
  <c r="AE70" i="4"/>
  <c r="K70" i="4"/>
  <c r="M72" i="4"/>
  <c r="N72" i="4" s="1"/>
  <c r="Z72" i="4" s="1"/>
  <c r="C73" i="4"/>
  <c r="AC71" i="4"/>
  <c r="AD71" i="4" s="1"/>
  <c r="AA71" i="4"/>
  <c r="AH69" i="4"/>
  <c r="AL69" i="4" a="1"/>
  <c r="AL69" i="4" s="1"/>
  <c r="AK69" i="4" a="1"/>
  <c r="AK69" i="4" s="1"/>
  <c r="AJ71" i="4" l="1"/>
  <c r="AM71" i="4" s="1"/>
  <c r="AF71" i="4"/>
  <c r="AG71" i="4" s="1"/>
  <c r="AI71" i="4" s="1"/>
  <c r="K71" i="4"/>
  <c r="AE71" i="4"/>
  <c r="AL70" i="4" a="1"/>
  <c r="AL70" i="4" s="1"/>
  <c r="AK70" i="4" a="1"/>
  <c r="AK70" i="4" s="1"/>
  <c r="AH70" i="4"/>
  <c r="AC72" i="4"/>
  <c r="AD72" i="4" s="1"/>
  <c r="AA72" i="4"/>
  <c r="M73" i="4"/>
  <c r="N73" i="4" s="1"/>
  <c r="Z73" i="4" s="1"/>
  <c r="C74" i="4"/>
  <c r="A92" i="4"/>
  <c r="U90" i="4"/>
  <c r="V90" i="4"/>
  <c r="W90" i="4" s="1"/>
  <c r="X90" i="4" s="1"/>
  <c r="A93" i="4" l="1"/>
  <c r="V91" i="4"/>
  <c r="W91" i="4" s="1"/>
  <c r="X91" i="4" s="1"/>
  <c r="U91" i="4"/>
  <c r="AC73" i="4"/>
  <c r="AD73" i="4" s="1"/>
  <c r="AA73" i="4"/>
  <c r="AJ72" i="4"/>
  <c r="AM72" i="4" s="1"/>
  <c r="K72" i="4"/>
  <c r="AF72" i="4"/>
  <c r="AG72" i="4" s="1"/>
  <c r="AI72" i="4" s="1"/>
  <c r="AE72" i="4"/>
  <c r="M74" i="4"/>
  <c r="N74" i="4" s="1"/>
  <c r="Z74" i="4" s="1"/>
  <c r="C75" i="4"/>
  <c r="AH71" i="4"/>
  <c r="AL71" i="4" a="1"/>
  <c r="AL71" i="4" s="1"/>
  <c r="AK71" i="4" a="1"/>
  <c r="AK71" i="4" s="1"/>
  <c r="M75" i="4" l="1"/>
  <c r="N75" i="4" s="1"/>
  <c r="Z75" i="4" s="1"/>
  <c r="C76" i="4"/>
  <c r="AH72" i="4"/>
  <c r="AC74" i="4"/>
  <c r="AD74" i="4" s="1"/>
  <c r="AA74" i="4"/>
  <c r="AL72" i="4" a="1"/>
  <c r="AL72" i="4" s="1"/>
  <c r="AK72" i="4" a="1"/>
  <c r="AK72" i="4" s="1"/>
  <c r="AJ73" i="4"/>
  <c r="AM73" i="4" s="1"/>
  <c r="K73" i="4"/>
  <c r="AF73" i="4"/>
  <c r="AG73" i="4" s="1"/>
  <c r="AI73" i="4" s="1"/>
  <c r="AE73" i="4"/>
  <c r="A94" i="4"/>
  <c r="U92" i="4"/>
  <c r="V92" i="4"/>
  <c r="W92" i="4" s="1"/>
  <c r="X92" i="4" s="1"/>
  <c r="AH73" i="4" l="1"/>
  <c r="A95" i="4"/>
  <c r="U93" i="4"/>
  <c r="V93" i="4"/>
  <c r="W93" i="4" s="1"/>
  <c r="X93" i="4" s="1"/>
  <c r="AL73" i="4" a="1"/>
  <c r="AL73" i="4" s="1"/>
  <c r="AK73" i="4" a="1"/>
  <c r="AK73" i="4" s="1"/>
  <c r="M76" i="4"/>
  <c r="N76" i="4" s="1"/>
  <c r="Z76" i="4" s="1"/>
  <c r="C77" i="4"/>
  <c r="K74" i="4"/>
  <c r="AF74" i="4"/>
  <c r="AG74" i="4" s="1"/>
  <c r="AI74" i="4" s="1"/>
  <c r="AE74" i="4"/>
  <c r="AJ74" i="4"/>
  <c r="AM74" i="4" s="1"/>
  <c r="AC75" i="4"/>
  <c r="AD75" i="4" s="1"/>
  <c r="AA75" i="4"/>
  <c r="K75" i="4" l="1"/>
  <c r="AJ75" i="4"/>
  <c r="AM75" i="4" s="1"/>
  <c r="AE75" i="4"/>
  <c r="AF75" i="4"/>
  <c r="AG75" i="4" s="1"/>
  <c r="AI75" i="4" s="1"/>
  <c r="AH74" i="4"/>
  <c r="AK74" i="4" a="1"/>
  <c r="AK74" i="4" s="1"/>
  <c r="AL74" i="4" a="1"/>
  <c r="AL74" i="4" s="1"/>
  <c r="M77" i="4"/>
  <c r="N77" i="4" s="1"/>
  <c r="Z77" i="4" s="1"/>
  <c r="C78" i="4"/>
  <c r="AC76" i="4"/>
  <c r="AD76" i="4" s="1"/>
  <c r="AA76" i="4"/>
  <c r="A96" i="4"/>
  <c r="V94" i="4"/>
  <c r="W94" i="4" s="1"/>
  <c r="X94" i="4" s="1"/>
  <c r="U94" i="4"/>
  <c r="AF76" i="4" l="1"/>
  <c r="AG76" i="4" s="1"/>
  <c r="AI76" i="4" s="1"/>
  <c r="AE76" i="4"/>
  <c r="AJ76" i="4"/>
  <c r="AM76" i="4" s="1"/>
  <c r="K76" i="4"/>
  <c r="A97" i="4"/>
  <c r="V95" i="4"/>
  <c r="W95" i="4" s="1"/>
  <c r="X95" i="4" s="1"/>
  <c r="U95" i="4"/>
  <c r="M78" i="4"/>
  <c r="N78" i="4" s="1"/>
  <c r="Z78" i="4" s="1"/>
  <c r="C79" i="4"/>
  <c r="AC77" i="4"/>
  <c r="AD77" i="4" s="1"/>
  <c r="AA77" i="4"/>
  <c r="AH75" i="4"/>
  <c r="AL75" i="4" a="1"/>
  <c r="AL75" i="4" s="1"/>
  <c r="AK75" i="4" a="1"/>
  <c r="AK75" i="4" s="1"/>
  <c r="K77" i="4" l="1"/>
  <c r="AF77" i="4"/>
  <c r="AG77" i="4" s="1"/>
  <c r="AI77" i="4" s="1"/>
  <c r="AE77" i="4"/>
  <c r="AJ77" i="4"/>
  <c r="AM77" i="4" s="1"/>
  <c r="AC78" i="4"/>
  <c r="AD78" i="4" s="1"/>
  <c r="AA78" i="4"/>
  <c r="M79" i="4"/>
  <c r="N79" i="4" s="1"/>
  <c r="Z79" i="4" s="1"/>
  <c r="C80" i="4"/>
  <c r="A98" i="4"/>
  <c r="U96" i="4"/>
  <c r="V96" i="4"/>
  <c r="W96" i="4" s="1"/>
  <c r="X96" i="4" s="1"/>
  <c r="AK76" i="4" a="1"/>
  <c r="AK76" i="4" s="1"/>
  <c r="AL76" i="4" a="1"/>
  <c r="AL76" i="4" s="1"/>
  <c r="AH76" i="4"/>
  <c r="M80" i="4" l="1"/>
  <c r="N80" i="4" s="1"/>
  <c r="Z80" i="4" s="1"/>
  <c r="C81" i="4"/>
  <c r="AJ78" i="4"/>
  <c r="AM78" i="4" s="1"/>
  <c r="K78" i="4"/>
  <c r="AF78" i="4"/>
  <c r="AG78" i="4" s="1"/>
  <c r="AI78" i="4" s="1"/>
  <c r="AE78" i="4"/>
  <c r="AC79" i="4"/>
  <c r="AD79" i="4" s="1"/>
  <c r="AA79" i="4"/>
  <c r="A99" i="4"/>
  <c r="U97" i="4"/>
  <c r="V97" i="4"/>
  <c r="W97" i="4" s="1"/>
  <c r="X97" i="4" s="1"/>
  <c r="AH77" i="4"/>
  <c r="AL77" i="4" a="1"/>
  <c r="AL77" i="4" s="1"/>
  <c r="AK77" i="4" a="1"/>
  <c r="AK77" i="4" s="1"/>
  <c r="A100" i="4" l="1"/>
  <c r="U98" i="4"/>
  <c r="V98" i="4"/>
  <c r="W98" i="4" s="1"/>
  <c r="X98" i="4" s="1"/>
  <c r="K79" i="4"/>
  <c r="AJ79" i="4"/>
  <c r="AM79" i="4" s="1"/>
  <c r="AF79" i="4"/>
  <c r="AG79" i="4" s="1"/>
  <c r="AI79" i="4" s="1"/>
  <c r="AE79" i="4"/>
  <c r="AH78" i="4"/>
  <c r="AK78" i="4" a="1"/>
  <c r="AK78" i="4" s="1"/>
  <c r="AL78" i="4" a="1"/>
  <c r="AL78" i="4" s="1"/>
  <c r="M81" i="4"/>
  <c r="N81" i="4" s="1"/>
  <c r="Z81" i="4" s="1"/>
  <c r="C82" i="4"/>
  <c r="AC80" i="4"/>
  <c r="AD80" i="4" s="1"/>
  <c r="AA80" i="4"/>
  <c r="M82" i="4" l="1"/>
  <c r="N82" i="4" s="1"/>
  <c r="Z82" i="4" s="1"/>
  <c r="C83" i="4"/>
  <c r="AC81" i="4"/>
  <c r="AD81" i="4" s="1"/>
  <c r="AA81" i="4"/>
  <c r="AH79" i="4"/>
  <c r="AJ80" i="4"/>
  <c r="AM80" i="4" s="1"/>
  <c r="K80" i="4"/>
  <c r="AF80" i="4"/>
  <c r="AG80" i="4" s="1"/>
  <c r="AI80" i="4" s="1"/>
  <c r="AE80" i="4"/>
  <c r="AL79" i="4" a="1"/>
  <c r="AL79" i="4" s="1"/>
  <c r="AK79" i="4" a="1"/>
  <c r="AK79" i="4" s="1"/>
  <c r="A101" i="4"/>
  <c r="U99" i="4"/>
  <c r="V99" i="4"/>
  <c r="W99" i="4" s="1"/>
  <c r="X99" i="4" s="1"/>
  <c r="A102" i="4" l="1"/>
  <c r="V100" i="4"/>
  <c r="W100" i="4" s="1"/>
  <c r="X100" i="4" s="1"/>
  <c r="U100" i="4"/>
  <c r="AK80" i="4" a="1"/>
  <c r="AK80" i="4" s="1"/>
  <c r="AL80" i="4" a="1"/>
  <c r="AL80" i="4" s="1"/>
  <c r="AH80" i="4"/>
  <c r="K81" i="4"/>
  <c r="AF81" i="4"/>
  <c r="AG81" i="4" s="1"/>
  <c r="AI81" i="4" s="1"/>
  <c r="AE81" i="4"/>
  <c r="AJ81" i="4"/>
  <c r="AM81" i="4" s="1"/>
  <c r="M83" i="4"/>
  <c r="N83" i="4" s="1"/>
  <c r="Z83" i="4" s="1"/>
  <c r="C84" i="4"/>
  <c r="AC82" i="4"/>
  <c r="AD82" i="4" s="1"/>
  <c r="AA82" i="4"/>
  <c r="AC83" i="4" l="1"/>
  <c r="AD83" i="4" s="1"/>
  <c r="AA83" i="4"/>
  <c r="AH81" i="4"/>
  <c r="AJ82" i="4"/>
  <c r="AM82" i="4" s="1"/>
  <c r="K82" i="4"/>
  <c r="AF82" i="4"/>
  <c r="AG82" i="4" s="1"/>
  <c r="AI82" i="4" s="1"/>
  <c r="AE82" i="4"/>
  <c r="M84" i="4"/>
  <c r="N84" i="4" s="1"/>
  <c r="Z84" i="4" s="1"/>
  <c r="C85" i="4"/>
  <c r="AL81" i="4" a="1"/>
  <c r="AL81" i="4" s="1"/>
  <c r="AK81" i="4" a="1"/>
  <c r="AK81" i="4" s="1"/>
  <c r="A103" i="4"/>
  <c r="U101" i="4"/>
  <c r="V101" i="4"/>
  <c r="W101" i="4" s="1"/>
  <c r="X101" i="4" s="1"/>
  <c r="M85" i="4" l="1"/>
  <c r="N85" i="4" s="1"/>
  <c r="Z85" i="4" s="1"/>
  <c r="C86" i="4"/>
  <c r="AH82" i="4"/>
  <c r="AC84" i="4"/>
  <c r="AD84" i="4" s="1"/>
  <c r="AA84" i="4"/>
  <c r="A104" i="4"/>
  <c r="U102" i="4"/>
  <c r="V102" i="4"/>
  <c r="W102" i="4" s="1"/>
  <c r="X102" i="4" s="1"/>
  <c r="AK82" i="4" a="1"/>
  <c r="AK82" i="4" s="1"/>
  <c r="AL82" i="4" a="1"/>
  <c r="AL82" i="4" s="1"/>
  <c r="K83" i="4"/>
  <c r="AJ83" i="4"/>
  <c r="AM83" i="4" s="1"/>
  <c r="AF83" i="4"/>
  <c r="AG83" i="4" s="1"/>
  <c r="AI83" i="4" s="1"/>
  <c r="AE83" i="4"/>
  <c r="AH83" i="4" l="1"/>
  <c r="AL83" i="4" a="1"/>
  <c r="AL83" i="4" s="1"/>
  <c r="AK83" i="4" a="1"/>
  <c r="AK83" i="4" s="1"/>
  <c r="A105" i="4"/>
  <c r="U103" i="4"/>
  <c r="V103" i="4"/>
  <c r="W103" i="4" s="1"/>
  <c r="X103" i="4" s="1"/>
  <c r="M86" i="4"/>
  <c r="N86" i="4" s="1"/>
  <c r="Z86" i="4" s="1"/>
  <c r="C87" i="4"/>
  <c r="AJ84" i="4"/>
  <c r="AM84" i="4" s="1"/>
  <c r="AE84" i="4"/>
  <c r="K84" i="4"/>
  <c r="AF84" i="4"/>
  <c r="AG84" i="4" s="1"/>
  <c r="AI84" i="4" s="1"/>
  <c r="AC85" i="4"/>
  <c r="AD85" i="4" s="1"/>
  <c r="AA85" i="4"/>
  <c r="AH84" i="4" l="1"/>
  <c r="AK84" i="4" a="1"/>
  <c r="AK84" i="4" s="1"/>
  <c r="AL84" i="4" a="1"/>
  <c r="AL84" i="4" s="1"/>
  <c r="M87" i="4"/>
  <c r="N87" i="4" s="1"/>
  <c r="Z87" i="4" s="1"/>
  <c r="C88" i="4"/>
  <c r="A106" i="4"/>
  <c r="U104" i="4"/>
  <c r="V104" i="4"/>
  <c r="W104" i="4" s="1"/>
  <c r="X104" i="4" s="1"/>
  <c r="K85" i="4"/>
  <c r="AF85" i="4"/>
  <c r="AG85" i="4" s="1"/>
  <c r="AI85" i="4" s="1"/>
  <c r="AE85" i="4"/>
  <c r="AJ85" i="4"/>
  <c r="AM85" i="4" s="1"/>
  <c r="AC86" i="4"/>
  <c r="AD86" i="4" s="1"/>
  <c r="AA86" i="4"/>
  <c r="AJ86" i="4" l="1"/>
  <c r="AM86" i="4" s="1"/>
  <c r="AF86" i="4"/>
  <c r="AG86" i="4" s="1"/>
  <c r="AI86" i="4" s="1"/>
  <c r="K86" i="4"/>
  <c r="AE86" i="4"/>
  <c r="AL85" i="4" a="1"/>
  <c r="AL85" i="4" s="1"/>
  <c r="AK85" i="4" a="1"/>
  <c r="AK85" i="4" s="1"/>
  <c r="AH85" i="4"/>
  <c r="AC87" i="4"/>
  <c r="AD87" i="4" s="1"/>
  <c r="AA87" i="4"/>
  <c r="A107" i="4"/>
  <c r="U105" i="4"/>
  <c r="V105" i="4"/>
  <c r="W105" i="4" s="1"/>
  <c r="X105" i="4" s="1"/>
  <c r="M88" i="4"/>
  <c r="N88" i="4" s="1"/>
  <c r="Z88" i="4" s="1"/>
  <c r="C89" i="4"/>
  <c r="AC88" i="4" l="1"/>
  <c r="AD88" i="4" s="1"/>
  <c r="AA88" i="4"/>
  <c r="M89" i="4"/>
  <c r="N89" i="4" s="1"/>
  <c r="Z89" i="4" s="1"/>
  <c r="C90" i="4"/>
  <c r="A108" i="4"/>
  <c r="U106" i="4"/>
  <c r="V106" i="4"/>
  <c r="W106" i="4" s="1"/>
  <c r="X106" i="4" s="1"/>
  <c r="AF87" i="4"/>
  <c r="AG87" i="4" s="1"/>
  <c r="AI87" i="4" s="1"/>
  <c r="K87" i="4"/>
  <c r="AE87" i="4"/>
  <c r="AJ87" i="4"/>
  <c r="AM87" i="4" s="1"/>
  <c r="AH86" i="4"/>
  <c r="AK86" i="4" a="1"/>
  <c r="AK86" i="4" s="1"/>
  <c r="AL86" i="4" a="1"/>
  <c r="AL86" i="4" s="1"/>
  <c r="AL87" i="4" l="1" a="1"/>
  <c r="AL87" i="4" s="1"/>
  <c r="AK87" i="4" a="1"/>
  <c r="AK87" i="4" s="1"/>
  <c r="AC89" i="4"/>
  <c r="AD89" i="4" s="1"/>
  <c r="AA89" i="4"/>
  <c r="AH87" i="4"/>
  <c r="A109" i="4"/>
  <c r="V107" i="4"/>
  <c r="W107" i="4" s="1"/>
  <c r="X107" i="4" s="1"/>
  <c r="U107" i="4"/>
  <c r="M90" i="4"/>
  <c r="N90" i="4" s="1"/>
  <c r="Z90" i="4" s="1"/>
  <c r="C91" i="4"/>
  <c r="AJ88" i="4"/>
  <c r="AM88" i="4" s="1"/>
  <c r="AF88" i="4"/>
  <c r="AG88" i="4" s="1"/>
  <c r="AI88" i="4" s="1"/>
  <c r="K88" i="4"/>
  <c r="AE88" i="4"/>
  <c r="M91" i="4" l="1"/>
  <c r="N91" i="4" s="1"/>
  <c r="Z91" i="4" s="1"/>
  <c r="C92" i="4"/>
  <c r="AK88" i="4" a="1"/>
  <c r="AK88" i="4" s="1"/>
  <c r="AL88" i="4" a="1"/>
  <c r="AL88" i="4" s="1"/>
  <c r="A110" i="4"/>
  <c r="U108" i="4"/>
  <c r="V108" i="4"/>
  <c r="W108" i="4" s="1"/>
  <c r="X108" i="4" s="1"/>
  <c r="AH88" i="4"/>
  <c r="AC90" i="4"/>
  <c r="AD90" i="4" s="1"/>
  <c r="AA90" i="4"/>
  <c r="AF89" i="4"/>
  <c r="AG89" i="4" s="1"/>
  <c r="AI89" i="4" s="1"/>
  <c r="K89" i="4"/>
  <c r="AE89" i="4"/>
  <c r="AJ89" i="4"/>
  <c r="AM89" i="4" s="1"/>
  <c r="AH89" i="4" l="1"/>
  <c r="AJ90" i="4"/>
  <c r="AM90" i="4" s="1"/>
  <c r="AF90" i="4"/>
  <c r="AG90" i="4" s="1"/>
  <c r="AI90" i="4" s="1"/>
  <c r="K90" i="4"/>
  <c r="AE90" i="4"/>
  <c r="AL89" i="4" a="1"/>
  <c r="AL89" i="4" s="1"/>
  <c r="AK89" i="4" a="1"/>
  <c r="AK89" i="4" s="1"/>
  <c r="M92" i="4"/>
  <c r="N92" i="4" s="1"/>
  <c r="Z92" i="4" s="1"/>
  <c r="C93" i="4"/>
  <c r="A111" i="4"/>
  <c r="V109" i="4"/>
  <c r="W109" i="4" s="1"/>
  <c r="X109" i="4" s="1"/>
  <c r="U109" i="4"/>
  <c r="AC91" i="4"/>
  <c r="AD91" i="4" s="1"/>
  <c r="AA91" i="4"/>
  <c r="A112" i="4" l="1"/>
  <c r="U110" i="4"/>
  <c r="V110" i="4"/>
  <c r="W110" i="4" s="1"/>
  <c r="X110" i="4" s="1"/>
  <c r="AF91" i="4"/>
  <c r="AG91" i="4" s="1"/>
  <c r="AI91" i="4" s="1"/>
  <c r="K91" i="4"/>
  <c r="AJ91" i="4"/>
  <c r="AM91" i="4" s="1"/>
  <c r="AE91" i="4"/>
  <c r="M93" i="4"/>
  <c r="N93" i="4" s="1"/>
  <c r="Z93" i="4" s="1"/>
  <c r="C94" i="4"/>
  <c r="AC92" i="4"/>
  <c r="AD92" i="4" s="1"/>
  <c r="AA92" i="4"/>
  <c r="AH90" i="4"/>
  <c r="AK90" i="4" a="1"/>
  <c r="AK90" i="4" s="1"/>
  <c r="AL90" i="4" a="1"/>
  <c r="AL90" i="4" s="1"/>
  <c r="M94" i="4" l="1"/>
  <c r="N94" i="4" s="1"/>
  <c r="Z94" i="4" s="1"/>
  <c r="C95" i="4"/>
  <c r="AC93" i="4"/>
  <c r="AD93" i="4" s="1"/>
  <c r="AA93" i="4"/>
  <c r="AH91" i="4"/>
  <c r="AL91" i="4" a="1"/>
  <c r="AL91" i="4" s="1"/>
  <c r="AK91" i="4" a="1"/>
  <c r="AK91" i="4" s="1"/>
  <c r="AJ92" i="4"/>
  <c r="AM92" i="4" s="1"/>
  <c r="AF92" i="4"/>
  <c r="AG92" i="4" s="1"/>
  <c r="AI92" i="4" s="1"/>
  <c r="K92" i="4"/>
  <c r="AE92" i="4"/>
  <c r="A113" i="4"/>
  <c r="V111" i="4"/>
  <c r="W111" i="4" s="1"/>
  <c r="X111" i="4" s="1"/>
  <c r="U111" i="4"/>
  <c r="A114" i="4" l="1"/>
  <c r="U112" i="4"/>
  <c r="V112" i="4"/>
  <c r="W112" i="4" s="1"/>
  <c r="X112" i="4" s="1"/>
  <c r="AK92" i="4" a="1"/>
  <c r="AK92" i="4" s="1"/>
  <c r="AL92" i="4" a="1"/>
  <c r="AL92" i="4" s="1"/>
  <c r="AF93" i="4"/>
  <c r="AG93" i="4" s="1"/>
  <c r="AI93" i="4" s="1"/>
  <c r="K93" i="4"/>
  <c r="AJ93" i="4"/>
  <c r="AM93" i="4" s="1"/>
  <c r="AE93" i="4"/>
  <c r="AH92" i="4"/>
  <c r="M95" i="4"/>
  <c r="N95" i="4" s="1"/>
  <c r="Z95" i="4" s="1"/>
  <c r="C96" i="4"/>
  <c r="AC94" i="4"/>
  <c r="AD94" i="4" s="1"/>
  <c r="AA94" i="4"/>
  <c r="AJ94" i="4" l="1"/>
  <c r="AM94" i="4" s="1"/>
  <c r="AF94" i="4"/>
  <c r="AG94" i="4" s="1"/>
  <c r="AI94" i="4" s="1"/>
  <c r="K94" i="4"/>
  <c r="AE94" i="4"/>
  <c r="AC95" i="4"/>
  <c r="AD95" i="4" s="1"/>
  <c r="AA95" i="4"/>
  <c r="M96" i="4"/>
  <c r="N96" i="4" s="1"/>
  <c r="Z96" i="4" s="1"/>
  <c r="C97" i="4"/>
  <c r="AH93" i="4"/>
  <c r="AL93" i="4" a="1"/>
  <c r="AL93" i="4" s="1"/>
  <c r="AK93" i="4" a="1"/>
  <c r="AK93" i="4" s="1"/>
  <c r="A115" i="4"/>
  <c r="U113" i="4"/>
  <c r="V113" i="4"/>
  <c r="W113" i="4" s="1"/>
  <c r="X113" i="4" s="1"/>
  <c r="A116" i="4" l="1"/>
  <c r="V114" i="4"/>
  <c r="W114" i="4" s="1"/>
  <c r="X114" i="4" s="1"/>
  <c r="U114" i="4"/>
  <c r="AF95" i="4"/>
  <c r="AG95" i="4" s="1"/>
  <c r="AI95" i="4" s="1"/>
  <c r="K95" i="4"/>
  <c r="AE95" i="4"/>
  <c r="AJ95" i="4"/>
  <c r="AM95" i="4" s="1"/>
  <c r="AH94" i="4"/>
  <c r="AC96" i="4"/>
  <c r="AD96" i="4" s="1"/>
  <c r="AA96" i="4"/>
  <c r="AK94" i="4" a="1"/>
  <c r="AK94" i="4" s="1"/>
  <c r="AL94" i="4" a="1"/>
  <c r="AL94" i="4" s="1"/>
  <c r="M97" i="4"/>
  <c r="N97" i="4" s="1"/>
  <c r="Z97" i="4" s="1"/>
  <c r="C98" i="4"/>
  <c r="AC97" i="4" l="1"/>
  <c r="AD97" i="4" s="1"/>
  <c r="AA97" i="4"/>
  <c r="AF96" i="4"/>
  <c r="AG96" i="4" s="1"/>
  <c r="AI96" i="4" s="1"/>
  <c r="K96" i="4"/>
  <c r="AE96" i="4"/>
  <c r="AJ96" i="4"/>
  <c r="AM96" i="4" s="1"/>
  <c r="AL95" i="4" a="1"/>
  <c r="AL95" i="4" s="1"/>
  <c r="AK95" i="4" a="1"/>
  <c r="AK95" i="4" s="1"/>
  <c r="AH95" i="4"/>
  <c r="M98" i="4"/>
  <c r="N98" i="4" s="1"/>
  <c r="Z98" i="4" s="1"/>
  <c r="C99" i="4"/>
  <c r="A117" i="4"/>
  <c r="V115" i="4"/>
  <c r="W115" i="4" s="1"/>
  <c r="X115" i="4" s="1"/>
  <c r="U115" i="4"/>
  <c r="A118" i="4" l="1"/>
  <c r="V116" i="4"/>
  <c r="W116" i="4" s="1"/>
  <c r="X116" i="4" s="1"/>
  <c r="U116" i="4"/>
  <c r="AK96" i="4" a="1"/>
  <c r="AK96" i="4" s="1"/>
  <c r="AL96" i="4" a="1"/>
  <c r="AL96" i="4" s="1"/>
  <c r="M99" i="4"/>
  <c r="N99" i="4" s="1"/>
  <c r="Z99" i="4" s="1"/>
  <c r="C100" i="4"/>
  <c r="AC98" i="4"/>
  <c r="AD98" i="4" s="1"/>
  <c r="AA98" i="4"/>
  <c r="AH96" i="4"/>
  <c r="K97" i="4"/>
  <c r="AF97" i="4"/>
  <c r="AG97" i="4" s="1"/>
  <c r="AI97" i="4" s="1"/>
  <c r="AE97" i="4"/>
  <c r="AJ97" i="4"/>
  <c r="AM97" i="4" s="1"/>
  <c r="AK97" i="4" l="1" a="1"/>
  <c r="AK97" i="4" s="1"/>
  <c r="AL97" i="4" a="1"/>
  <c r="AL97" i="4" s="1"/>
  <c r="AC99" i="4"/>
  <c r="AD99" i="4" s="1"/>
  <c r="AA99" i="4"/>
  <c r="M100" i="4"/>
  <c r="N100" i="4" s="1"/>
  <c r="Z100" i="4" s="1"/>
  <c r="C101" i="4"/>
  <c r="AH97" i="4"/>
  <c r="AF98" i="4"/>
  <c r="AG98" i="4" s="1"/>
  <c r="AI98" i="4" s="1"/>
  <c r="K98" i="4"/>
  <c r="AE98" i="4"/>
  <c r="AJ98" i="4"/>
  <c r="AM98" i="4" s="1"/>
  <c r="A119" i="4"/>
  <c r="V117" i="4"/>
  <c r="W117" i="4" s="1"/>
  <c r="X117" i="4" s="1"/>
  <c r="U117" i="4"/>
  <c r="A120" i="4" l="1"/>
  <c r="V118" i="4"/>
  <c r="W118" i="4" s="1"/>
  <c r="X118" i="4" s="1"/>
  <c r="U118" i="4"/>
  <c r="AH98" i="4"/>
  <c r="AC100" i="4"/>
  <c r="AD100" i="4" s="1"/>
  <c r="AA100" i="4"/>
  <c r="AK98" i="4" a="1"/>
  <c r="AK98" i="4" s="1"/>
  <c r="AL98" i="4" a="1"/>
  <c r="AL98" i="4" s="1"/>
  <c r="K99" i="4"/>
  <c r="AJ99" i="4"/>
  <c r="AM99" i="4" s="1"/>
  <c r="AE99" i="4"/>
  <c r="AF99" i="4"/>
  <c r="AG99" i="4" s="1"/>
  <c r="AI99" i="4" s="1"/>
  <c r="M101" i="4"/>
  <c r="N101" i="4" s="1"/>
  <c r="Z101" i="4" s="1"/>
  <c r="C102" i="4"/>
  <c r="M102" i="4" l="1"/>
  <c r="N102" i="4" s="1"/>
  <c r="Z102" i="4" s="1"/>
  <c r="C103" i="4"/>
  <c r="AH99" i="4"/>
  <c r="AF100" i="4"/>
  <c r="AG100" i="4" s="1"/>
  <c r="AI100" i="4" s="1"/>
  <c r="AJ100" i="4"/>
  <c r="AM100" i="4" s="1"/>
  <c r="K100" i="4"/>
  <c r="AE100" i="4"/>
  <c r="AC101" i="4"/>
  <c r="AD101" i="4" s="1"/>
  <c r="AA101" i="4"/>
  <c r="AL99" i="4" a="1"/>
  <c r="AL99" i="4" s="1"/>
  <c r="AK99" i="4" a="1"/>
  <c r="AK99" i="4" s="1"/>
  <c r="A121" i="4"/>
  <c r="V119" i="4"/>
  <c r="W119" i="4" s="1"/>
  <c r="X119" i="4" s="1"/>
  <c r="U119" i="4"/>
  <c r="A122" i="4" l="1"/>
  <c r="V120" i="4"/>
  <c r="W120" i="4" s="1"/>
  <c r="X120" i="4" s="1"/>
  <c r="U120" i="4"/>
  <c r="AK100" i="4" a="1"/>
  <c r="AK100" i="4" s="1"/>
  <c r="AL100" i="4" a="1"/>
  <c r="AL100" i="4" s="1"/>
  <c r="AH100" i="4"/>
  <c r="M103" i="4"/>
  <c r="N103" i="4" s="1"/>
  <c r="Z103" i="4" s="1"/>
  <c r="C104" i="4"/>
  <c r="K101" i="4"/>
  <c r="AJ101" i="4"/>
  <c r="AM101" i="4" s="1"/>
  <c r="AF101" i="4"/>
  <c r="AG101" i="4" s="1"/>
  <c r="AI101" i="4" s="1"/>
  <c r="AE101" i="4"/>
  <c r="AC102" i="4"/>
  <c r="AD102" i="4" s="1"/>
  <c r="AA102" i="4"/>
  <c r="AH101" i="4" l="1"/>
  <c r="AF102" i="4"/>
  <c r="AG102" i="4" s="1"/>
  <c r="AI102" i="4" s="1"/>
  <c r="AJ102" i="4"/>
  <c r="AM102" i="4" s="1"/>
  <c r="K102" i="4"/>
  <c r="AE102" i="4"/>
  <c r="AL101" i="4" a="1"/>
  <c r="AL101" i="4" s="1"/>
  <c r="AK101" i="4" a="1"/>
  <c r="AK101" i="4" s="1"/>
  <c r="AC103" i="4"/>
  <c r="AD103" i="4" s="1"/>
  <c r="AA103" i="4"/>
  <c r="M104" i="4"/>
  <c r="N104" i="4" s="1"/>
  <c r="Z104" i="4" s="1"/>
  <c r="C105" i="4"/>
  <c r="A123" i="4"/>
  <c r="V121" i="4"/>
  <c r="W121" i="4" s="1"/>
  <c r="X121" i="4" s="1"/>
  <c r="U121" i="4"/>
  <c r="AC104" i="4" l="1"/>
  <c r="AD104" i="4" s="1"/>
  <c r="AA104" i="4"/>
  <c r="K103" i="4"/>
  <c r="AJ103" i="4"/>
  <c r="AM103" i="4" s="1"/>
  <c r="AE103" i="4"/>
  <c r="AF103" i="4"/>
  <c r="AG103" i="4" s="1"/>
  <c r="AI103" i="4" s="1"/>
  <c r="AK102" i="4" a="1"/>
  <c r="AK102" i="4" s="1"/>
  <c r="AL102" i="4" a="1"/>
  <c r="AL102" i="4" s="1"/>
  <c r="A124" i="4"/>
  <c r="V122" i="4"/>
  <c r="W122" i="4" s="1"/>
  <c r="X122" i="4" s="1"/>
  <c r="U122" i="4"/>
  <c r="M105" i="4"/>
  <c r="N105" i="4" s="1"/>
  <c r="Z105" i="4" s="1"/>
  <c r="C106" i="4"/>
  <c r="AH102" i="4"/>
  <c r="AC105" i="4" l="1"/>
  <c r="AD105" i="4" s="1"/>
  <c r="AA105" i="4"/>
  <c r="A125" i="4"/>
  <c r="V123" i="4"/>
  <c r="W123" i="4" s="1"/>
  <c r="X123" i="4" s="1"/>
  <c r="U123" i="4"/>
  <c r="M106" i="4"/>
  <c r="N106" i="4" s="1"/>
  <c r="Z106" i="4" s="1"/>
  <c r="C107" i="4"/>
  <c r="AL103" i="4" a="1"/>
  <c r="AL103" i="4" s="1"/>
  <c r="AK103" i="4" a="1"/>
  <c r="AK103" i="4" s="1"/>
  <c r="AH103" i="4"/>
  <c r="AF104" i="4"/>
  <c r="AG104" i="4" s="1"/>
  <c r="AI104" i="4" s="1"/>
  <c r="AJ104" i="4"/>
  <c r="AM104" i="4" s="1"/>
  <c r="K104" i="4"/>
  <c r="AE104" i="4"/>
  <c r="AK104" i="4" l="1" a="1"/>
  <c r="AK104" i="4" s="1"/>
  <c r="AL104" i="4" a="1"/>
  <c r="AL104" i="4" s="1"/>
  <c r="AH104" i="4"/>
  <c r="AC106" i="4"/>
  <c r="AD106" i="4" s="1"/>
  <c r="AA106" i="4"/>
  <c r="M107" i="4"/>
  <c r="N107" i="4" s="1"/>
  <c r="Z107" i="4" s="1"/>
  <c r="C108" i="4"/>
  <c r="A126" i="4"/>
  <c r="U124" i="4"/>
  <c r="V124" i="4"/>
  <c r="W124" i="4" s="1"/>
  <c r="X124" i="4" s="1"/>
  <c r="K105" i="4"/>
  <c r="AF105" i="4"/>
  <c r="AG105" i="4" s="1"/>
  <c r="AI105" i="4" s="1"/>
  <c r="AE105" i="4"/>
  <c r="AJ105" i="4"/>
  <c r="AM105" i="4" s="1"/>
  <c r="AK105" i="4" l="1" a="1"/>
  <c r="AK105" i="4" s="1"/>
  <c r="AL105" i="4" a="1"/>
  <c r="AL105" i="4" s="1"/>
  <c r="AC107" i="4"/>
  <c r="AD107" i="4" s="1"/>
  <c r="AA107" i="4"/>
  <c r="A127" i="4"/>
  <c r="V125" i="4"/>
  <c r="W125" i="4" s="1"/>
  <c r="X125" i="4" s="1"/>
  <c r="U125" i="4"/>
  <c r="AF106" i="4"/>
  <c r="AG106" i="4" s="1"/>
  <c r="AI106" i="4" s="1"/>
  <c r="AJ106" i="4"/>
  <c r="AM106" i="4" s="1"/>
  <c r="K106" i="4"/>
  <c r="AE106" i="4"/>
  <c r="M108" i="4"/>
  <c r="N108" i="4" s="1"/>
  <c r="Z108" i="4" s="1"/>
  <c r="C109" i="4"/>
  <c r="AH105" i="4"/>
  <c r="M109" i="4" l="1"/>
  <c r="N109" i="4" s="1"/>
  <c r="Z109" i="4" s="1"/>
  <c r="C110" i="4"/>
  <c r="AC108" i="4"/>
  <c r="AD108" i="4" s="1"/>
  <c r="AA108" i="4"/>
  <c r="AH106" i="4"/>
  <c r="AK106" i="4" a="1"/>
  <c r="AK106" i="4" s="1"/>
  <c r="AL106" i="4" a="1"/>
  <c r="AL106" i="4" s="1"/>
  <c r="A128" i="4"/>
  <c r="V126" i="4"/>
  <c r="W126" i="4" s="1"/>
  <c r="X126" i="4" s="1"/>
  <c r="U126" i="4"/>
  <c r="K107" i="4"/>
  <c r="AJ107" i="4"/>
  <c r="AM107" i="4" s="1"/>
  <c r="AF107" i="4"/>
  <c r="AG107" i="4" s="1"/>
  <c r="AI107" i="4" s="1"/>
  <c r="AE107" i="4"/>
  <c r="AH107" i="4" l="1"/>
  <c r="A129" i="4"/>
  <c r="U127" i="4"/>
  <c r="V127" i="4"/>
  <c r="W127" i="4" s="1"/>
  <c r="X127" i="4" s="1"/>
  <c r="AJ108" i="4"/>
  <c r="AM108" i="4" s="1"/>
  <c r="AF108" i="4"/>
  <c r="AG108" i="4" s="1"/>
  <c r="AI108" i="4" s="1"/>
  <c r="K108" i="4"/>
  <c r="AE108" i="4"/>
  <c r="M110" i="4"/>
  <c r="N110" i="4" s="1"/>
  <c r="Z110" i="4" s="1"/>
  <c r="C111" i="4"/>
  <c r="AL107" i="4" a="1"/>
  <c r="AL107" i="4" s="1"/>
  <c r="AK107" i="4" a="1"/>
  <c r="AK107" i="4" s="1"/>
  <c r="AC109" i="4"/>
  <c r="AD109" i="4" s="1"/>
  <c r="AA109" i="4"/>
  <c r="AH108" i="4" l="1"/>
  <c r="AC110" i="4"/>
  <c r="AD110" i="4" s="1"/>
  <c r="AA110" i="4"/>
  <c r="K109" i="4"/>
  <c r="AJ109" i="4"/>
  <c r="AM109" i="4" s="1"/>
  <c r="AF109" i="4"/>
  <c r="AG109" i="4" s="1"/>
  <c r="AI109" i="4" s="1"/>
  <c r="AE109" i="4"/>
  <c r="M111" i="4"/>
  <c r="N111" i="4" s="1"/>
  <c r="Z111" i="4" s="1"/>
  <c r="C112" i="4"/>
  <c r="AK108" i="4" a="1"/>
  <c r="AK108" i="4" s="1"/>
  <c r="AL108" i="4" a="1"/>
  <c r="AL108" i="4" s="1"/>
  <c r="A130" i="4"/>
  <c r="U128" i="4"/>
  <c r="V128" i="4"/>
  <c r="W128" i="4" s="1"/>
  <c r="X128" i="4" s="1"/>
  <c r="AC111" i="4" l="1"/>
  <c r="AD111" i="4" s="1"/>
  <c r="AA111" i="4"/>
  <c r="M112" i="4"/>
  <c r="N112" i="4" s="1"/>
  <c r="Z112" i="4" s="1"/>
  <c r="C113" i="4"/>
  <c r="AK109" i="4" a="1"/>
  <c r="AK109" i="4" s="1"/>
  <c r="AL109" i="4" a="1"/>
  <c r="AL109" i="4" s="1"/>
  <c r="A131" i="4"/>
  <c r="V129" i="4"/>
  <c r="W129" i="4" s="1"/>
  <c r="X129" i="4" s="1"/>
  <c r="U129" i="4"/>
  <c r="AH109" i="4"/>
  <c r="AJ110" i="4"/>
  <c r="AM110" i="4" s="1"/>
  <c r="AF110" i="4"/>
  <c r="AG110" i="4" s="1"/>
  <c r="AI110" i="4" s="1"/>
  <c r="K110" i="4"/>
  <c r="AE110" i="4"/>
  <c r="AH110" i="4" l="1"/>
  <c r="A132" i="4"/>
  <c r="V130" i="4"/>
  <c r="W130" i="4" s="1"/>
  <c r="X130" i="4" s="1"/>
  <c r="U130" i="4"/>
  <c r="AC112" i="4"/>
  <c r="AD112" i="4" s="1"/>
  <c r="AA112" i="4"/>
  <c r="AK110" i="4" a="1"/>
  <c r="AK110" i="4" s="1"/>
  <c r="AL110" i="4" a="1"/>
  <c r="AL110" i="4" s="1"/>
  <c r="M113" i="4"/>
  <c r="N113" i="4" s="1"/>
  <c r="Z113" i="4" s="1"/>
  <c r="C114" i="4"/>
  <c r="K111" i="4"/>
  <c r="AJ111" i="4"/>
  <c r="AM111" i="4" s="1"/>
  <c r="AF111" i="4"/>
  <c r="AG111" i="4" s="1"/>
  <c r="AI111" i="4" s="1"/>
  <c r="AE111" i="4"/>
  <c r="AL111" i="4" l="1" a="1"/>
  <c r="AL111" i="4" s="1"/>
  <c r="AK111" i="4" a="1"/>
  <c r="AK111" i="4" s="1"/>
  <c r="AH111" i="4"/>
  <c r="M114" i="4"/>
  <c r="N114" i="4" s="1"/>
  <c r="Z114" i="4" s="1"/>
  <c r="C115" i="4"/>
  <c r="A133" i="4"/>
  <c r="V131" i="4"/>
  <c r="W131" i="4" s="1"/>
  <c r="X131" i="4" s="1"/>
  <c r="U131" i="4"/>
  <c r="AC113" i="4"/>
  <c r="AD113" i="4" s="1"/>
  <c r="AA113" i="4"/>
  <c r="AJ112" i="4"/>
  <c r="AM112" i="4" s="1"/>
  <c r="AF112" i="4"/>
  <c r="AG112" i="4" s="1"/>
  <c r="AI112" i="4" s="1"/>
  <c r="AE112" i="4"/>
  <c r="K112" i="4"/>
  <c r="AK112" i="4" l="1" a="1"/>
  <c r="AK112" i="4" s="1"/>
  <c r="AL112" i="4" a="1"/>
  <c r="AL112" i="4" s="1"/>
  <c r="M115" i="4"/>
  <c r="N115" i="4" s="1"/>
  <c r="Z115" i="4" s="1"/>
  <c r="C116" i="4"/>
  <c r="AC114" i="4"/>
  <c r="AD114" i="4" s="1"/>
  <c r="AA114" i="4"/>
  <c r="K113" i="4"/>
  <c r="AJ113" i="4"/>
  <c r="AM113" i="4" s="1"/>
  <c r="AF113" i="4"/>
  <c r="AG113" i="4" s="1"/>
  <c r="AI113" i="4" s="1"/>
  <c r="AE113" i="4"/>
  <c r="AH112" i="4"/>
  <c r="A134" i="4"/>
  <c r="V132" i="4"/>
  <c r="W132" i="4" s="1"/>
  <c r="X132" i="4" s="1"/>
  <c r="U132" i="4"/>
  <c r="A135" i="4" l="1"/>
  <c r="U133" i="4"/>
  <c r="V133" i="4"/>
  <c r="W133" i="4" s="1"/>
  <c r="X133" i="4" s="1"/>
  <c r="AL113" i="4" a="1"/>
  <c r="AL113" i="4" s="1"/>
  <c r="AK113" i="4" a="1"/>
  <c r="AK113" i="4" s="1"/>
  <c r="AH113" i="4"/>
  <c r="AJ114" i="4"/>
  <c r="AM114" i="4" s="1"/>
  <c r="AF114" i="4"/>
  <c r="AG114" i="4" s="1"/>
  <c r="AI114" i="4" s="1"/>
  <c r="AE114" i="4"/>
  <c r="K114" i="4"/>
  <c r="M116" i="4"/>
  <c r="N116" i="4" s="1"/>
  <c r="Z116" i="4" s="1"/>
  <c r="C117" i="4"/>
  <c r="AC115" i="4"/>
  <c r="AD115" i="4" s="1"/>
  <c r="AA115" i="4"/>
  <c r="AC116" i="4" l="1"/>
  <c r="AD116" i="4" s="1"/>
  <c r="AA116" i="4"/>
  <c r="K115" i="4"/>
  <c r="AJ115" i="4"/>
  <c r="AM115" i="4" s="1"/>
  <c r="AF115" i="4"/>
  <c r="AG115" i="4" s="1"/>
  <c r="AI115" i="4" s="1"/>
  <c r="AE115" i="4"/>
  <c r="AH114" i="4"/>
  <c r="AK114" i="4" a="1"/>
  <c r="AK114" i="4" s="1"/>
  <c r="AL114" i="4" a="1"/>
  <c r="AL114" i="4" s="1"/>
  <c r="M117" i="4"/>
  <c r="N117" i="4" s="1"/>
  <c r="Z117" i="4" s="1"/>
  <c r="C118" i="4"/>
  <c r="A136" i="4"/>
  <c r="V134" i="4"/>
  <c r="W134" i="4" s="1"/>
  <c r="X134" i="4" s="1"/>
  <c r="U134" i="4"/>
  <c r="A137" i="4" l="1"/>
  <c r="U135" i="4"/>
  <c r="V135" i="4"/>
  <c r="W135" i="4" s="1"/>
  <c r="X135" i="4" s="1"/>
  <c r="AC117" i="4"/>
  <c r="AD117" i="4" s="1"/>
  <c r="AA117" i="4"/>
  <c r="AH115" i="4"/>
  <c r="AL115" i="4" a="1"/>
  <c r="AL115" i="4" s="1"/>
  <c r="AK115" i="4" a="1"/>
  <c r="AK115" i="4" s="1"/>
  <c r="M118" i="4"/>
  <c r="N118" i="4" s="1"/>
  <c r="Z118" i="4" s="1"/>
  <c r="C119" i="4"/>
  <c r="AJ116" i="4"/>
  <c r="AM116" i="4" s="1"/>
  <c r="AF116" i="4"/>
  <c r="AG116" i="4" s="1"/>
  <c r="AI116" i="4" s="1"/>
  <c r="AE116" i="4"/>
  <c r="K116" i="4"/>
  <c r="M119" i="4" l="1"/>
  <c r="N119" i="4" s="1"/>
  <c r="Z119" i="4" s="1"/>
  <c r="C120" i="4"/>
  <c r="AC118" i="4"/>
  <c r="AD118" i="4" s="1"/>
  <c r="AA118" i="4"/>
  <c r="AH116" i="4"/>
  <c r="K117" i="4"/>
  <c r="AJ117" i="4"/>
  <c r="AM117" i="4" s="1"/>
  <c r="AF117" i="4"/>
  <c r="AG117" i="4" s="1"/>
  <c r="AI117" i="4" s="1"/>
  <c r="AE117" i="4"/>
  <c r="AK116" i="4" a="1"/>
  <c r="AK116" i="4" s="1"/>
  <c r="AL116" i="4" a="1"/>
  <c r="AL116" i="4" s="1"/>
  <c r="A138" i="4"/>
  <c r="U136" i="4"/>
  <c r="V136" i="4"/>
  <c r="W136" i="4" s="1"/>
  <c r="X136" i="4" s="1"/>
  <c r="A139" i="4" l="1"/>
  <c r="V137" i="4"/>
  <c r="W137" i="4" s="1"/>
  <c r="X137" i="4" s="1"/>
  <c r="U137" i="4"/>
  <c r="AL117" i="4" a="1"/>
  <c r="AL117" i="4" s="1"/>
  <c r="AK117" i="4" a="1"/>
  <c r="AK117" i="4" s="1"/>
  <c r="AJ118" i="4"/>
  <c r="AM118" i="4" s="1"/>
  <c r="AF118" i="4"/>
  <c r="AG118" i="4" s="1"/>
  <c r="AI118" i="4" s="1"/>
  <c r="AE118" i="4"/>
  <c r="K118" i="4"/>
  <c r="AH117" i="4"/>
  <c r="M120" i="4"/>
  <c r="N120" i="4" s="1"/>
  <c r="Z120" i="4" s="1"/>
  <c r="C121" i="4"/>
  <c r="AC119" i="4"/>
  <c r="AD119" i="4" s="1"/>
  <c r="AA119" i="4"/>
  <c r="K119" i="4" l="1"/>
  <c r="AJ119" i="4"/>
  <c r="AM119" i="4" s="1"/>
  <c r="AF119" i="4"/>
  <c r="AG119" i="4" s="1"/>
  <c r="AI119" i="4" s="1"/>
  <c r="AE119" i="4"/>
  <c r="M121" i="4"/>
  <c r="N121" i="4" s="1"/>
  <c r="Z121" i="4" s="1"/>
  <c r="C122" i="4"/>
  <c r="AK118" i="4" a="1"/>
  <c r="AK118" i="4" s="1"/>
  <c r="AL118" i="4" a="1"/>
  <c r="AL118" i="4" s="1"/>
  <c r="AH118" i="4"/>
  <c r="AC120" i="4"/>
  <c r="AD120" i="4" s="1"/>
  <c r="AA120" i="4"/>
  <c r="A140" i="4"/>
  <c r="V138" i="4"/>
  <c r="W138" i="4" s="1"/>
  <c r="X138" i="4" s="1"/>
  <c r="U138" i="4"/>
  <c r="A141" i="4" l="1"/>
  <c r="U139" i="4"/>
  <c r="V139" i="4"/>
  <c r="W139" i="4" s="1"/>
  <c r="X139" i="4" s="1"/>
  <c r="AJ120" i="4"/>
  <c r="AM120" i="4" s="1"/>
  <c r="AF120" i="4"/>
  <c r="AG120" i="4" s="1"/>
  <c r="AI120" i="4" s="1"/>
  <c r="AE120" i="4"/>
  <c r="K120" i="4"/>
  <c r="M122" i="4"/>
  <c r="N122" i="4" s="1"/>
  <c r="Z122" i="4" s="1"/>
  <c r="C123" i="4"/>
  <c r="AH119" i="4"/>
  <c r="AC121" i="4"/>
  <c r="AD121" i="4" s="1"/>
  <c r="AA121" i="4"/>
  <c r="AL119" i="4" a="1"/>
  <c r="AL119" i="4" s="1"/>
  <c r="AK119" i="4" a="1"/>
  <c r="AK119" i="4" s="1"/>
  <c r="AK120" i="4" l="1" a="1"/>
  <c r="AK120" i="4" s="1"/>
  <c r="AL120" i="4" a="1"/>
  <c r="AL120" i="4" s="1"/>
  <c r="K121" i="4"/>
  <c r="AJ121" i="4"/>
  <c r="AM121" i="4" s="1"/>
  <c r="AF121" i="4"/>
  <c r="AG121" i="4" s="1"/>
  <c r="AI121" i="4" s="1"/>
  <c r="AE121" i="4"/>
  <c r="AH120" i="4"/>
  <c r="M123" i="4"/>
  <c r="N123" i="4" s="1"/>
  <c r="Z123" i="4" s="1"/>
  <c r="C124" i="4"/>
  <c r="AC122" i="4"/>
  <c r="AD122" i="4" s="1"/>
  <c r="AA122" i="4"/>
  <c r="A142" i="4"/>
  <c r="V140" i="4"/>
  <c r="W140" i="4" s="1"/>
  <c r="X140" i="4" s="1"/>
  <c r="U140" i="4"/>
  <c r="AJ122" i="4" l="1"/>
  <c r="AM122" i="4" s="1"/>
  <c r="AF122" i="4"/>
  <c r="AG122" i="4" s="1"/>
  <c r="AI122" i="4" s="1"/>
  <c r="K122" i="4"/>
  <c r="AE122" i="4"/>
  <c r="AC123" i="4"/>
  <c r="AD123" i="4" s="1"/>
  <c r="AA123" i="4"/>
  <c r="A143" i="4"/>
  <c r="U141" i="4"/>
  <c r="V141" i="4"/>
  <c r="W141" i="4" s="1"/>
  <c r="X141" i="4" s="1"/>
  <c r="M124" i="4"/>
  <c r="N124" i="4" s="1"/>
  <c r="Z124" i="4" s="1"/>
  <c r="C125" i="4"/>
  <c r="AH121" i="4"/>
  <c r="AL121" i="4" a="1"/>
  <c r="AL121" i="4" s="1"/>
  <c r="AK121" i="4" a="1"/>
  <c r="AK121" i="4" s="1"/>
  <c r="M125" i="4" l="1"/>
  <c r="N125" i="4" s="1"/>
  <c r="Z125" i="4" s="1"/>
  <c r="C126" i="4"/>
  <c r="AJ123" i="4"/>
  <c r="AM123" i="4" s="1"/>
  <c r="K123" i="4"/>
  <c r="AF123" i="4"/>
  <c r="AG123" i="4" s="1"/>
  <c r="AI123" i="4" s="1"/>
  <c r="AE123" i="4"/>
  <c r="AH122" i="4"/>
  <c r="AK122" i="4" a="1"/>
  <c r="AK122" i="4" s="1"/>
  <c r="AL122" i="4" a="1"/>
  <c r="AL122" i="4" s="1"/>
  <c r="AC124" i="4"/>
  <c r="AD124" i="4" s="1"/>
  <c r="AA124" i="4"/>
  <c r="A144" i="4"/>
  <c r="V142" i="4"/>
  <c r="W142" i="4" s="1"/>
  <c r="X142" i="4" s="1"/>
  <c r="U142" i="4"/>
  <c r="A145" i="4" l="1"/>
  <c r="U143" i="4"/>
  <c r="V143" i="4"/>
  <c r="W143" i="4" s="1"/>
  <c r="X143" i="4" s="1"/>
  <c r="AJ124" i="4"/>
  <c r="AM124" i="4" s="1"/>
  <c r="K124" i="4"/>
  <c r="AF124" i="4"/>
  <c r="AG124" i="4" s="1"/>
  <c r="AI124" i="4" s="1"/>
  <c r="AE124" i="4"/>
  <c r="AK123" i="4" a="1"/>
  <c r="AK123" i="4" s="1"/>
  <c r="AL123" i="4" a="1"/>
  <c r="AL123" i="4" s="1"/>
  <c r="M126" i="4"/>
  <c r="N126" i="4" s="1"/>
  <c r="Z126" i="4" s="1"/>
  <c r="C127" i="4"/>
  <c r="AH123" i="4"/>
  <c r="AC125" i="4"/>
  <c r="AD125" i="4" s="1"/>
  <c r="AA125" i="4"/>
  <c r="AJ125" i="4" l="1"/>
  <c r="AM125" i="4" s="1"/>
  <c r="AF125" i="4"/>
  <c r="AG125" i="4" s="1"/>
  <c r="AI125" i="4" s="1"/>
  <c r="K125" i="4"/>
  <c r="AE125" i="4"/>
  <c r="M127" i="4"/>
  <c r="N127" i="4" s="1"/>
  <c r="Z127" i="4" s="1"/>
  <c r="C128" i="4"/>
  <c r="AK124" i="4" a="1"/>
  <c r="AK124" i="4" s="1"/>
  <c r="AL124" i="4" a="1"/>
  <c r="AL124" i="4" s="1"/>
  <c r="AC126" i="4"/>
  <c r="AD126" i="4" s="1"/>
  <c r="AA126" i="4"/>
  <c r="AH124" i="4"/>
  <c r="A146" i="4"/>
  <c r="U144" i="4"/>
  <c r="V144" i="4"/>
  <c r="W144" i="4" s="1"/>
  <c r="X144" i="4" s="1"/>
  <c r="A147" i="4" l="1"/>
  <c r="U145" i="4"/>
  <c r="V145" i="4"/>
  <c r="W145" i="4" s="1"/>
  <c r="X145" i="4" s="1"/>
  <c r="M128" i="4"/>
  <c r="N128" i="4" s="1"/>
  <c r="Z128" i="4" s="1"/>
  <c r="C129" i="4"/>
  <c r="AC127" i="4"/>
  <c r="AD127" i="4" s="1"/>
  <c r="AA127" i="4"/>
  <c r="AJ126" i="4"/>
  <c r="AM126" i="4" s="1"/>
  <c r="AF126" i="4"/>
  <c r="AG126" i="4" s="1"/>
  <c r="AI126" i="4" s="1"/>
  <c r="K126" i="4"/>
  <c r="AE126" i="4"/>
  <c r="AH125" i="4"/>
  <c r="AL125" i="4" a="1"/>
  <c r="AL125" i="4" s="1"/>
  <c r="AK125" i="4" a="1"/>
  <c r="AK125" i="4" s="1"/>
  <c r="AH126" i="4" l="1"/>
  <c r="AK126" i="4" a="1"/>
  <c r="AK126" i="4" s="1"/>
  <c r="AL126" i="4" a="1"/>
  <c r="AL126" i="4" s="1"/>
  <c r="M129" i="4"/>
  <c r="N129" i="4" s="1"/>
  <c r="Z129" i="4" s="1"/>
  <c r="C130" i="4"/>
  <c r="AJ127" i="4"/>
  <c r="AM127" i="4" s="1"/>
  <c r="AF127" i="4"/>
  <c r="AG127" i="4" s="1"/>
  <c r="AI127" i="4" s="1"/>
  <c r="K127" i="4"/>
  <c r="AE127" i="4"/>
  <c r="AC128" i="4"/>
  <c r="AD128" i="4" s="1"/>
  <c r="AA128" i="4"/>
  <c r="A148" i="4"/>
  <c r="U146" i="4"/>
  <c r="V146" i="4"/>
  <c r="W146" i="4" s="1"/>
  <c r="X146" i="4" s="1"/>
  <c r="AJ128" i="4" l="1"/>
  <c r="AM128" i="4" s="1"/>
  <c r="AF128" i="4"/>
  <c r="AG128" i="4" s="1"/>
  <c r="AI128" i="4" s="1"/>
  <c r="K128" i="4"/>
  <c r="AE128" i="4"/>
  <c r="AK127" i="4" a="1"/>
  <c r="AK127" i="4" s="1"/>
  <c r="AL127" i="4" a="1"/>
  <c r="AL127" i="4" s="1"/>
  <c r="A149" i="4"/>
  <c r="U147" i="4"/>
  <c r="V147" i="4"/>
  <c r="W147" i="4" s="1"/>
  <c r="X147" i="4" s="1"/>
  <c r="AC129" i="4"/>
  <c r="AD129" i="4" s="1"/>
  <c r="AA129" i="4"/>
  <c r="AH127" i="4"/>
  <c r="M130" i="4"/>
  <c r="N130" i="4" s="1"/>
  <c r="Z130" i="4" s="1"/>
  <c r="C131" i="4"/>
  <c r="AC130" i="4" l="1"/>
  <c r="AD130" i="4" s="1"/>
  <c r="AA130" i="4"/>
  <c r="M131" i="4"/>
  <c r="N131" i="4" s="1"/>
  <c r="Z131" i="4" s="1"/>
  <c r="C132" i="4"/>
  <c r="AJ129" i="4"/>
  <c r="AM129" i="4" s="1"/>
  <c r="AF129" i="4"/>
  <c r="AG129" i="4" s="1"/>
  <c r="AI129" i="4" s="1"/>
  <c r="K129" i="4"/>
  <c r="AE129" i="4"/>
  <c r="AH128" i="4"/>
  <c r="AK128" i="4" a="1"/>
  <c r="AK128" i="4" s="1"/>
  <c r="AL128" i="4" a="1"/>
  <c r="AL128" i="4" s="1"/>
  <c r="A150" i="4"/>
  <c r="U148" i="4"/>
  <c r="V148" i="4"/>
  <c r="W148" i="4" s="1"/>
  <c r="X148" i="4" s="1"/>
  <c r="AH129" i="4" l="1"/>
  <c r="AL129" i="4" a="1"/>
  <c r="AL129" i="4" s="1"/>
  <c r="AK129" i="4" a="1"/>
  <c r="AK129" i="4" s="1"/>
  <c r="AC131" i="4"/>
  <c r="AD131" i="4" s="1"/>
  <c r="AA131" i="4"/>
  <c r="A151" i="4"/>
  <c r="V149" i="4"/>
  <c r="W149" i="4" s="1"/>
  <c r="X149" i="4" s="1"/>
  <c r="U149" i="4"/>
  <c r="M132" i="4"/>
  <c r="N132" i="4" s="1"/>
  <c r="Z132" i="4" s="1"/>
  <c r="C133" i="4"/>
  <c r="AJ130" i="4"/>
  <c r="AM130" i="4" s="1"/>
  <c r="AF130" i="4"/>
  <c r="AG130" i="4" s="1"/>
  <c r="AI130" i="4" s="1"/>
  <c r="AE130" i="4"/>
  <c r="K130" i="4"/>
  <c r="AK130" i="4" l="1" a="1"/>
  <c r="AK130" i="4" s="1"/>
  <c r="AL130" i="4" a="1"/>
  <c r="AL130" i="4" s="1"/>
  <c r="AH130" i="4"/>
  <c r="AC132" i="4"/>
  <c r="AD132" i="4" s="1"/>
  <c r="AA132" i="4"/>
  <c r="AJ131" i="4"/>
  <c r="AM131" i="4" s="1"/>
  <c r="AF131" i="4"/>
  <c r="AG131" i="4" s="1"/>
  <c r="AI131" i="4" s="1"/>
  <c r="K131" i="4"/>
  <c r="AE131" i="4"/>
  <c r="M133" i="4"/>
  <c r="N133" i="4" s="1"/>
  <c r="Z133" i="4" s="1"/>
  <c r="C134" i="4"/>
  <c r="A152" i="4"/>
  <c r="U150" i="4"/>
  <c r="V150" i="4"/>
  <c r="W150" i="4" s="1"/>
  <c r="X150" i="4" s="1"/>
  <c r="M134" i="4" l="1"/>
  <c r="N134" i="4" s="1"/>
  <c r="Z134" i="4" s="1"/>
  <c r="C135" i="4"/>
  <c r="AC133" i="4"/>
  <c r="AD133" i="4" s="1"/>
  <c r="AA133" i="4"/>
  <c r="AL131" i="4" a="1"/>
  <c r="AL131" i="4" s="1"/>
  <c r="AK131" i="4" a="1"/>
  <c r="AK131" i="4" s="1"/>
  <c r="A153" i="4"/>
  <c r="V151" i="4"/>
  <c r="W151" i="4" s="1"/>
  <c r="X151" i="4" s="1"/>
  <c r="U151" i="4"/>
  <c r="AH131" i="4"/>
  <c r="AJ132" i="4"/>
  <c r="AM132" i="4" s="1"/>
  <c r="AF132" i="4"/>
  <c r="AG132" i="4" s="1"/>
  <c r="AI132" i="4" s="1"/>
  <c r="AE132" i="4"/>
  <c r="K132" i="4"/>
  <c r="AK132" i="4" l="1" a="1"/>
  <c r="AK132" i="4" s="1"/>
  <c r="AL132" i="4" a="1"/>
  <c r="AL132" i="4" s="1"/>
  <c r="AH132" i="4"/>
  <c r="A154" i="4"/>
  <c r="U152" i="4"/>
  <c r="V152" i="4"/>
  <c r="W152" i="4" s="1"/>
  <c r="X152" i="4" s="1"/>
  <c r="AJ133" i="4"/>
  <c r="AM133" i="4" s="1"/>
  <c r="AF133" i="4"/>
  <c r="AG133" i="4" s="1"/>
  <c r="AI133" i="4" s="1"/>
  <c r="AE133" i="4"/>
  <c r="K133" i="4"/>
  <c r="M135" i="4"/>
  <c r="N135" i="4" s="1"/>
  <c r="Z135" i="4" s="1"/>
  <c r="C136" i="4"/>
  <c r="AC134" i="4"/>
  <c r="AD134" i="4" s="1"/>
  <c r="AA134" i="4"/>
  <c r="AH133" i="4" l="1"/>
  <c r="AJ134" i="4"/>
  <c r="AM134" i="4" s="1"/>
  <c r="AF134" i="4"/>
  <c r="AG134" i="4" s="1"/>
  <c r="AI134" i="4" s="1"/>
  <c r="AE134" i="4"/>
  <c r="K134" i="4"/>
  <c r="M136" i="4"/>
  <c r="N136" i="4" s="1"/>
  <c r="Z136" i="4" s="1"/>
  <c r="C137" i="4"/>
  <c r="AL133" i="4" a="1"/>
  <c r="AL133" i="4" s="1"/>
  <c r="AK133" i="4" a="1"/>
  <c r="AK133" i="4" s="1"/>
  <c r="AC135" i="4"/>
  <c r="AD135" i="4" s="1"/>
  <c r="AA135" i="4"/>
  <c r="A155" i="4"/>
  <c r="U153" i="4"/>
  <c r="V153" i="4"/>
  <c r="W153" i="4" s="1"/>
  <c r="X153" i="4" s="1"/>
  <c r="AJ135" i="4" l="1"/>
  <c r="AM135" i="4" s="1"/>
  <c r="AF135" i="4"/>
  <c r="AG135" i="4" s="1"/>
  <c r="AI135" i="4" s="1"/>
  <c r="AE135" i="4"/>
  <c r="K135" i="4"/>
  <c r="AH134" i="4"/>
  <c r="AR157" i="4"/>
  <c r="V155" i="4"/>
  <c r="W155" i="4" s="1"/>
  <c r="X155" i="4" s="1"/>
  <c r="U155" i="4"/>
  <c r="V154" i="4"/>
  <c r="W154" i="4" s="1"/>
  <c r="X154" i="4" s="1"/>
  <c r="U154" i="4"/>
  <c r="M137" i="4"/>
  <c r="N137" i="4" s="1"/>
  <c r="Z137" i="4" s="1"/>
  <c r="C138" i="4"/>
  <c r="AL134" i="4" a="1"/>
  <c r="AL134" i="4" s="1"/>
  <c r="AK134" i="4" a="1"/>
  <c r="AK134" i="4" s="1"/>
  <c r="AC136" i="4"/>
  <c r="AD136" i="4" s="1"/>
  <c r="AA136" i="4"/>
  <c r="AC137" i="4" l="1"/>
  <c r="AD137" i="4" s="1"/>
  <c r="AA137" i="4"/>
  <c r="AJ136" i="4"/>
  <c r="AM136" i="4" s="1"/>
  <c r="AF136" i="4"/>
  <c r="AG136" i="4" s="1"/>
  <c r="AI136" i="4" s="1"/>
  <c r="AE136" i="4"/>
  <c r="K136" i="4"/>
  <c r="AL135" i="4" a="1"/>
  <c r="AL135" i="4" s="1"/>
  <c r="AK135" i="4" a="1"/>
  <c r="AK135" i="4" s="1"/>
  <c r="AH135" i="4"/>
  <c r="M138" i="4"/>
  <c r="N138" i="4" s="1"/>
  <c r="Z138" i="4" s="1"/>
  <c r="C139" i="4"/>
  <c r="M139" i="4" l="1"/>
  <c r="N139" i="4" s="1"/>
  <c r="Z139" i="4" s="1"/>
  <c r="C140" i="4"/>
  <c r="AC138" i="4"/>
  <c r="AD138" i="4" s="1"/>
  <c r="AA138" i="4"/>
  <c r="AL136" i="4" a="1"/>
  <c r="AL136" i="4" s="1"/>
  <c r="AK136" i="4" a="1"/>
  <c r="AK136" i="4" s="1"/>
  <c r="AH136" i="4"/>
  <c r="AJ137" i="4"/>
  <c r="AM137" i="4" s="1"/>
  <c r="AF137" i="4"/>
  <c r="AG137" i="4" s="1"/>
  <c r="AI137" i="4" s="1"/>
  <c r="AE137" i="4"/>
  <c r="K137" i="4"/>
  <c r="AL137" i="4" l="1" a="1"/>
  <c r="AL137" i="4" s="1"/>
  <c r="AK137" i="4" a="1"/>
  <c r="AK137" i="4" s="1"/>
  <c r="AH137" i="4"/>
  <c r="AJ138" i="4"/>
  <c r="AM138" i="4" s="1"/>
  <c r="AF138" i="4"/>
  <c r="AG138" i="4" s="1"/>
  <c r="AI138" i="4" s="1"/>
  <c r="AE138" i="4"/>
  <c r="K138" i="4"/>
  <c r="M140" i="4"/>
  <c r="N140" i="4" s="1"/>
  <c r="Z140" i="4" s="1"/>
  <c r="C141" i="4"/>
  <c r="AC139" i="4"/>
  <c r="AD139" i="4" s="1"/>
  <c r="AA139" i="4"/>
  <c r="AJ139" i="4" l="1"/>
  <c r="AM139" i="4" s="1"/>
  <c r="AF139" i="4"/>
  <c r="AG139" i="4" s="1"/>
  <c r="AI139" i="4" s="1"/>
  <c r="AE139" i="4"/>
  <c r="K139" i="4"/>
  <c r="AH138" i="4"/>
  <c r="AC140" i="4"/>
  <c r="AD140" i="4" s="1"/>
  <c r="AA140" i="4"/>
  <c r="M141" i="4"/>
  <c r="N141" i="4" s="1"/>
  <c r="Z141" i="4" s="1"/>
  <c r="C142" i="4"/>
  <c r="AL138" i="4" a="1"/>
  <c r="AL138" i="4" s="1"/>
  <c r="AK138" i="4" a="1"/>
  <c r="AK138" i="4" s="1"/>
  <c r="M142" i="4" l="1"/>
  <c r="N142" i="4" s="1"/>
  <c r="Z142" i="4" s="1"/>
  <c r="C143" i="4"/>
  <c r="AL139" i="4" a="1"/>
  <c r="AL139" i="4" s="1"/>
  <c r="AK139" i="4" a="1"/>
  <c r="AK139" i="4" s="1"/>
  <c r="AC141" i="4"/>
  <c r="AD141" i="4" s="1"/>
  <c r="AA141" i="4"/>
  <c r="AH139" i="4"/>
  <c r="AJ140" i="4"/>
  <c r="AM140" i="4" s="1"/>
  <c r="AF140" i="4"/>
  <c r="AG140" i="4" s="1"/>
  <c r="AI140" i="4" s="1"/>
  <c r="AE140" i="4"/>
  <c r="K140" i="4"/>
  <c r="AH140" i="4" l="1"/>
  <c r="AL140" i="4" a="1"/>
  <c r="AL140" i="4" s="1"/>
  <c r="AK140" i="4" a="1"/>
  <c r="AK140" i="4" s="1"/>
  <c r="AJ141" i="4"/>
  <c r="AM141" i="4" s="1"/>
  <c r="AF141" i="4"/>
  <c r="AG141" i="4" s="1"/>
  <c r="AI141" i="4" s="1"/>
  <c r="AE141" i="4"/>
  <c r="K141" i="4"/>
  <c r="M143" i="4"/>
  <c r="N143" i="4" s="1"/>
  <c r="Z143" i="4" s="1"/>
  <c r="C144" i="4"/>
  <c r="AC142" i="4"/>
  <c r="AD142" i="4" s="1"/>
  <c r="AA142" i="4"/>
  <c r="M144" i="4" l="1"/>
  <c r="N144" i="4" s="1"/>
  <c r="Z144" i="4" s="1"/>
  <c r="C145" i="4"/>
  <c r="AC143" i="4"/>
  <c r="AD143" i="4" s="1"/>
  <c r="AA143" i="4"/>
  <c r="AJ142" i="4"/>
  <c r="AM142" i="4" s="1"/>
  <c r="AF142" i="4"/>
  <c r="AG142" i="4" s="1"/>
  <c r="AI142" i="4" s="1"/>
  <c r="AE142" i="4"/>
  <c r="K142" i="4"/>
  <c r="AL141" i="4" a="1"/>
  <c r="AL141" i="4" s="1"/>
  <c r="AK141" i="4" a="1"/>
  <c r="AK141" i="4" s="1"/>
  <c r="AH141" i="4"/>
  <c r="AL142" i="4" l="1" a="1"/>
  <c r="AL142" i="4" s="1"/>
  <c r="AK142" i="4" a="1"/>
  <c r="AK142" i="4" s="1"/>
  <c r="AJ143" i="4"/>
  <c r="AM143" i="4" s="1"/>
  <c r="AF143" i="4"/>
  <c r="AG143" i="4" s="1"/>
  <c r="AI143" i="4" s="1"/>
  <c r="AE143" i="4"/>
  <c r="K143" i="4"/>
  <c r="AH142" i="4"/>
  <c r="M145" i="4"/>
  <c r="N145" i="4" s="1"/>
  <c r="Z145" i="4" s="1"/>
  <c r="C146" i="4"/>
  <c r="AC144" i="4"/>
  <c r="AD144" i="4" s="1"/>
  <c r="AA144" i="4"/>
  <c r="M146" i="4" l="1"/>
  <c r="N146" i="4" s="1"/>
  <c r="Z146" i="4" s="1"/>
  <c r="C147" i="4"/>
  <c r="AL143" i="4" a="1"/>
  <c r="AL143" i="4" s="1"/>
  <c r="AK143" i="4" a="1"/>
  <c r="AK143" i="4" s="1"/>
  <c r="AH143" i="4"/>
  <c r="AJ144" i="4"/>
  <c r="AM144" i="4" s="1"/>
  <c r="AF144" i="4"/>
  <c r="AG144" i="4" s="1"/>
  <c r="AI144" i="4" s="1"/>
  <c r="AE144" i="4"/>
  <c r="K144" i="4"/>
  <c r="AC145" i="4"/>
  <c r="AD145" i="4" s="1"/>
  <c r="AA145" i="4"/>
  <c r="AL144" i="4" l="1" a="1"/>
  <c r="AL144" i="4" s="1"/>
  <c r="AK144" i="4" a="1"/>
  <c r="AK144" i="4" s="1"/>
  <c r="AH144" i="4"/>
  <c r="M147" i="4"/>
  <c r="N147" i="4" s="1"/>
  <c r="Z147" i="4" s="1"/>
  <c r="C148" i="4"/>
  <c r="AJ145" i="4"/>
  <c r="AM145" i="4" s="1"/>
  <c r="AF145" i="4"/>
  <c r="AG145" i="4" s="1"/>
  <c r="AI145" i="4" s="1"/>
  <c r="AE145" i="4"/>
  <c r="K145" i="4"/>
  <c r="AC146" i="4"/>
  <c r="AD146" i="4" s="1"/>
  <c r="AA146" i="4"/>
  <c r="AJ146" i="4" l="1"/>
  <c r="AM146" i="4" s="1"/>
  <c r="AF146" i="4"/>
  <c r="AG146" i="4" s="1"/>
  <c r="AI146" i="4" s="1"/>
  <c r="AE146" i="4"/>
  <c r="K146" i="4"/>
  <c r="M148" i="4"/>
  <c r="N148" i="4" s="1"/>
  <c r="Z148" i="4" s="1"/>
  <c r="C149" i="4"/>
  <c r="AC147" i="4"/>
  <c r="AD147" i="4" s="1"/>
  <c r="AA147" i="4"/>
  <c r="AL145" i="4" a="1"/>
  <c r="AL145" i="4" s="1"/>
  <c r="AK145" i="4" a="1"/>
  <c r="AK145" i="4" s="1"/>
  <c r="AH145" i="4"/>
  <c r="AJ147" i="4" l="1"/>
  <c r="AM147" i="4" s="1"/>
  <c r="AF147" i="4"/>
  <c r="AG147" i="4" s="1"/>
  <c r="AI147" i="4" s="1"/>
  <c r="AE147" i="4"/>
  <c r="K147" i="4"/>
  <c r="AL146" i="4" a="1"/>
  <c r="AL146" i="4" s="1"/>
  <c r="AK146" i="4" a="1"/>
  <c r="AK146" i="4" s="1"/>
  <c r="M149" i="4"/>
  <c r="N149" i="4" s="1"/>
  <c r="Z149" i="4" s="1"/>
  <c r="C150" i="4"/>
  <c r="AH146" i="4"/>
  <c r="AC148" i="4"/>
  <c r="AD148" i="4" s="1"/>
  <c r="AA148" i="4"/>
  <c r="AJ148" i="4" l="1"/>
  <c r="AM148" i="4" s="1"/>
  <c r="AF148" i="4"/>
  <c r="AG148" i="4" s="1"/>
  <c r="AI148" i="4" s="1"/>
  <c r="AE148" i="4"/>
  <c r="K148" i="4"/>
  <c r="M150" i="4"/>
  <c r="N150" i="4" s="1"/>
  <c r="Z150" i="4" s="1"/>
  <c r="C151" i="4"/>
  <c r="AL147" i="4" a="1"/>
  <c r="AL147" i="4" s="1"/>
  <c r="AK147" i="4" a="1"/>
  <c r="AK147" i="4" s="1"/>
  <c r="AH147" i="4"/>
  <c r="AC149" i="4"/>
  <c r="AD149" i="4" s="1"/>
  <c r="AA149" i="4"/>
  <c r="AJ149" i="4" l="1"/>
  <c r="AM149" i="4" s="1"/>
  <c r="AF149" i="4"/>
  <c r="AG149" i="4" s="1"/>
  <c r="AI149" i="4" s="1"/>
  <c r="AE149" i="4"/>
  <c r="K149" i="4"/>
  <c r="AC150" i="4"/>
  <c r="AD150" i="4" s="1"/>
  <c r="AA150" i="4"/>
  <c r="AL148" i="4" a="1"/>
  <c r="AL148" i="4" s="1"/>
  <c r="AK148" i="4" a="1"/>
  <c r="AK148" i="4" s="1"/>
  <c r="AH148" i="4"/>
  <c r="M151" i="4"/>
  <c r="N151" i="4" s="1"/>
  <c r="Z151" i="4" s="1"/>
  <c r="C152" i="4"/>
  <c r="M152" i="4" l="1"/>
  <c r="N152" i="4" s="1"/>
  <c r="Z152" i="4" s="1"/>
  <c r="C153" i="4"/>
  <c r="AC151" i="4"/>
  <c r="AD151" i="4" s="1"/>
  <c r="AA151" i="4"/>
  <c r="AJ150" i="4"/>
  <c r="AM150" i="4" s="1"/>
  <c r="AF150" i="4"/>
  <c r="AG150" i="4" s="1"/>
  <c r="AI150" i="4" s="1"/>
  <c r="AE150" i="4"/>
  <c r="K150" i="4"/>
  <c r="AL149" i="4" a="1"/>
  <c r="AL149" i="4" s="1"/>
  <c r="AK149" i="4" a="1"/>
  <c r="AK149" i="4" s="1"/>
  <c r="AH149" i="4"/>
  <c r="AJ151" i="4" l="1"/>
  <c r="AM151" i="4" s="1"/>
  <c r="AF151" i="4"/>
  <c r="AG151" i="4" s="1"/>
  <c r="AI151" i="4" s="1"/>
  <c r="AE151" i="4"/>
  <c r="K151" i="4"/>
  <c r="M153" i="4"/>
  <c r="N153" i="4" s="1"/>
  <c r="Z153" i="4" s="1"/>
  <c r="C154" i="4"/>
  <c r="AL150" i="4" a="1"/>
  <c r="AL150" i="4" s="1"/>
  <c r="AK150" i="4" a="1"/>
  <c r="AK150" i="4" s="1"/>
  <c r="AH150" i="4"/>
  <c r="AC152" i="4"/>
  <c r="AD152" i="4" s="1"/>
  <c r="AA152" i="4"/>
  <c r="AJ152" i="4" l="1"/>
  <c r="AM152" i="4" s="1"/>
  <c r="AF152" i="4"/>
  <c r="AG152" i="4" s="1"/>
  <c r="AI152" i="4" s="1"/>
  <c r="AE152" i="4"/>
  <c r="K152" i="4"/>
  <c r="AC153" i="4"/>
  <c r="AD153" i="4" s="1"/>
  <c r="AA153" i="4"/>
  <c r="AL151" i="4" a="1"/>
  <c r="AL151" i="4" s="1"/>
  <c r="AK151" i="4" a="1"/>
  <c r="AK151" i="4" s="1"/>
  <c r="AH151" i="4"/>
  <c r="M154" i="4"/>
  <c r="N154" i="4" s="1"/>
  <c r="Z154" i="4" s="1"/>
  <c r="C155" i="4"/>
  <c r="M155" i="4" s="1"/>
  <c r="N155" i="4" s="1"/>
  <c r="Z155" i="4" s="1"/>
  <c r="AC154" i="4" l="1"/>
  <c r="AD154" i="4" s="1"/>
  <c r="AA154" i="4"/>
  <c r="AC155" i="4"/>
  <c r="AD155" i="4" s="1"/>
  <c r="AA155" i="4"/>
  <c r="AJ153" i="4"/>
  <c r="AM153" i="4" s="1"/>
  <c r="AF153" i="4"/>
  <c r="AG153" i="4" s="1"/>
  <c r="AI153" i="4" s="1"/>
  <c r="AE153" i="4"/>
  <c r="K153" i="4"/>
  <c r="AL152" i="4" a="1"/>
  <c r="AL152" i="4" s="1"/>
  <c r="AK152" i="4" a="1"/>
  <c r="AK152" i="4" s="1"/>
  <c r="AH152" i="4"/>
  <c r="AH153" i="4" l="1"/>
  <c r="AJ155" i="4"/>
  <c r="AM155" i="4" s="1"/>
  <c r="AF155" i="4"/>
  <c r="AG155" i="4" s="1"/>
  <c r="AE155" i="4"/>
  <c r="K155" i="4"/>
  <c r="AR3" i="4"/>
  <c r="AL153" i="4" a="1"/>
  <c r="AL153" i="4" s="1"/>
  <c r="AK153" i="4" a="1"/>
  <c r="AK153" i="4" s="1"/>
  <c r="AJ154" i="4"/>
  <c r="AM154" i="4" s="1"/>
  <c r="AF154" i="4"/>
  <c r="AG154" i="4" s="1"/>
  <c r="AI154" i="4" s="1"/>
  <c r="AE154" i="4"/>
  <c r="K154" i="4"/>
  <c r="AL154" i="4" l="1" a="1"/>
  <c r="AL154" i="4" s="1"/>
  <c r="AK154" i="4" a="1"/>
  <c r="AK154" i="4" s="1"/>
  <c r="AH154" i="4"/>
  <c r="AL155" i="4" a="1"/>
  <c r="AL155" i="4" s="1"/>
  <c r="AN157" i="4" s="1"/>
  <c r="AS14" i="4" s="1"/>
  <c r="AK155" i="4" a="1"/>
  <c r="AK155" i="4" s="1"/>
  <c r="AH155" i="4"/>
  <c r="AS3" i="4"/>
  <c r="AI155" i="4"/>
  <c r="AO14" i="4" l="1"/>
  <c r="AP14" i="4" s="1"/>
  <c r="AO5" i="4"/>
  <c r="AP5" i="4" s="1"/>
  <c r="AO4" i="4"/>
  <c r="AP4" i="4" s="1"/>
  <c r="AO3" i="4"/>
  <c r="AP3" i="4" s="1"/>
  <c r="AO6" i="4"/>
  <c r="AP6" i="4" s="1"/>
  <c r="AO7" i="4"/>
  <c r="AP7" i="4" s="1"/>
  <c r="AO8" i="4"/>
  <c r="AP8" i="4" s="1"/>
  <c r="AO9" i="4"/>
  <c r="AP9" i="4" s="1"/>
  <c r="AO10" i="4"/>
  <c r="AP10" i="4" s="1"/>
  <c r="AO11" i="4"/>
  <c r="AP11" i="4" s="1"/>
  <c r="AQ11" i="4" s="1"/>
  <c r="AO12" i="4"/>
  <c r="AP12" i="4" s="1"/>
  <c r="AO13" i="4"/>
  <c r="AP13" i="4" s="1"/>
  <c r="AO15" i="4"/>
  <c r="AP15" i="4" s="1"/>
  <c r="AQ15" i="4" s="1"/>
  <c r="AO16" i="4"/>
  <c r="AP16" i="4" s="1"/>
  <c r="AO17" i="4"/>
  <c r="AP17" i="4" s="1"/>
  <c r="AQ17" i="4" s="1"/>
  <c r="AO18" i="4"/>
  <c r="AP18" i="4" s="1"/>
  <c r="AQ18" i="4" s="1"/>
  <c r="AO19" i="4"/>
  <c r="AP19" i="4" s="1"/>
  <c r="AO20" i="4"/>
  <c r="AP20" i="4" s="1"/>
  <c r="AO21" i="4"/>
  <c r="AP21" i="4" s="1"/>
  <c r="AO22" i="4"/>
  <c r="AP22" i="4" s="1"/>
  <c r="AO23" i="4"/>
  <c r="AP23" i="4" s="1"/>
  <c r="AO24" i="4"/>
  <c r="AP24" i="4" s="1"/>
  <c r="AO25" i="4"/>
  <c r="AP25" i="4" s="1"/>
  <c r="AO26" i="4"/>
  <c r="AP26" i="4" s="1"/>
  <c r="AO27" i="4"/>
  <c r="AP27" i="4" s="1"/>
  <c r="AO28" i="4"/>
  <c r="AP28" i="4" s="1"/>
  <c r="AO29" i="4"/>
  <c r="AP29" i="4" s="1"/>
  <c r="AO30" i="4"/>
  <c r="AP30" i="4" s="1"/>
  <c r="AO31" i="4"/>
  <c r="AP31" i="4" s="1"/>
  <c r="AO32" i="4"/>
  <c r="AP32" i="4" s="1"/>
  <c r="AO33" i="4"/>
  <c r="AP33" i="4" s="1"/>
  <c r="AO34" i="4"/>
  <c r="AP34" i="4" s="1"/>
  <c r="AQ34" i="4" s="1"/>
  <c r="AO35" i="4"/>
  <c r="AP35" i="4" s="1"/>
  <c r="AO36" i="4"/>
  <c r="AP36" i="4" s="1"/>
  <c r="AO37" i="4"/>
  <c r="AP37" i="4" s="1"/>
  <c r="AO38" i="4"/>
  <c r="AP38" i="4" s="1"/>
  <c r="AO39" i="4"/>
  <c r="AP39" i="4" s="1"/>
  <c r="AO40" i="4"/>
  <c r="AP40" i="4" s="1"/>
  <c r="AO41" i="4"/>
  <c r="AP41" i="4" s="1"/>
  <c r="AO42" i="4"/>
  <c r="AP42" i="4" s="1"/>
  <c r="AO43" i="4"/>
  <c r="AP43" i="4" s="1"/>
  <c r="AO44" i="4"/>
  <c r="AP44" i="4" s="1"/>
  <c r="AO45" i="4"/>
  <c r="AP45" i="4" s="1"/>
  <c r="AO46" i="4"/>
  <c r="AP46" i="4" s="1"/>
  <c r="AO47" i="4"/>
  <c r="AP47" i="4" s="1"/>
  <c r="AO48" i="4"/>
  <c r="AP48" i="4" s="1"/>
  <c r="AO49" i="4"/>
  <c r="AP49" i="4" s="1"/>
  <c r="AO50" i="4"/>
  <c r="AP50" i="4" s="1"/>
  <c r="AQ50" i="4" s="1"/>
  <c r="AO51" i="4"/>
  <c r="AP51" i="4" s="1"/>
  <c r="AO52" i="4"/>
  <c r="AP52" i="4" s="1"/>
  <c r="AO53" i="4"/>
  <c r="AP53" i="4" s="1"/>
  <c r="AO54" i="4"/>
  <c r="AP54" i="4" s="1"/>
  <c r="AO55" i="4"/>
  <c r="AP55" i="4" s="1"/>
  <c r="AO56" i="4"/>
  <c r="AP56" i="4" s="1"/>
  <c r="AO57" i="4"/>
  <c r="AP57" i="4" s="1"/>
  <c r="AO58" i="4"/>
  <c r="AP58" i="4" s="1"/>
  <c r="AO59" i="4"/>
  <c r="AP59" i="4" s="1"/>
  <c r="AO60" i="4"/>
  <c r="AP60" i="4" s="1"/>
  <c r="AO61" i="4"/>
  <c r="AP61" i="4" s="1"/>
  <c r="AO62" i="4"/>
  <c r="AP62" i="4" s="1"/>
  <c r="AO63" i="4"/>
  <c r="AP63" i="4" s="1"/>
  <c r="AO64" i="4"/>
  <c r="AP64" i="4" s="1"/>
  <c r="AO65" i="4"/>
  <c r="AP65" i="4" s="1"/>
  <c r="AO66" i="4"/>
  <c r="AP66" i="4" s="1"/>
  <c r="AO67" i="4"/>
  <c r="AP67" i="4" s="1"/>
  <c r="AO68" i="4"/>
  <c r="AP68" i="4" s="1"/>
  <c r="AO69" i="4"/>
  <c r="AP69" i="4" s="1"/>
  <c r="AO70" i="4"/>
  <c r="AP70" i="4" s="1"/>
  <c r="AO71" i="4"/>
  <c r="AP71" i="4" s="1"/>
  <c r="AO72" i="4"/>
  <c r="AP72" i="4" s="1"/>
  <c r="AO73" i="4"/>
  <c r="AP73" i="4" s="1"/>
  <c r="AO74" i="4"/>
  <c r="AP74" i="4" s="1"/>
  <c r="AO75" i="4"/>
  <c r="AP75" i="4" s="1"/>
  <c r="AO76" i="4"/>
  <c r="AP76" i="4" s="1"/>
  <c r="AO77" i="4"/>
  <c r="AP77" i="4" s="1"/>
  <c r="AO78" i="4"/>
  <c r="AP78" i="4" s="1"/>
  <c r="AO79" i="4"/>
  <c r="AP79" i="4" s="1"/>
  <c r="AO80" i="4"/>
  <c r="AP80" i="4" s="1"/>
  <c r="AO81" i="4"/>
  <c r="AP81" i="4" s="1"/>
  <c r="AO82" i="4"/>
  <c r="AP82" i="4" s="1"/>
  <c r="AO83" i="4"/>
  <c r="AP83" i="4" s="1"/>
  <c r="AO84" i="4"/>
  <c r="AP84" i="4" s="1"/>
  <c r="AO85" i="4"/>
  <c r="AP85" i="4" s="1"/>
  <c r="AO86" i="4"/>
  <c r="AP86" i="4" s="1"/>
  <c r="AO87" i="4"/>
  <c r="AP87" i="4" s="1"/>
  <c r="AO88" i="4"/>
  <c r="AP88" i="4" s="1"/>
  <c r="AO89" i="4"/>
  <c r="AP89" i="4" s="1"/>
  <c r="AO90" i="4"/>
  <c r="AP90" i="4" s="1"/>
  <c r="AO91" i="4"/>
  <c r="AP91" i="4" s="1"/>
  <c r="AO92" i="4"/>
  <c r="AP92" i="4" s="1"/>
  <c r="AO93" i="4"/>
  <c r="AP93" i="4" s="1"/>
  <c r="AO94" i="4"/>
  <c r="AP94" i="4" s="1"/>
  <c r="AO95" i="4"/>
  <c r="AP95" i="4" s="1"/>
  <c r="AO96" i="4"/>
  <c r="AP96" i="4" s="1"/>
  <c r="AO97" i="4"/>
  <c r="AP97" i="4" s="1"/>
  <c r="AO98" i="4"/>
  <c r="AP98" i="4" s="1"/>
  <c r="AO99" i="4"/>
  <c r="AP99" i="4" s="1"/>
  <c r="AO100" i="4"/>
  <c r="AP100" i="4" s="1"/>
  <c r="AO101" i="4"/>
  <c r="AP101" i="4" s="1"/>
  <c r="AO102" i="4"/>
  <c r="AP102" i="4" s="1"/>
  <c r="AO103" i="4"/>
  <c r="AP103" i="4" s="1"/>
  <c r="AO104" i="4"/>
  <c r="AP104" i="4" s="1"/>
  <c r="AO105" i="4"/>
  <c r="AP105" i="4" s="1"/>
  <c r="AO106" i="4"/>
  <c r="AP106" i="4" s="1"/>
  <c r="AO107" i="4"/>
  <c r="AP107" i="4" s="1"/>
  <c r="AO108" i="4"/>
  <c r="AP108" i="4" s="1"/>
  <c r="AO109" i="4"/>
  <c r="AP109" i="4" s="1"/>
  <c r="AO110" i="4"/>
  <c r="AP110" i="4" s="1"/>
  <c r="AO111" i="4"/>
  <c r="AP111" i="4" s="1"/>
  <c r="AO112" i="4"/>
  <c r="AP112" i="4" s="1"/>
  <c r="AO113" i="4"/>
  <c r="AP113" i="4" s="1"/>
  <c r="AO114" i="4"/>
  <c r="AP114" i="4" s="1"/>
  <c r="AO115" i="4"/>
  <c r="AP115" i="4" s="1"/>
  <c r="AO116" i="4"/>
  <c r="AP116" i="4" s="1"/>
  <c r="AO117" i="4"/>
  <c r="AP117" i="4" s="1"/>
  <c r="AO118" i="4"/>
  <c r="AP118" i="4" s="1"/>
  <c r="AO119" i="4"/>
  <c r="AP119" i="4" s="1"/>
  <c r="AO120" i="4"/>
  <c r="AP120" i="4" s="1"/>
  <c r="AO121" i="4"/>
  <c r="AP121" i="4" s="1"/>
  <c r="AO122" i="4"/>
  <c r="AP122" i="4" s="1"/>
  <c r="AO123" i="4"/>
  <c r="AP123" i="4" s="1"/>
  <c r="AO124" i="4"/>
  <c r="AP124" i="4" s="1"/>
  <c r="AO125" i="4"/>
  <c r="AP125" i="4" s="1"/>
  <c r="AO126" i="4"/>
  <c r="AP126" i="4" s="1"/>
  <c r="AO127" i="4"/>
  <c r="AP127" i="4" s="1"/>
  <c r="AO128" i="4"/>
  <c r="AP128" i="4" s="1"/>
  <c r="AO129" i="4"/>
  <c r="AP129" i="4" s="1"/>
  <c r="AO130" i="4"/>
  <c r="AP130" i="4" s="1"/>
  <c r="AO131" i="4"/>
  <c r="AP131" i="4" s="1"/>
  <c r="AO132" i="4"/>
  <c r="AP132" i="4" s="1"/>
  <c r="AO133" i="4"/>
  <c r="AP133" i="4" s="1"/>
  <c r="AO134" i="4"/>
  <c r="AP134" i="4" s="1"/>
  <c r="AO135" i="4"/>
  <c r="AP135" i="4" s="1"/>
  <c r="AO136" i="4"/>
  <c r="AP136" i="4" s="1"/>
  <c r="AO137" i="4"/>
  <c r="AP137" i="4" s="1"/>
  <c r="AO138" i="4"/>
  <c r="AP138" i="4" s="1"/>
  <c r="AO139" i="4"/>
  <c r="AP139" i="4" s="1"/>
  <c r="AO140" i="4"/>
  <c r="AP140" i="4" s="1"/>
  <c r="AO141" i="4"/>
  <c r="AP141" i="4" s="1"/>
  <c r="AO142" i="4"/>
  <c r="AP142" i="4" s="1"/>
  <c r="AO143" i="4"/>
  <c r="AP143" i="4" s="1"/>
  <c r="AO144" i="4"/>
  <c r="AP144" i="4" s="1"/>
  <c r="AO145" i="4"/>
  <c r="AP145" i="4" s="1"/>
  <c r="AO146" i="4"/>
  <c r="AP146" i="4" s="1"/>
  <c r="AO147" i="4"/>
  <c r="AP147" i="4" s="1"/>
  <c r="AO148" i="4"/>
  <c r="AP148" i="4" s="1"/>
  <c r="AO149" i="4"/>
  <c r="AP149" i="4" s="1"/>
  <c r="AO150" i="4"/>
  <c r="AP150" i="4" s="1"/>
  <c r="AO151" i="4"/>
  <c r="AP151" i="4" s="1"/>
  <c r="AO152" i="4"/>
  <c r="AP152" i="4" s="1"/>
  <c r="AO153" i="4"/>
  <c r="AP153" i="4" s="1"/>
  <c r="AO155" i="4"/>
  <c r="AP155" i="4" s="1"/>
  <c r="AO154" i="4"/>
  <c r="AP154" i="4" s="1"/>
  <c r="AQ130" i="4" l="1"/>
  <c r="AQ16" i="4"/>
  <c r="AQ66" i="4"/>
  <c r="AQ114" i="4"/>
  <c r="AQ82" i="4"/>
  <c r="AQ146" i="4"/>
  <c r="AQ98" i="4"/>
  <c r="AQ96" i="4"/>
  <c r="AQ80" i="4"/>
  <c r="AQ64" i="4"/>
  <c r="AQ48" i="4"/>
  <c r="AQ32" i="4"/>
  <c r="AQ144" i="4"/>
  <c r="AQ127" i="4"/>
  <c r="AQ111" i="4"/>
  <c r="AQ95" i="4"/>
  <c r="AQ79" i="4"/>
  <c r="AQ63" i="4"/>
  <c r="AQ47" i="4"/>
  <c r="AQ31" i="4"/>
  <c r="AQ33" i="4"/>
  <c r="AQ126" i="4"/>
  <c r="AQ110" i="4"/>
  <c r="AQ94" i="4"/>
  <c r="AQ78" i="4"/>
  <c r="AQ62" i="4"/>
  <c r="AQ46" i="4"/>
  <c r="AQ30" i="4"/>
  <c r="AQ49" i="4"/>
  <c r="AQ125" i="4"/>
  <c r="AQ109" i="4"/>
  <c r="AQ93" i="4"/>
  <c r="AQ77" i="4"/>
  <c r="AQ61" i="4"/>
  <c r="AQ45" i="4"/>
  <c r="AQ29" i="4"/>
  <c r="AQ81" i="4"/>
  <c r="AQ124" i="4"/>
  <c r="AQ76" i="4"/>
  <c r="AQ60" i="4"/>
  <c r="AQ44" i="4"/>
  <c r="AQ28" i="4"/>
  <c r="AQ128" i="4"/>
  <c r="AQ92" i="4"/>
  <c r="AQ154" i="4"/>
  <c r="AQ139" i="4"/>
  <c r="AQ123" i="4"/>
  <c r="AQ107" i="4"/>
  <c r="AQ91" i="4"/>
  <c r="AQ75" i="4"/>
  <c r="AQ59" i="4"/>
  <c r="AQ43" i="4"/>
  <c r="AQ27" i="4"/>
  <c r="AQ145" i="4"/>
  <c r="AQ140" i="4"/>
  <c r="AQ108" i="4"/>
  <c r="AQ155" i="4"/>
  <c r="AQ138" i="4"/>
  <c r="AQ122" i="4"/>
  <c r="AQ106" i="4"/>
  <c r="AQ90" i="4"/>
  <c r="AQ74" i="4"/>
  <c r="AQ58" i="4"/>
  <c r="AQ42" i="4"/>
  <c r="AQ26" i="4"/>
  <c r="AQ137" i="4"/>
  <c r="AQ121" i="4"/>
  <c r="AQ105" i="4"/>
  <c r="AQ89" i="4"/>
  <c r="AQ73" i="4"/>
  <c r="AQ57" i="4"/>
  <c r="AQ41" i="4"/>
  <c r="AQ25" i="4"/>
  <c r="AQ65" i="4"/>
  <c r="AQ152" i="4"/>
  <c r="AQ136" i="4"/>
  <c r="AQ120" i="4"/>
  <c r="AQ104" i="4"/>
  <c r="AQ88" i="4"/>
  <c r="AQ72" i="4"/>
  <c r="AQ56" i="4"/>
  <c r="AQ40" i="4"/>
  <c r="AQ24" i="4"/>
  <c r="AQ113" i="4"/>
  <c r="AQ142" i="4"/>
  <c r="AQ119" i="4"/>
  <c r="AQ103" i="4"/>
  <c r="AQ87" i="4"/>
  <c r="AQ71" i="4"/>
  <c r="AQ55" i="4"/>
  <c r="AQ39" i="4"/>
  <c r="AQ23" i="4"/>
  <c r="AQ129" i="4"/>
  <c r="AQ141" i="4"/>
  <c r="AQ118" i="4"/>
  <c r="AQ102" i="4"/>
  <c r="AQ86" i="4"/>
  <c r="AQ70" i="4"/>
  <c r="AQ54" i="4"/>
  <c r="AQ38" i="4"/>
  <c r="AQ22" i="4"/>
  <c r="AQ5" i="4"/>
  <c r="AQ4" i="4"/>
  <c r="AQ3" i="4"/>
  <c r="AQ7" i="4"/>
  <c r="AQ6" i="4"/>
  <c r="AQ9" i="4"/>
  <c r="AQ8" i="4"/>
  <c r="AQ10" i="4"/>
  <c r="AQ12" i="4"/>
  <c r="AQ13" i="4"/>
  <c r="AQ14" i="4"/>
  <c r="AQ97" i="4"/>
  <c r="AQ153" i="4"/>
  <c r="AQ133" i="4"/>
  <c r="AQ101" i="4"/>
  <c r="AQ85" i="4"/>
  <c r="AQ69" i="4"/>
  <c r="AQ53" i="4"/>
  <c r="AQ37" i="4"/>
  <c r="AQ21" i="4"/>
  <c r="AQ112" i="4"/>
  <c r="AQ151" i="4"/>
  <c r="AQ150" i="4"/>
  <c r="AQ149" i="4"/>
  <c r="AQ148" i="4"/>
  <c r="AQ132" i="4"/>
  <c r="AQ116" i="4"/>
  <c r="AQ100" i="4"/>
  <c r="AQ84" i="4"/>
  <c r="AQ68" i="4"/>
  <c r="AQ52" i="4"/>
  <c r="AQ36" i="4"/>
  <c r="AQ20" i="4"/>
  <c r="AQ143" i="4"/>
  <c r="AQ135" i="4"/>
  <c r="AQ134" i="4"/>
  <c r="AQ117" i="4"/>
  <c r="AQ147" i="4"/>
  <c r="AQ131" i="4"/>
  <c r="AQ115" i="4"/>
  <c r="AQ99" i="4"/>
  <c r="AQ83" i="4"/>
  <c r="AQ67" i="4"/>
  <c r="AQ51" i="4"/>
  <c r="AQ35" i="4"/>
  <c r="AQ19" i="4"/>
  <c r="AR159" i="4" l="1"/>
  <c r="AS21" i="4" s="1"/>
  <c r="AT18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<sst xmlns="http://schemas.openxmlformats.org/spreadsheetml/2006/main" count="107" uniqueCount="89">
  <si>
    <t>Engine Efficiency</t>
  </si>
  <si>
    <t xml:space="preserve"> = 1/(BSFC * LHV)</t>
  </si>
  <si>
    <t xml:space="preserve"> = 34.4%</t>
  </si>
  <si>
    <t xml:space="preserve">Fuel per lap = </t>
  </si>
  <si>
    <t>MPG</t>
  </si>
  <si>
    <t>ICE Only Buggy</t>
  </si>
  <si>
    <t>Series Hybrid Buggy</t>
  </si>
  <si>
    <t>Avg BSFC = 241</t>
  </si>
  <si>
    <t>Avg BSFC = 175</t>
  </si>
  <si>
    <t>Peak Power (KW)</t>
  </si>
  <si>
    <t>Avg Power (KW)</t>
  </si>
  <si>
    <t>Total Time (S)</t>
  </si>
  <si>
    <t>Total</t>
  </si>
  <si>
    <t xml:space="preserve"> = 47.4%</t>
  </si>
  <si>
    <t>ICE</t>
  </si>
  <si>
    <t>Generator</t>
  </si>
  <si>
    <t>Battery and BMS</t>
  </si>
  <si>
    <t>Motor and contoller</t>
  </si>
  <si>
    <t>Final drive solution</t>
  </si>
  <si>
    <t>48V 25KW BSG MODULE</t>
  </si>
  <si>
    <t>LEM 170-127 LEMCO 48 Volt + EM-243C DC-MOTOR CONTROLLER 12-48V 50A</t>
  </si>
  <si>
    <t>Mass (Kg)</t>
  </si>
  <si>
    <t>Cost (£)</t>
  </si>
  <si>
    <t xml:space="preserve">FOX LV5200 48V 5.12 kWh IP21 Rated + Tracer 10415AN Charge Controller </t>
  </si>
  <si>
    <t>Requirements:</t>
  </si>
  <si>
    <t>Efficiencies and required power:</t>
  </si>
  <si>
    <t>Required power (KW)</t>
  </si>
  <si>
    <t>Efficiency %</t>
  </si>
  <si>
    <t>Powersport r740 4-STROKE GASOLINE ENGINE 740cc w/ 19.2KW @ 3600rpm</t>
  </si>
  <si>
    <t>BSFC(g/kWh)</t>
  </si>
  <si>
    <t>Power(Kw)</t>
  </si>
  <si>
    <t>RPM</t>
  </si>
  <si>
    <t>Single gear with final drive ratio of 6.5:1 with theoretical top speed of 52kph at peak motor speed of 3200rpm</t>
  </si>
  <si>
    <t>Distance (m)</t>
  </si>
  <si>
    <t>Time</t>
  </si>
  <si>
    <t>Cumulative Time</t>
  </si>
  <si>
    <t>Speed (Kph)</t>
  </si>
  <si>
    <t>Time(s)</t>
  </si>
  <si>
    <t>Speed (m/s)</t>
  </si>
  <si>
    <t>Aero Force (N)</t>
  </si>
  <si>
    <t>Acceleration (M/s/s)</t>
  </si>
  <si>
    <t>Accel Resistance (N)</t>
  </si>
  <si>
    <t>Elavation (m)</t>
  </si>
  <si>
    <t>Corrected Elevation (m)</t>
  </si>
  <si>
    <t>K.E (KJ)</t>
  </si>
  <si>
    <t>P.E (KJ)</t>
  </si>
  <si>
    <t>Gradient</t>
  </si>
  <si>
    <t>Theta (Radians)</t>
  </si>
  <si>
    <t>Theta (Degrees)</t>
  </si>
  <si>
    <t>Gradient Resistance (N)</t>
  </si>
  <si>
    <t>Rolling Resistance (N)</t>
  </si>
  <si>
    <t>Total Road Resistance (KN)</t>
  </si>
  <si>
    <t>Cumulative Total Road Resistance (N)</t>
  </si>
  <si>
    <t>Surface Mu</t>
  </si>
  <si>
    <t>Power (KW)</t>
  </si>
  <si>
    <t>Within Limit Power</t>
  </si>
  <si>
    <t>Tractive Power</t>
  </si>
  <si>
    <t>Braking Power</t>
  </si>
  <si>
    <t>CUM. Tractive Energy</t>
  </si>
  <si>
    <t>CUM. Brake Energy</t>
  </si>
  <si>
    <t>Lookup Power</t>
  </si>
  <si>
    <t>Gear</t>
  </si>
  <si>
    <t>RPM Band</t>
  </si>
  <si>
    <t>Power Look</t>
  </si>
  <si>
    <t>BSFC (g/Kwh)</t>
  </si>
  <si>
    <t>Fuel Usage (litre/hour)</t>
  </si>
  <si>
    <t>Fuel Usage (ml/sec)</t>
  </si>
  <si>
    <t>Max Power (Kw)</t>
  </si>
  <si>
    <t>Avg Power (Kw)</t>
  </si>
  <si>
    <t>Total Mass (Kg)</t>
  </si>
  <si>
    <t>a=(v-u)/t</t>
  </si>
  <si>
    <t>RRc = mud = 0.12</t>
  </si>
  <si>
    <t>RRc = grass = 0.06</t>
  </si>
  <si>
    <t>RRc = gravel = 0.08</t>
  </si>
  <si>
    <t>LHV (KWh/g)</t>
  </si>
  <si>
    <t>Petrol LHV = 43.4MJ/Kg</t>
  </si>
  <si>
    <t>% MPG Increase</t>
  </si>
  <si>
    <t>Cumulative Fuel Usage Series Hybrid</t>
  </si>
  <si>
    <t>Miles</t>
  </si>
  <si>
    <t>Cost Effectiveness</t>
  </si>
  <si>
    <t>Grams</t>
  </si>
  <si>
    <t>Fuel cost Per litre (£)</t>
  </si>
  <si>
    <t>Fuel cost Per Gallon (£)</t>
  </si>
  <si>
    <t>Lap Distance</t>
  </si>
  <si>
    <t>ICE Only cost per lap (£)</t>
  </si>
  <si>
    <t>SH cost per lap (£)</t>
  </si>
  <si>
    <t>SH Total Cost (£)</t>
  </si>
  <si>
    <t>Laps to break Even</t>
  </si>
  <si>
    <t>Miles to break 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</si>
</sst>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MathJax_Main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6" fillId="0" borderId="0" xfId="0" applyFont="1"/>
    <xf numFmtId="0" fontId="6" fillId="2" borderId="0" xfId="0" applyFont="1" applyFill="1"/>
    <xf numFmtId="0" fontId="0" fillId="4" borderId="0" xfId="0" applyFill="1"/>
    <xf numFmtId="0" fontId="1" fillId="4" borderId="0" xfId="0" applyFont="1" applyFill="1"/>
    <xf numFmtId="168" fontId="0" fillId="4" borderId="0" xfId="0" applyNumberFormat="1" applyFill="1"/>
    <xf numFmtId="0" fontId="4" fillId="4" borderId="0" xfId="0" applyFont="1" applyFill="1"/>
    <xf numFmtId="168" fontId="0" fillId="0" borderId="0" xfId="0" applyNumberFormat="1"/>
    <xf numFmtId="2" fontId="0" fillId="0" borderId="0" xfId="0" applyNumberFormat="1"/>
    <xf numFmtId="2" fontId="4" fillId="0" borderId="0" xfId="0" applyNumberFormat="1" applyFont="1"/>
    <xf numFmtId="1" fontId="0" fillId="0" borderId="0" xfId="0" applyNumberFormat="1"/>
    <xf numFmtId="2" fontId="0" fillId="5" borderId="0" xfId="0" applyNumberFormat="1" applyFill="1"/>
    <xf numFmtId="0" fontId="0" fillId="6" borderId="0" xfId="0" applyFill="1"/>
    <xf numFmtId="0" fontId="5" fillId="0" borderId="0" xfId="0" applyFont="1"/>
    <xf numFmtId="0" fontId="7" fillId="0" borderId="0" xfId="0" applyFont="1"/>
    <xf numFmtId="168" fontId="0" fillId="3" borderId="0" xfId="0" applyNumberFormat="1" applyFill="1"/>
    <xf numFmtId="168" fontId="0" fillId="2" borderId="0" xfId="0" applyNumberFormat="1" applyFill="1"/>
    <xf numFmtId="0" fontId="0" fillId="7" borderId="1" xfId="0" applyFill="1" applyBorder="1"/>
    <xf numFmtId="1" fontId="0" fillId="7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766039090825248E-2"/>
          <c:y val="3.4668382798304059E-2"/>
          <c:w val="0.86168753883145544"/>
          <c:h val="0.93169209747144355"/>
        </c:manualLayout>
      </c:layout>
      <c:lineChart>
        <c:grouping val="standard"/>
        <c:varyColors val="0"/>
        <c:ser>
          <c:idx val="1"/>
          <c:order val="1"/>
          <c:tx>
            <c:strRef>
              <c:f>'[1]Main Data'!$L$1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('[1]Main Data'!$A:$A,'[1]Main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'[1]Main Data'!$L$3:$L$155</c:f>
              <c:numCache>
                <c:formatCode>General</c:formatCode>
                <c:ptCount val="153"/>
                <c:pt idx="0">
                  <c:v>80.782830010282282</c:v>
                </c:pt>
                <c:pt idx="1">
                  <c:v>81.186512862525049</c:v>
                </c:pt>
                <c:pt idx="2">
                  <c:v>62.136656467857492</c:v>
                </c:pt>
                <c:pt idx="3">
                  <c:v>63.575060551496179</c:v>
                </c:pt>
                <c:pt idx="4">
                  <c:v>64.998012448727067</c:v>
                </c:pt>
                <c:pt idx="5">
                  <c:v>66.304096686274832</c:v>
                </c:pt>
                <c:pt idx="6">
                  <c:v>67.531707227083075</c:v>
                </c:pt>
                <c:pt idx="7">
                  <c:v>68.669119860442322</c:v>
                </c:pt>
                <c:pt idx="8">
                  <c:v>69.712902257398099</c:v>
                </c:pt>
                <c:pt idx="9">
                  <c:v>70.662680806799656</c:v>
                </c:pt>
                <c:pt idx="10">
                  <c:v>71.521147756238648</c:v>
                </c:pt>
                <c:pt idx="11">
                  <c:v>72.293749756170087</c:v>
                </c:pt>
                <c:pt idx="12">
                  <c:v>70.743479699101457</c:v>
                </c:pt>
                <c:pt idx="13">
                  <c:v>61.578553763072939</c:v>
                </c:pt>
                <c:pt idx="14">
                  <c:v>53.113096049473299</c:v>
                </c:pt>
                <c:pt idx="15">
                  <c:v>45.35010637280584</c:v>
                </c:pt>
                <c:pt idx="16">
                  <c:v>38.279889402917341</c:v>
                </c:pt>
                <c:pt idx="17">
                  <c:v>31.936922137027697</c:v>
                </c:pt>
                <c:pt idx="18">
                  <c:v>26.253192687354701</c:v>
                </c:pt>
                <c:pt idx="19">
                  <c:v>21.220469517561519</c:v>
                </c:pt>
                <c:pt idx="20">
                  <c:v>16.854143678362298</c:v>
                </c:pt>
                <c:pt idx="21">
                  <c:v>13.43615909264155</c:v>
                </c:pt>
                <c:pt idx="22">
                  <c:v>10.926450531230588</c:v>
                </c:pt>
                <c:pt idx="23">
                  <c:v>9.1646655625812077</c:v>
                </c:pt>
                <c:pt idx="24">
                  <c:v>8.1969883727217834</c:v>
                </c:pt>
                <c:pt idx="25">
                  <c:v>8.2997588066639523</c:v>
                </c:pt>
                <c:pt idx="26">
                  <c:v>8.750484479291023</c:v>
                </c:pt>
                <c:pt idx="27">
                  <c:v>9.8908565942541475</c:v>
                </c:pt>
                <c:pt idx="28">
                  <c:v>10.958012148408827</c:v>
                </c:pt>
                <c:pt idx="29">
                  <c:v>9.2905710689992684</c:v>
                </c:pt>
                <c:pt idx="30">
                  <c:v>8.2581618414293363</c:v>
                </c:pt>
                <c:pt idx="31">
                  <c:v>7.042690807476907</c:v>
                </c:pt>
                <c:pt idx="32">
                  <c:v>5.9344686608064929</c:v>
                </c:pt>
                <c:pt idx="33">
                  <c:v>5.386990025133267</c:v>
                </c:pt>
                <c:pt idx="34">
                  <c:v>5.0156864130754704</c:v>
                </c:pt>
                <c:pt idx="35">
                  <c:v>5.0258626374301638</c:v>
                </c:pt>
                <c:pt idx="36">
                  <c:v>5.4704921838422242</c:v>
                </c:pt>
                <c:pt idx="37">
                  <c:v>6.2989357308946579</c:v>
                </c:pt>
                <c:pt idx="38">
                  <c:v>7.5324702267909833</c:v>
                </c:pt>
                <c:pt idx="39">
                  <c:v>8.7193376281545856</c:v>
                </c:pt>
                <c:pt idx="40">
                  <c:v>10.122463356897718</c:v>
                </c:pt>
                <c:pt idx="41">
                  <c:v>10.340740211558963</c:v>
                </c:pt>
                <c:pt idx="42">
                  <c:v>10.699372159980657</c:v>
                </c:pt>
                <c:pt idx="43">
                  <c:v>11.552804769452916</c:v>
                </c:pt>
                <c:pt idx="44">
                  <c:v>12.980190523922362</c:v>
                </c:pt>
                <c:pt idx="45">
                  <c:v>15.000884524492701</c:v>
                </c:pt>
                <c:pt idx="46">
                  <c:v>16.670764816496632</c:v>
                </c:pt>
                <c:pt idx="47">
                  <c:v>18.005928004811182</c:v>
                </c:pt>
                <c:pt idx="48">
                  <c:v>16.025956721163723</c:v>
                </c:pt>
                <c:pt idx="49">
                  <c:v>14.454070036587826</c:v>
                </c:pt>
                <c:pt idx="50">
                  <c:v>13.772045224074137</c:v>
                </c:pt>
                <c:pt idx="51">
                  <c:v>13.717015477541175</c:v>
                </c:pt>
                <c:pt idx="52">
                  <c:v>13.702170924995771</c:v>
                </c:pt>
                <c:pt idx="53">
                  <c:v>13.742133181845503</c:v>
                </c:pt>
                <c:pt idx="54">
                  <c:v>13.895995591307814</c:v>
                </c:pt>
                <c:pt idx="55">
                  <c:v>14.40723658618986</c:v>
                </c:pt>
                <c:pt idx="56">
                  <c:v>15.526002621992424</c:v>
                </c:pt>
                <c:pt idx="57">
                  <c:v>17.2239185384739</c:v>
                </c:pt>
                <c:pt idx="58">
                  <c:v>18.572092679323106</c:v>
                </c:pt>
                <c:pt idx="59">
                  <c:v>19.944527936635797</c:v>
                </c:pt>
                <c:pt idx="60">
                  <c:v>21.725079485756169</c:v>
                </c:pt>
                <c:pt idx="61">
                  <c:v>23.40883300656116</c:v>
                </c:pt>
                <c:pt idx="62">
                  <c:v>25.080758027020639</c:v>
                </c:pt>
                <c:pt idx="63">
                  <c:v>26.708435720681351</c:v>
                </c:pt>
                <c:pt idx="64">
                  <c:v>28.428926367831032</c:v>
                </c:pt>
                <c:pt idx="65">
                  <c:v>30.161946502719207</c:v>
                </c:pt>
                <c:pt idx="66">
                  <c:v>31.911538405288827</c:v>
                </c:pt>
                <c:pt idx="67">
                  <c:v>30.377561067881224</c:v>
                </c:pt>
                <c:pt idx="68">
                  <c:v>27.137732931349227</c:v>
                </c:pt>
                <c:pt idx="69">
                  <c:v>26.498243206393116</c:v>
                </c:pt>
                <c:pt idx="70">
                  <c:v>27.096437432953639</c:v>
                </c:pt>
                <c:pt idx="71">
                  <c:v>27.220422046072947</c:v>
                </c:pt>
                <c:pt idx="72">
                  <c:v>27.399589482989878</c:v>
                </c:pt>
                <c:pt idx="73">
                  <c:v>27.939630423483909</c:v>
                </c:pt>
                <c:pt idx="74">
                  <c:v>29.144482713302306</c:v>
                </c:pt>
                <c:pt idx="75">
                  <c:v>30.7687823083407</c:v>
                </c:pt>
                <c:pt idx="76">
                  <c:v>32.632774192009471</c:v>
                </c:pt>
                <c:pt idx="77">
                  <c:v>34.300202238998139</c:v>
                </c:pt>
                <c:pt idx="78">
                  <c:v>35.929423643614165</c:v>
                </c:pt>
                <c:pt idx="79">
                  <c:v>37.531380597072541</c:v>
                </c:pt>
                <c:pt idx="80">
                  <c:v>39.107911350535019</c:v>
                </c:pt>
                <c:pt idx="81">
                  <c:v>40.637127037410657</c:v>
                </c:pt>
                <c:pt idx="82">
                  <c:v>41.961819719808361</c:v>
                </c:pt>
                <c:pt idx="83">
                  <c:v>43.680750645027366</c:v>
                </c:pt>
                <c:pt idx="84">
                  <c:v>45.353088069298074</c:v>
                </c:pt>
                <c:pt idx="85">
                  <c:v>46.948411755455972</c:v>
                </c:pt>
                <c:pt idx="86">
                  <c:v>48.586621279277786</c:v>
                </c:pt>
                <c:pt idx="87">
                  <c:v>50.254929906634629</c:v>
                </c:pt>
                <c:pt idx="88">
                  <c:v>51.812172784037763</c:v>
                </c:pt>
                <c:pt idx="89">
                  <c:v>53.2988977870735</c:v>
                </c:pt>
                <c:pt idx="90">
                  <c:v>54.400013820297765</c:v>
                </c:pt>
                <c:pt idx="91">
                  <c:v>56.066877810691366</c:v>
                </c:pt>
                <c:pt idx="92">
                  <c:v>57.619937265369437</c:v>
                </c:pt>
                <c:pt idx="93">
                  <c:v>59.158122801038935</c:v>
                </c:pt>
                <c:pt idx="94">
                  <c:v>60.666491537407104</c:v>
                </c:pt>
                <c:pt idx="95">
                  <c:v>62.143018783509746</c:v>
                </c:pt>
                <c:pt idx="96">
                  <c:v>63.578781620253622</c:v>
                </c:pt>
                <c:pt idx="97">
                  <c:v>64.957430750543764</c:v>
                </c:pt>
                <c:pt idx="98">
                  <c:v>66.268536151192961</c:v>
                </c:pt>
                <c:pt idx="99">
                  <c:v>67.499079012177972</c:v>
                </c:pt>
                <c:pt idx="100">
                  <c:v>68.63478234633736</c:v>
                </c:pt>
                <c:pt idx="101">
                  <c:v>69.69679443218601</c:v>
                </c:pt>
                <c:pt idx="102">
                  <c:v>66.769113800294207</c:v>
                </c:pt>
                <c:pt idx="103">
                  <c:v>58.707390020524443</c:v>
                </c:pt>
                <c:pt idx="104">
                  <c:v>51.562436255258085</c:v>
                </c:pt>
                <c:pt idx="105">
                  <c:v>45.133471917487121</c:v>
                </c:pt>
                <c:pt idx="106">
                  <c:v>39.262394459891077</c:v>
                </c:pt>
                <c:pt idx="107">
                  <c:v>33.52248371210959</c:v>
                </c:pt>
                <c:pt idx="108">
                  <c:v>29.736703578380197</c:v>
                </c:pt>
                <c:pt idx="109">
                  <c:v>29.750585515922193</c:v>
                </c:pt>
                <c:pt idx="110">
                  <c:v>24.757103082969973</c:v>
                </c:pt>
                <c:pt idx="111">
                  <c:v>21.662122154733112</c:v>
                </c:pt>
                <c:pt idx="112">
                  <c:v>22.373433867461198</c:v>
                </c:pt>
                <c:pt idx="113">
                  <c:v>23.220216468622006</c:v>
                </c:pt>
                <c:pt idx="114">
                  <c:v>23.807225092005275</c:v>
                </c:pt>
                <c:pt idx="115">
                  <c:v>24.13465138653299</c:v>
                </c:pt>
                <c:pt idx="116">
                  <c:v>24.59312695884271</c:v>
                </c:pt>
                <c:pt idx="117">
                  <c:v>25.482961417947948</c:v>
                </c:pt>
                <c:pt idx="118">
                  <c:v>26.896948901555103</c:v>
                </c:pt>
                <c:pt idx="119">
                  <c:v>28.754664406736314</c:v>
                </c:pt>
                <c:pt idx="120">
                  <c:v>30.566855922400553</c:v>
                </c:pt>
                <c:pt idx="121">
                  <c:v>32.204252043605536</c:v>
                </c:pt>
                <c:pt idx="122">
                  <c:v>33.913114373413556</c:v>
                </c:pt>
                <c:pt idx="123">
                  <c:v>35.678539867287419</c:v>
                </c:pt>
                <c:pt idx="124">
                  <c:v>37.340728598557504</c:v>
                </c:pt>
                <c:pt idx="125">
                  <c:v>38.91773827403096</c:v>
                </c:pt>
                <c:pt idx="126">
                  <c:v>40.345031422509351</c:v>
                </c:pt>
                <c:pt idx="127">
                  <c:v>41.387472979178909</c:v>
                </c:pt>
                <c:pt idx="128">
                  <c:v>39.628503817079377</c:v>
                </c:pt>
                <c:pt idx="129">
                  <c:v>35.740031127832822</c:v>
                </c:pt>
                <c:pt idx="130">
                  <c:v>32.5974829453883</c:v>
                </c:pt>
                <c:pt idx="131">
                  <c:v>30.455719367526545</c:v>
                </c:pt>
                <c:pt idx="132">
                  <c:v>28.783370275324479</c:v>
                </c:pt>
                <c:pt idx="133">
                  <c:v>27.698189243366166</c:v>
                </c:pt>
                <c:pt idx="134">
                  <c:v>27.262772737705532</c:v>
                </c:pt>
                <c:pt idx="135">
                  <c:v>27.296791336741066</c:v>
                </c:pt>
                <c:pt idx="136">
                  <c:v>27.361776615203947</c:v>
                </c:pt>
                <c:pt idx="137">
                  <c:v>27.725022012198984</c:v>
                </c:pt>
                <c:pt idx="138">
                  <c:v>28.400014757045142</c:v>
                </c:pt>
                <c:pt idx="139">
                  <c:v>29.430913135762193</c:v>
                </c:pt>
                <c:pt idx="140">
                  <c:v>30.887412520041398</c:v>
                </c:pt>
                <c:pt idx="141">
                  <c:v>32.60420507715709</c:v>
                </c:pt>
                <c:pt idx="142">
                  <c:v>34.250496608287122</c:v>
                </c:pt>
                <c:pt idx="143">
                  <c:v>35.789500495092987</c:v>
                </c:pt>
                <c:pt idx="144">
                  <c:v>37.345253390388571</c:v>
                </c:pt>
                <c:pt idx="145">
                  <c:v>38.868353913689859</c:v>
                </c:pt>
                <c:pt idx="146">
                  <c:v>40.543555692375591</c:v>
                </c:pt>
                <c:pt idx="147">
                  <c:v>42.185821698679966</c:v>
                </c:pt>
                <c:pt idx="148">
                  <c:v>43.8408635333532</c:v>
                </c:pt>
                <c:pt idx="149">
                  <c:v>45.496986354521411</c:v>
                </c:pt>
                <c:pt idx="150">
                  <c:v>47.145382469357237</c:v>
                </c:pt>
                <c:pt idx="151">
                  <c:v>48.778075842599378</c:v>
                </c:pt>
                <c:pt idx="152">
                  <c:v>50.270146068723932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0C-400A-BFEB-437740A4BC58}"/>
            </c:ext>
          </c:extLst>
        </c:ser>
        <c:ser>
          <c:idx val="2"/>
          <c:order val="2"/>
          <c:tx>
            <c:strRef>
              <c:f>'[1]Main Data'!$N$1</c:f>
              <c:strCache>
                <c:ptCount val="1"/>
                <c:pt idx="0">
                  <c:v>Accel Resistance (N)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('[1]Main Data'!$A:$A,'[1]Main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'[1]Main Data'!$N$3:$N$155</c:f>
              <c:numCache>
                <c:formatCode>General</c:formatCode>
                <c:ptCount val="153"/>
                <c:pt idx="1">
                  <c:v>27.754965037039494</c:v>
                </c:pt>
                <c:pt idx="2">
                  <c:v>142.77581753026996</c:v>
                </c:pt>
                <c:pt idx="3">
                  <c:v>132.52142237524311</c:v>
                </c:pt>
                <c:pt idx="4">
                  <c:v>131.09779896867769</c:v>
                </c:pt>
                <c:pt idx="5">
                  <c:v>120.33067958474386</c:v>
                </c:pt>
                <c:pt idx="6">
                  <c:v>113.10082948263894</c:v>
                </c:pt>
                <c:pt idx="7">
                  <c:v>104.79081762548728</c:v>
                </c:pt>
                <c:pt idx="8">
                  <c:v>96.164582309101036</c:v>
                </c:pt>
                <c:pt idx="9">
                  <c:v>87.503925871644981</c:v>
                </c:pt>
                <c:pt idx="10">
                  <c:v>79.091308552184969</c:v>
                </c:pt>
                <c:pt idx="11">
                  <c:v>71.180495888100936</c:v>
                </c:pt>
                <c:pt idx="12">
                  <c:v>-142.82773204368047</c:v>
                </c:pt>
                <c:pt idx="13">
                  <c:v>-844.37261741766724</c:v>
                </c:pt>
                <c:pt idx="14">
                  <c:v>-779.93000021647435</c:v>
                </c:pt>
                <c:pt idx="15">
                  <c:v>-715.2110074895462</c:v>
                </c:pt>
                <c:pt idx="16">
                  <c:v>-651.38525398302443</c:v>
                </c:pt>
                <c:pt idx="17">
                  <c:v>-584.38310466202017</c:v>
                </c:pt>
                <c:pt idx="18">
                  <c:v>-523.64694986219513</c:v>
                </c:pt>
                <c:pt idx="19">
                  <c:v>-463.66917368218816</c:v>
                </c:pt>
                <c:pt idx="20">
                  <c:v>-402.27340658037514</c:v>
                </c:pt>
                <c:pt idx="21">
                  <c:v>-314.9019000353091</c:v>
                </c:pt>
                <c:pt idx="22">
                  <c:v>-231.22163798656845</c:v>
                </c:pt>
                <c:pt idx="23">
                  <c:v>-162.31478526821633</c:v>
                </c:pt>
                <c:pt idx="24">
                  <c:v>-89.152943222915155</c:v>
                </c:pt>
                <c:pt idx="25">
                  <c:v>9.4683296849971601</c:v>
                </c:pt>
                <c:pt idx="26">
                  <c:v>41.525749208440921</c:v>
                </c:pt>
                <c:pt idx="27">
                  <c:v>105.06347724603562</c:v>
                </c:pt>
                <c:pt idx="28">
                  <c:v>98.317971660975019</c:v>
                </c:pt>
                <c:pt idx="29">
                  <c:v>-153.62280049378091</c:v>
                </c:pt>
                <c:pt idx="30">
                  <c:v>-95.116762297277248</c:v>
                </c:pt>
                <c:pt idx="31">
                  <c:v>-111.98240613153325</c:v>
                </c:pt>
                <c:pt idx="32">
                  <c:v>-102.10147263555697</c:v>
                </c:pt>
                <c:pt idx="33">
                  <c:v>-50.439684053134236</c:v>
                </c:pt>
                <c:pt idx="34">
                  <c:v>-34.208525519818259</c:v>
                </c:pt>
                <c:pt idx="35">
                  <c:v>0.93754442248401215</c:v>
                </c:pt>
                <c:pt idx="36">
                  <c:v>40.964107785018221</c:v>
                </c:pt>
                <c:pt idx="37">
                  <c:v>76.325226312801149</c:v>
                </c:pt>
                <c:pt idx="38">
                  <c:v>113.64660863002098</c:v>
                </c:pt>
                <c:pt idx="39">
                  <c:v>109.34712852151635</c:v>
                </c:pt>
                <c:pt idx="40">
                  <c:v>129.27119677939339</c:v>
                </c:pt>
                <c:pt idx="41">
                  <c:v>20.110036936302571</c:v>
                </c:pt>
                <c:pt idx="42">
                  <c:v>33.041074100555669</c:v>
                </c:pt>
                <c:pt idx="43">
                  <c:v>78.627490421591588</c:v>
                </c:pt>
                <c:pt idx="44">
                  <c:v>131.5062941019608</c:v>
                </c:pt>
                <c:pt idx="45">
                  <c:v>186.16830012279581</c:v>
                </c:pt>
                <c:pt idx="46">
                  <c:v>153.84752727685844</c:v>
                </c:pt>
                <c:pt idx="47">
                  <c:v>123.00974867292892</c:v>
                </c:pt>
                <c:pt idx="48">
                  <c:v>-182.41648070640923</c:v>
                </c:pt>
                <c:pt idx="49">
                  <c:v>-144.81929078354014</c:v>
                </c:pt>
                <c:pt idx="50">
                  <c:v>-62.835540636734116</c:v>
                </c:pt>
                <c:pt idx="51">
                  <c:v>-5.0699385287125347</c:v>
                </c:pt>
                <c:pt idx="52">
                  <c:v>-1.3676415690259383</c:v>
                </c:pt>
                <c:pt idx="53">
                  <c:v>3.6817575667991713</c:v>
                </c:pt>
                <c:pt idx="54">
                  <c:v>14.175477936941896</c:v>
                </c:pt>
                <c:pt idx="55">
                  <c:v>47.101078611315629</c:v>
                </c:pt>
                <c:pt idx="56">
                  <c:v>103.07289033455628</c:v>
                </c:pt>
                <c:pt idx="57">
                  <c:v>156.43047380433492</c:v>
                </c:pt>
                <c:pt idx="58">
                  <c:v>124.20845907424281</c:v>
                </c:pt>
                <c:pt idx="59">
                  <c:v>126.44365688737638</c:v>
                </c:pt>
                <c:pt idx="60">
                  <c:v>164.04376668965713</c:v>
                </c:pt>
                <c:pt idx="61">
                  <c:v>155.12567994241721</c:v>
                </c:pt>
                <c:pt idx="62">
                  <c:v>154.03590989227442</c:v>
                </c:pt>
                <c:pt idx="63">
                  <c:v>149.95936509490346</c:v>
                </c:pt>
                <c:pt idx="64">
                  <c:v>158.51030342378482</c:v>
                </c:pt>
                <c:pt idx="65">
                  <c:v>159.66465605363544</c:v>
                </c:pt>
                <c:pt idx="66">
                  <c:v>161.19142745910975</c:v>
                </c:pt>
                <c:pt idx="67">
                  <c:v>-141.32666957563177</c:v>
                </c:pt>
                <c:pt idx="68">
                  <c:v>-298.48819103631126</c:v>
                </c:pt>
                <c:pt idx="69">
                  <c:v>-58.916745933560783</c:v>
                </c:pt>
                <c:pt idx="70">
                  <c:v>55.112155660683563</c:v>
                </c:pt>
                <c:pt idx="71">
                  <c:v>11.422810509304714</c:v>
                </c:pt>
                <c:pt idx="72">
                  <c:v>16.506852179879345</c:v>
                </c:pt>
                <c:pt idx="73">
                  <c:v>49.754442711322277</c:v>
                </c:pt>
                <c:pt idx="74">
                  <c:v>111.00409197594378</c:v>
                </c:pt>
                <c:pt idx="75">
                  <c:v>149.64813792345345</c:v>
                </c:pt>
                <c:pt idx="76">
                  <c:v>171.73119746352245</c:v>
                </c:pt>
                <c:pt idx="77">
                  <c:v>153.62159980548142</c:v>
                </c:pt>
                <c:pt idx="78">
                  <c:v>150.10158853118244</c:v>
                </c:pt>
                <c:pt idx="79">
                  <c:v>147.58969087405805</c:v>
                </c:pt>
                <c:pt idx="80">
                  <c:v>145.24715289924242</c:v>
                </c:pt>
                <c:pt idx="81">
                  <c:v>140.88797456042042</c:v>
                </c:pt>
                <c:pt idx="82">
                  <c:v>122.04509183353895</c:v>
                </c:pt>
                <c:pt idx="83">
                  <c:v>158.3666048823855</c:v>
                </c:pt>
                <c:pt idx="84">
                  <c:v>154.0739050149794</c:v>
                </c:pt>
                <c:pt idx="85">
                  <c:v>146.97856217409549</c:v>
                </c:pt>
                <c:pt idx="86">
                  <c:v>150.92967179038658</c:v>
                </c:pt>
                <c:pt idx="87">
                  <c:v>153.70272844258017</c:v>
                </c:pt>
                <c:pt idx="88">
                  <c:v>143.47014406072739</c:v>
                </c:pt>
                <c:pt idx="89">
                  <c:v>136.97327081047388</c:v>
                </c:pt>
                <c:pt idx="90">
                  <c:v>101.44678020791837</c:v>
                </c:pt>
                <c:pt idx="91">
                  <c:v>153.56963277957522</c:v>
                </c:pt>
                <c:pt idx="92">
                  <c:v>143.08472167752649</c:v>
                </c:pt>
                <c:pt idx="93">
                  <c:v>141.71437455064139</c:v>
                </c:pt>
                <c:pt idx="94">
                  <c:v>138.96732683363922</c:v>
                </c:pt>
                <c:pt idx="95">
                  <c:v>136.03374257276775</c:v>
                </c:pt>
                <c:pt idx="96">
                  <c:v>132.27808199591357</c:v>
                </c:pt>
                <c:pt idx="97">
                  <c:v>127.01614642268588</c:v>
                </c:pt>
                <c:pt idx="98">
                  <c:v>120.79328371924949</c:v>
                </c:pt>
                <c:pt idx="99">
                  <c:v>113.37098669722404</c:v>
                </c:pt>
                <c:pt idx="100">
                  <c:v>104.63333839986151</c:v>
                </c:pt>
                <c:pt idx="101">
                  <c:v>97.844099441330911</c:v>
                </c:pt>
                <c:pt idx="102">
                  <c:v>-269.72976927129406</c:v>
                </c:pt>
                <c:pt idx="103">
                  <c:v>-742.73364087567984</c:v>
                </c:pt>
                <c:pt idx="104">
                  <c:v>-658.27082010445781</c:v>
                </c:pt>
                <c:pt idx="105">
                  <c:v>-592.30608987560151</c:v>
                </c:pt>
                <c:pt idx="106">
                  <c:v>-540.90748518153976</c:v>
                </c:pt>
                <c:pt idx="107">
                  <c:v>-528.82298184160595</c:v>
                </c:pt>
                <c:pt idx="108">
                  <c:v>-348.78722455558784</c:v>
                </c:pt>
                <c:pt idx="109">
                  <c:v>1.2789550094551017</c:v>
                </c:pt>
                <c:pt idx="110">
                  <c:v>-460.05389038289314</c:v>
                </c:pt>
                <c:pt idx="111">
                  <c:v>-285.14329144328713</c:v>
                </c:pt>
                <c:pt idx="112">
                  <c:v>65.533768288837507</c:v>
                </c:pt>
                <c:pt idx="113">
                  <c:v>78.014819357692119</c:v>
                </c:pt>
                <c:pt idx="114">
                  <c:v>54.081616287197242</c:v>
                </c:pt>
                <c:pt idx="115">
                  <c:v>30.166069998983691</c:v>
                </c:pt>
                <c:pt idx="116">
                  <c:v>42.239754223368671</c:v>
                </c:pt>
                <c:pt idx="117">
                  <c:v>81.981224567178657</c:v>
                </c:pt>
                <c:pt idx="118">
                  <c:v>130.27189972542013</c:v>
                </c:pt>
                <c:pt idx="119">
                  <c:v>171.152949241069</c:v>
                </c:pt>
                <c:pt idx="120">
                  <c:v>166.95878439434333</c:v>
                </c:pt>
                <c:pt idx="121">
                  <c:v>150.85473229808585</c:v>
                </c:pt>
                <c:pt idx="122">
                  <c:v>157.43897640832802</c:v>
                </c:pt>
                <c:pt idx="123">
                  <c:v>162.65019003133597</c:v>
                </c:pt>
                <c:pt idx="124">
                  <c:v>153.13889708015023</c:v>
                </c:pt>
                <c:pt idx="125">
                  <c:v>145.29127640168844</c:v>
                </c:pt>
                <c:pt idx="126">
                  <c:v>131.49776223126074</c:v>
                </c:pt>
                <c:pt idx="127">
                  <c:v>96.041049524448567</c:v>
                </c:pt>
                <c:pt idx="128">
                  <c:v>-162.05536255566585</c:v>
                </c:pt>
                <c:pt idx="129">
                  <c:v>-358.24837923338606</c:v>
                </c:pt>
                <c:pt idx="130">
                  <c:v>-289.52570404749758</c:v>
                </c:pt>
                <c:pt idx="131">
                  <c:v>-197.32254583964422</c:v>
                </c:pt>
                <c:pt idx="132">
                  <c:v>-154.07497999166861</c:v>
                </c:pt>
                <c:pt idx="133">
                  <c:v>-99.978674647502814</c:v>
                </c:pt>
                <c:pt idx="134">
                  <c:v>-40.115302307706784</c:v>
                </c:pt>
                <c:pt idx="135">
                  <c:v>3.1341631900806282</c:v>
                </c:pt>
                <c:pt idx="136">
                  <c:v>5.9871503656792946</c:v>
                </c:pt>
                <c:pt idx="137">
                  <c:v>33.466115140099774</c:v>
                </c:pt>
                <c:pt idx="138">
                  <c:v>62.187670111239782</c:v>
                </c:pt>
                <c:pt idx="139">
                  <c:v>94.977566475147597</c:v>
                </c:pt>
                <c:pt idx="140">
                  <c:v>134.1885582006114</c:v>
                </c:pt>
                <c:pt idx="141">
                  <c:v>158.16959516457555</c:v>
                </c:pt>
                <c:pt idx="142">
                  <c:v>151.67427417042362</c:v>
                </c:pt>
                <c:pt idx="143">
                  <c:v>141.78976995436005</c:v>
                </c:pt>
                <c:pt idx="144">
                  <c:v>143.33287071003781</c:v>
                </c:pt>
                <c:pt idx="145">
                  <c:v>140.32457920848364</c:v>
                </c:pt>
                <c:pt idx="146">
                  <c:v>154.33780048467455</c:v>
                </c:pt>
                <c:pt idx="147">
                  <c:v>151.30339905836607</c:v>
                </c:pt>
                <c:pt idx="148">
                  <c:v>152.48044726527783</c:v>
                </c:pt>
                <c:pt idx="149">
                  <c:v>152.58003949357382</c:v>
                </c:pt>
                <c:pt idx="150">
                  <c:v>151.86817130222988</c:v>
                </c:pt>
                <c:pt idx="151">
                  <c:v>150.42146402792622</c:v>
                </c:pt>
                <c:pt idx="152">
                  <c:v>137.46573087416701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0C-400A-BFEB-437740A4BC58}"/>
            </c:ext>
          </c:extLst>
        </c:ser>
        <c:ser>
          <c:idx val="3"/>
          <c:order val="3"/>
          <c:tx>
            <c:strRef>
              <c:f>'[1]Main Data'!$Y$1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('[1]Main Data'!$A:$A,'[1]Main Data'!$A$1)</c:f>
              <c:strCache>
                <c:ptCount val="1048577"/>
                <c:pt idx="0">
                  <c:v>Distance (m)</c:v>
                </c:pt>
                <c:pt idx="1">
                  <c:v>0</c:v>
                </c:pt>
                <c:pt idx="2">
                  <c:v>8.875</c:v>
                </c:pt>
                <c:pt idx="3">
                  <c:v>17.75</c:v>
                </c:pt>
                <c:pt idx="4">
                  <c:v>26.625</c:v>
                </c:pt>
                <c:pt idx="5">
                  <c:v>35.5</c:v>
                </c:pt>
                <c:pt idx="6">
                  <c:v>44.375</c:v>
                </c:pt>
                <c:pt idx="7">
                  <c:v>53.25</c:v>
                </c:pt>
                <c:pt idx="8">
                  <c:v>62.125</c:v>
                </c:pt>
                <c:pt idx="9">
                  <c:v>71</c:v>
                </c:pt>
                <c:pt idx="10">
                  <c:v>79.875</c:v>
                </c:pt>
                <c:pt idx="11">
                  <c:v>88.75</c:v>
                </c:pt>
                <c:pt idx="12">
                  <c:v>97.625</c:v>
                </c:pt>
                <c:pt idx="13">
                  <c:v>106.5</c:v>
                </c:pt>
                <c:pt idx="14">
                  <c:v>115.375</c:v>
                </c:pt>
                <c:pt idx="15">
                  <c:v>124.25</c:v>
                </c:pt>
                <c:pt idx="16">
                  <c:v>133.125</c:v>
                </c:pt>
                <c:pt idx="17">
                  <c:v>142</c:v>
                </c:pt>
                <c:pt idx="18">
                  <c:v>150.875</c:v>
                </c:pt>
                <c:pt idx="19">
                  <c:v>159.75</c:v>
                </c:pt>
                <c:pt idx="20">
                  <c:v>168.625</c:v>
                </c:pt>
                <c:pt idx="21">
                  <c:v>177.5</c:v>
                </c:pt>
                <c:pt idx="22">
                  <c:v>186.375</c:v>
                </c:pt>
                <c:pt idx="23">
                  <c:v>195.25</c:v>
                </c:pt>
                <c:pt idx="24">
                  <c:v>204.125</c:v>
                </c:pt>
                <c:pt idx="25">
                  <c:v>213</c:v>
                </c:pt>
                <c:pt idx="26">
                  <c:v>221.875</c:v>
                </c:pt>
                <c:pt idx="27">
                  <c:v>230.75</c:v>
                </c:pt>
                <c:pt idx="28">
                  <c:v>239.625</c:v>
                </c:pt>
                <c:pt idx="29">
                  <c:v>248.5</c:v>
                </c:pt>
                <c:pt idx="30">
                  <c:v>257.375</c:v>
                </c:pt>
                <c:pt idx="31">
                  <c:v>266.25</c:v>
                </c:pt>
                <c:pt idx="32">
                  <c:v>275.125</c:v>
                </c:pt>
                <c:pt idx="33">
                  <c:v>284</c:v>
                </c:pt>
                <c:pt idx="34">
                  <c:v>292.875</c:v>
                </c:pt>
                <c:pt idx="35">
                  <c:v>301.75</c:v>
                </c:pt>
                <c:pt idx="36">
                  <c:v>310.625</c:v>
                </c:pt>
                <c:pt idx="37">
                  <c:v>319.5</c:v>
                </c:pt>
                <c:pt idx="38">
                  <c:v>328.375</c:v>
                </c:pt>
                <c:pt idx="39">
                  <c:v>337.25</c:v>
                </c:pt>
                <c:pt idx="40">
                  <c:v>346.125</c:v>
                </c:pt>
                <c:pt idx="41">
                  <c:v>355</c:v>
                </c:pt>
                <c:pt idx="42">
                  <c:v>363.875</c:v>
                </c:pt>
                <c:pt idx="43">
                  <c:v>372.75</c:v>
                </c:pt>
                <c:pt idx="44">
                  <c:v>381.625</c:v>
                </c:pt>
                <c:pt idx="45">
                  <c:v>390.5</c:v>
                </c:pt>
                <c:pt idx="46">
                  <c:v>399.375</c:v>
                </c:pt>
                <c:pt idx="47">
                  <c:v>408.25</c:v>
                </c:pt>
                <c:pt idx="48">
                  <c:v>417.125</c:v>
                </c:pt>
                <c:pt idx="49">
                  <c:v>426</c:v>
                </c:pt>
                <c:pt idx="50">
                  <c:v>434.875</c:v>
                </c:pt>
                <c:pt idx="51">
                  <c:v>443.75</c:v>
                </c:pt>
                <c:pt idx="52">
                  <c:v>452.625</c:v>
                </c:pt>
                <c:pt idx="53">
                  <c:v>461.5</c:v>
                </c:pt>
                <c:pt idx="54">
                  <c:v>470.375</c:v>
                </c:pt>
                <c:pt idx="55">
                  <c:v>479.25</c:v>
                </c:pt>
                <c:pt idx="56">
                  <c:v>488.125</c:v>
                </c:pt>
                <c:pt idx="57">
                  <c:v>497</c:v>
                </c:pt>
                <c:pt idx="58">
                  <c:v>505.875</c:v>
                </c:pt>
                <c:pt idx="59">
                  <c:v>514.75</c:v>
                </c:pt>
                <c:pt idx="60">
                  <c:v>523.625</c:v>
                </c:pt>
                <c:pt idx="61">
                  <c:v>532.5</c:v>
                </c:pt>
                <c:pt idx="62">
                  <c:v>541.375</c:v>
                </c:pt>
                <c:pt idx="63">
                  <c:v>550.25</c:v>
                </c:pt>
                <c:pt idx="64">
                  <c:v>559.125</c:v>
                </c:pt>
                <c:pt idx="65">
                  <c:v>568</c:v>
                </c:pt>
                <c:pt idx="66">
                  <c:v>576.875</c:v>
                </c:pt>
                <c:pt idx="67">
                  <c:v>585.75</c:v>
                </c:pt>
                <c:pt idx="68">
                  <c:v>594.625</c:v>
                </c:pt>
                <c:pt idx="69">
                  <c:v>603.5</c:v>
                </c:pt>
                <c:pt idx="70">
                  <c:v>612.375</c:v>
                </c:pt>
                <c:pt idx="71">
                  <c:v>621.25</c:v>
                </c:pt>
                <c:pt idx="72">
                  <c:v>630.125</c:v>
                </c:pt>
                <c:pt idx="73">
                  <c:v>639</c:v>
                </c:pt>
                <c:pt idx="74">
                  <c:v>647.875</c:v>
                </c:pt>
                <c:pt idx="75">
                  <c:v>656.75</c:v>
                </c:pt>
                <c:pt idx="76">
                  <c:v>665.625</c:v>
                </c:pt>
                <c:pt idx="77">
                  <c:v>674.5</c:v>
                </c:pt>
                <c:pt idx="78">
                  <c:v>683.375</c:v>
                </c:pt>
                <c:pt idx="79">
                  <c:v>692.25</c:v>
                </c:pt>
                <c:pt idx="80">
                  <c:v>701.125</c:v>
                </c:pt>
                <c:pt idx="81">
                  <c:v>710</c:v>
                </c:pt>
                <c:pt idx="82">
                  <c:v>718.875</c:v>
                </c:pt>
                <c:pt idx="83">
                  <c:v>727.75</c:v>
                </c:pt>
                <c:pt idx="84">
                  <c:v>736.625</c:v>
                </c:pt>
                <c:pt idx="85">
                  <c:v>745.5</c:v>
                </c:pt>
                <c:pt idx="86">
                  <c:v>754.375</c:v>
                </c:pt>
                <c:pt idx="87">
                  <c:v>763.25</c:v>
                </c:pt>
                <c:pt idx="88">
                  <c:v>772.125</c:v>
                </c:pt>
                <c:pt idx="89">
                  <c:v>781</c:v>
                </c:pt>
                <c:pt idx="90">
                  <c:v>789.875</c:v>
                </c:pt>
                <c:pt idx="91">
                  <c:v>798.75</c:v>
                </c:pt>
                <c:pt idx="92">
                  <c:v>807.625</c:v>
                </c:pt>
                <c:pt idx="93">
                  <c:v>816.5</c:v>
                </c:pt>
                <c:pt idx="94">
                  <c:v>825.375</c:v>
                </c:pt>
                <c:pt idx="95">
                  <c:v>834.25</c:v>
                </c:pt>
                <c:pt idx="96">
                  <c:v>843.125</c:v>
                </c:pt>
                <c:pt idx="97">
                  <c:v>852</c:v>
                </c:pt>
                <c:pt idx="98">
                  <c:v>860.875</c:v>
                </c:pt>
                <c:pt idx="99">
                  <c:v>869.75</c:v>
                </c:pt>
                <c:pt idx="100">
                  <c:v>878.625</c:v>
                </c:pt>
                <c:pt idx="101">
                  <c:v>887.5</c:v>
                </c:pt>
                <c:pt idx="102">
                  <c:v>896.375</c:v>
                </c:pt>
                <c:pt idx="103">
                  <c:v>905.25</c:v>
                </c:pt>
                <c:pt idx="104">
                  <c:v>914.125</c:v>
                </c:pt>
                <c:pt idx="105">
                  <c:v>923</c:v>
                </c:pt>
                <c:pt idx="106">
                  <c:v>931.875</c:v>
                </c:pt>
                <c:pt idx="107">
                  <c:v>940.75</c:v>
                </c:pt>
                <c:pt idx="108">
                  <c:v>949.625</c:v>
                </c:pt>
                <c:pt idx="109">
                  <c:v>958.5</c:v>
                </c:pt>
                <c:pt idx="110">
                  <c:v>967.375</c:v>
                </c:pt>
                <c:pt idx="111">
                  <c:v>976.25</c:v>
                </c:pt>
                <c:pt idx="112">
                  <c:v>985.125</c:v>
                </c:pt>
                <c:pt idx="113">
                  <c:v>994</c:v>
                </c:pt>
                <c:pt idx="114">
                  <c:v>1002.875</c:v>
                </c:pt>
                <c:pt idx="115">
                  <c:v>1011.75</c:v>
                </c:pt>
                <c:pt idx="116">
                  <c:v>1020.625</c:v>
                </c:pt>
                <c:pt idx="117">
                  <c:v>1029.5</c:v>
                </c:pt>
                <c:pt idx="118">
                  <c:v>1038.375</c:v>
                </c:pt>
                <c:pt idx="119">
                  <c:v>1047.25</c:v>
                </c:pt>
                <c:pt idx="120">
                  <c:v>1056.125</c:v>
                </c:pt>
                <c:pt idx="121">
                  <c:v>1065</c:v>
                </c:pt>
                <c:pt idx="122">
                  <c:v>1073.875</c:v>
                </c:pt>
                <c:pt idx="123">
                  <c:v>1082.75</c:v>
                </c:pt>
                <c:pt idx="124">
                  <c:v>1091.625</c:v>
                </c:pt>
                <c:pt idx="125">
                  <c:v>1100.5</c:v>
                </c:pt>
                <c:pt idx="126">
                  <c:v>1109.375</c:v>
                </c:pt>
                <c:pt idx="127">
                  <c:v>1118.25</c:v>
                </c:pt>
                <c:pt idx="128">
                  <c:v>1127.125</c:v>
                </c:pt>
                <c:pt idx="129">
                  <c:v>1136</c:v>
                </c:pt>
                <c:pt idx="130">
                  <c:v>1144.875</c:v>
                </c:pt>
                <c:pt idx="131">
                  <c:v>1153.75</c:v>
                </c:pt>
                <c:pt idx="132">
                  <c:v>1162.625</c:v>
                </c:pt>
                <c:pt idx="133">
                  <c:v>1171.5</c:v>
                </c:pt>
                <c:pt idx="134">
                  <c:v>1180.375</c:v>
                </c:pt>
                <c:pt idx="135">
                  <c:v>1189.25</c:v>
                </c:pt>
                <c:pt idx="136">
                  <c:v>1198.125</c:v>
                </c:pt>
                <c:pt idx="137">
                  <c:v>1207</c:v>
                </c:pt>
                <c:pt idx="138">
                  <c:v>1215.875</c:v>
                </c:pt>
                <c:pt idx="139">
                  <c:v>1224.75</c:v>
                </c:pt>
                <c:pt idx="140">
                  <c:v>1233.625</c:v>
                </c:pt>
                <c:pt idx="141">
                  <c:v>1242.5</c:v>
                </c:pt>
                <c:pt idx="142">
                  <c:v>1251.375</c:v>
                </c:pt>
                <c:pt idx="143">
                  <c:v>1260.25</c:v>
                </c:pt>
                <c:pt idx="144">
                  <c:v>1269.125</c:v>
                </c:pt>
                <c:pt idx="145">
                  <c:v>1278</c:v>
                </c:pt>
                <c:pt idx="146">
                  <c:v>1286.875</c:v>
                </c:pt>
                <c:pt idx="147">
                  <c:v>1295.75</c:v>
                </c:pt>
                <c:pt idx="148">
                  <c:v>1304.625</c:v>
                </c:pt>
                <c:pt idx="149">
                  <c:v>1313.5</c:v>
                </c:pt>
                <c:pt idx="150">
                  <c:v>1322.375</c:v>
                </c:pt>
                <c:pt idx="151">
                  <c:v>1331.25</c:v>
                </c:pt>
                <c:pt idx="152">
                  <c:v>1340.125</c:v>
                </c:pt>
                <c:pt idx="153">
                  <c:v>1349</c:v>
                </c:pt>
                <c:pt idx="154">
                  <c:v>1357.875</c:v>
                </c:pt>
                <c:pt idx="1048576">
                  <c:v>Distance (m)</c:v>
                </c:pt>
              </c:strCache>
            </c:strRef>
          </c:cat>
          <c:val>
            <c:numRef>
              <c:f>'[1]Main Data'!$Y$3:$Y$155</c:f>
              <c:numCache>
                <c:formatCode>General</c:formatCode>
                <c:ptCount val="153"/>
                <c:pt idx="0">
                  <c:v>706.31999999999994</c:v>
                </c:pt>
                <c:pt idx="1">
                  <c:v>706.31999999999994</c:v>
                </c:pt>
                <c:pt idx="2">
                  <c:v>706.31999999999994</c:v>
                </c:pt>
                <c:pt idx="3">
                  <c:v>706.31999999999994</c:v>
                </c:pt>
                <c:pt idx="4">
                  <c:v>706.31999999999994</c:v>
                </c:pt>
                <c:pt idx="5">
                  <c:v>706.31999999999994</c:v>
                </c:pt>
                <c:pt idx="6">
                  <c:v>706.31999999999994</c:v>
                </c:pt>
                <c:pt idx="7">
                  <c:v>706.31999999999994</c:v>
                </c:pt>
                <c:pt idx="8">
                  <c:v>706.31999999999994</c:v>
                </c:pt>
                <c:pt idx="9">
                  <c:v>706.31999999999994</c:v>
                </c:pt>
                <c:pt idx="10">
                  <c:v>706.31999999999994</c:v>
                </c:pt>
                <c:pt idx="11">
                  <c:v>706.31999999999994</c:v>
                </c:pt>
                <c:pt idx="12">
                  <c:v>706.31999999999994</c:v>
                </c:pt>
                <c:pt idx="13">
                  <c:v>706.31999999999994</c:v>
                </c:pt>
                <c:pt idx="14">
                  <c:v>706.31999999999994</c:v>
                </c:pt>
                <c:pt idx="15">
                  <c:v>706.31999999999994</c:v>
                </c:pt>
                <c:pt idx="16">
                  <c:v>706.31999999999994</c:v>
                </c:pt>
                <c:pt idx="17">
                  <c:v>706.31999999999994</c:v>
                </c:pt>
                <c:pt idx="18">
                  <c:v>706.31999999999994</c:v>
                </c:pt>
                <c:pt idx="19">
                  <c:v>706.31999999999994</c:v>
                </c:pt>
                <c:pt idx="20">
                  <c:v>706.31999999999994</c:v>
                </c:pt>
                <c:pt idx="21">
                  <c:v>706.31999999999994</c:v>
                </c:pt>
                <c:pt idx="22">
                  <c:v>706.31999999999994</c:v>
                </c:pt>
                <c:pt idx="23">
                  <c:v>706.31999999999994</c:v>
                </c:pt>
                <c:pt idx="24">
                  <c:v>706.31999999999994</c:v>
                </c:pt>
                <c:pt idx="25">
                  <c:v>706.31999999999994</c:v>
                </c:pt>
                <c:pt idx="26">
                  <c:v>706.31999999999994</c:v>
                </c:pt>
                <c:pt idx="27">
                  <c:v>706.31999999999994</c:v>
                </c:pt>
                <c:pt idx="28">
                  <c:v>706.31999999999994</c:v>
                </c:pt>
                <c:pt idx="29">
                  <c:v>706.31999999999994</c:v>
                </c:pt>
                <c:pt idx="30">
                  <c:v>706.31999999999994</c:v>
                </c:pt>
                <c:pt idx="31">
                  <c:v>706.31999999999994</c:v>
                </c:pt>
                <c:pt idx="32">
                  <c:v>706.31999999999994</c:v>
                </c:pt>
                <c:pt idx="33">
                  <c:v>706.31999999999994</c:v>
                </c:pt>
                <c:pt idx="34">
                  <c:v>706.31999999999994</c:v>
                </c:pt>
                <c:pt idx="35">
                  <c:v>706.31999999999994</c:v>
                </c:pt>
                <c:pt idx="36">
                  <c:v>706.31999999999994</c:v>
                </c:pt>
                <c:pt idx="37">
                  <c:v>706.31999999999994</c:v>
                </c:pt>
                <c:pt idx="38">
                  <c:v>706.31999999999994</c:v>
                </c:pt>
                <c:pt idx="39">
                  <c:v>706.31999999999994</c:v>
                </c:pt>
                <c:pt idx="40">
                  <c:v>706.31999999999994</c:v>
                </c:pt>
                <c:pt idx="41">
                  <c:v>706.31999999999994</c:v>
                </c:pt>
                <c:pt idx="42">
                  <c:v>706.31999999999994</c:v>
                </c:pt>
                <c:pt idx="43">
                  <c:v>706.31999999999994</c:v>
                </c:pt>
                <c:pt idx="44">
                  <c:v>706.31999999999994</c:v>
                </c:pt>
                <c:pt idx="45">
                  <c:v>706.31999999999994</c:v>
                </c:pt>
                <c:pt idx="46">
                  <c:v>706.31999999999994</c:v>
                </c:pt>
                <c:pt idx="47">
                  <c:v>353.15999999999997</c:v>
                </c:pt>
                <c:pt idx="48">
                  <c:v>353.15999999999997</c:v>
                </c:pt>
                <c:pt idx="49">
                  <c:v>353.15999999999997</c:v>
                </c:pt>
                <c:pt idx="50">
                  <c:v>353.15999999999997</c:v>
                </c:pt>
                <c:pt idx="51">
                  <c:v>353.15999999999997</c:v>
                </c:pt>
                <c:pt idx="52">
                  <c:v>353.15999999999997</c:v>
                </c:pt>
                <c:pt idx="53">
                  <c:v>353.15999999999997</c:v>
                </c:pt>
                <c:pt idx="54">
                  <c:v>353.15999999999997</c:v>
                </c:pt>
                <c:pt idx="55">
                  <c:v>353.15999999999997</c:v>
                </c:pt>
                <c:pt idx="56">
                  <c:v>353.15999999999997</c:v>
                </c:pt>
                <c:pt idx="57">
                  <c:v>353.15999999999997</c:v>
                </c:pt>
                <c:pt idx="58">
                  <c:v>353.15999999999997</c:v>
                </c:pt>
                <c:pt idx="59">
                  <c:v>353.15999999999997</c:v>
                </c:pt>
                <c:pt idx="60">
                  <c:v>353.15999999999997</c:v>
                </c:pt>
                <c:pt idx="61">
                  <c:v>353.15999999999997</c:v>
                </c:pt>
                <c:pt idx="62">
                  <c:v>353.15999999999997</c:v>
                </c:pt>
                <c:pt idx="63">
                  <c:v>353.15999999999997</c:v>
                </c:pt>
                <c:pt idx="64">
                  <c:v>353.15999999999997</c:v>
                </c:pt>
                <c:pt idx="65">
                  <c:v>353.15999999999997</c:v>
                </c:pt>
                <c:pt idx="66">
                  <c:v>353.15999999999997</c:v>
                </c:pt>
                <c:pt idx="67">
                  <c:v>353.15999999999997</c:v>
                </c:pt>
                <c:pt idx="68">
                  <c:v>353.15999999999997</c:v>
                </c:pt>
                <c:pt idx="69">
                  <c:v>353.15999999999997</c:v>
                </c:pt>
                <c:pt idx="70">
                  <c:v>353.15999999999997</c:v>
                </c:pt>
                <c:pt idx="71">
                  <c:v>353.15999999999997</c:v>
                </c:pt>
                <c:pt idx="72">
                  <c:v>353.15999999999997</c:v>
                </c:pt>
                <c:pt idx="73">
                  <c:v>353.15999999999997</c:v>
                </c:pt>
                <c:pt idx="74">
                  <c:v>353.15999999999997</c:v>
                </c:pt>
                <c:pt idx="75">
                  <c:v>353.15999999999997</c:v>
                </c:pt>
                <c:pt idx="76">
                  <c:v>353.15999999999997</c:v>
                </c:pt>
                <c:pt idx="77">
                  <c:v>353.15999999999997</c:v>
                </c:pt>
                <c:pt idx="78">
                  <c:v>353.15999999999997</c:v>
                </c:pt>
                <c:pt idx="79">
                  <c:v>353.15999999999997</c:v>
                </c:pt>
                <c:pt idx="80">
                  <c:v>353.15999999999997</c:v>
                </c:pt>
                <c:pt idx="81">
                  <c:v>353.15999999999997</c:v>
                </c:pt>
                <c:pt idx="82">
                  <c:v>353.15999999999997</c:v>
                </c:pt>
                <c:pt idx="83">
                  <c:v>353.15999999999997</c:v>
                </c:pt>
                <c:pt idx="84">
                  <c:v>353.15999999999997</c:v>
                </c:pt>
                <c:pt idx="85">
                  <c:v>353.15999999999997</c:v>
                </c:pt>
                <c:pt idx="86">
                  <c:v>353.15999999999997</c:v>
                </c:pt>
                <c:pt idx="87">
                  <c:v>353.15999999999997</c:v>
                </c:pt>
                <c:pt idx="88">
                  <c:v>353.15999999999997</c:v>
                </c:pt>
                <c:pt idx="89">
                  <c:v>353.15999999999997</c:v>
                </c:pt>
                <c:pt idx="90">
                  <c:v>353.15999999999997</c:v>
                </c:pt>
                <c:pt idx="91">
                  <c:v>353.15999999999997</c:v>
                </c:pt>
                <c:pt idx="92">
                  <c:v>353.15999999999997</c:v>
                </c:pt>
                <c:pt idx="93">
                  <c:v>353.15999999999997</c:v>
                </c:pt>
                <c:pt idx="94">
                  <c:v>353.15999999999997</c:v>
                </c:pt>
                <c:pt idx="95">
                  <c:v>353.15999999999997</c:v>
                </c:pt>
                <c:pt idx="96">
                  <c:v>353.15999999999997</c:v>
                </c:pt>
                <c:pt idx="97">
                  <c:v>470.88</c:v>
                </c:pt>
                <c:pt idx="98">
                  <c:v>470.88</c:v>
                </c:pt>
                <c:pt idx="99">
                  <c:v>470.88</c:v>
                </c:pt>
                <c:pt idx="100">
                  <c:v>470.88</c:v>
                </c:pt>
                <c:pt idx="101">
                  <c:v>470.88</c:v>
                </c:pt>
                <c:pt idx="102">
                  <c:v>470.88</c:v>
                </c:pt>
                <c:pt idx="103">
                  <c:v>470.88</c:v>
                </c:pt>
                <c:pt idx="104">
                  <c:v>470.88</c:v>
                </c:pt>
                <c:pt idx="105">
                  <c:v>470.88</c:v>
                </c:pt>
                <c:pt idx="106">
                  <c:v>470.88</c:v>
                </c:pt>
                <c:pt idx="107">
                  <c:v>470.88</c:v>
                </c:pt>
                <c:pt idx="108">
                  <c:v>470.88</c:v>
                </c:pt>
                <c:pt idx="109">
                  <c:v>470.88</c:v>
                </c:pt>
                <c:pt idx="110">
                  <c:v>470.88</c:v>
                </c:pt>
                <c:pt idx="111">
                  <c:v>470.88</c:v>
                </c:pt>
                <c:pt idx="112">
                  <c:v>470.88</c:v>
                </c:pt>
                <c:pt idx="113">
                  <c:v>470.88</c:v>
                </c:pt>
                <c:pt idx="114">
                  <c:v>470.88</c:v>
                </c:pt>
                <c:pt idx="115">
                  <c:v>470.88</c:v>
                </c:pt>
                <c:pt idx="116">
                  <c:v>470.88</c:v>
                </c:pt>
                <c:pt idx="117">
                  <c:v>470.88</c:v>
                </c:pt>
                <c:pt idx="118">
                  <c:v>470.88</c:v>
                </c:pt>
                <c:pt idx="119">
                  <c:v>470.88</c:v>
                </c:pt>
                <c:pt idx="120">
                  <c:v>470.88</c:v>
                </c:pt>
                <c:pt idx="121">
                  <c:v>470.88</c:v>
                </c:pt>
                <c:pt idx="122">
                  <c:v>470.88</c:v>
                </c:pt>
                <c:pt idx="123">
                  <c:v>470.88</c:v>
                </c:pt>
                <c:pt idx="124">
                  <c:v>470.88</c:v>
                </c:pt>
                <c:pt idx="125">
                  <c:v>470.88</c:v>
                </c:pt>
                <c:pt idx="126">
                  <c:v>470.88</c:v>
                </c:pt>
                <c:pt idx="127">
                  <c:v>470.88</c:v>
                </c:pt>
                <c:pt idx="128">
                  <c:v>470.88</c:v>
                </c:pt>
                <c:pt idx="129">
                  <c:v>470.88</c:v>
                </c:pt>
                <c:pt idx="130">
                  <c:v>470.88</c:v>
                </c:pt>
                <c:pt idx="131">
                  <c:v>470.88</c:v>
                </c:pt>
                <c:pt idx="132">
                  <c:v>470.88</c:v>
                </c:pt>
                <c:pt idx="133">
                  <c:v>470.88</c:v>
                </c:pt>
                <c:pt idx="134">
                  <c:v>470.88</c:v>
                </c:pt>
                <c:pt idx="135">
                  <c:v>470.88</c:v>
                </c:pt>
                <c:pt idx="136">
                  <c:v>470.88</c:v>
                </c:pt>
                <c:pt idx="137">
                  <c:v>470.88</c:v>
                </c:pt>
                <c:pt idx="138">
                  <c:v>470.88</c:v>
                </c:pt>
                <c:pt idx="139">
                  <c:v>470.88</c:v>
                </c:pt>
                <c:pt idx="140">
                  <c:v>470.88</c:v>
                </c:pt>
                <c:pt idx="141">
                  <c:v>470.88</c:v>
                </c:pt>
                <c:pt idx="142">
                  <c:v>470.88</c:v>
                </c:pt>
                <c:pt idx="143">
                  <c:v>470.88</c:v>
                </c:pt>
                <c:pt idx="144">
                  <c:v>470.88</c:v>
                </c:pt>
                <c:pt idx="145">
                  <c:v>470.88</c:v>
                </c:pt>
                <c:pt idx="146">
                  <c:v>470.88</c:v>
                </c:pt>
                <c:pt idx="147">
                  <c:v>470.88</c:v>
                </c:pt>
                <c:pt idx="148">
                  <c:v>470.88</c:v>
                </c:pt>
                <c:pt idx="149">
                  <c:v>470.88</c:v>
                </c:pt>
                <c:pt idx="150">
                  <c:v>470.88</c:v>
                </c:pt>
                <c:pt idx="151">
                  <c:v>470.88</c:v>
                </c:pt>
                <c:pt idx="152">
                  <c:v>470.88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0C-400A-BFEB-437740A4BC58}"/>
            </c:ext>
          </c:extLst>
        </c:ser>
        <c:ser>
          <c:idx val="4"/>
          <c:order val="4"/>
          <c:tx>
            <c:strRef>
              <c:f>'[1]Main Data'!$X$1</c:f>
              <c:strCache>
                <c:ptCount val="1"/>
                <c:pt idx="0">
                  <c:v>Gradient Resistance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'[1]Main Data'!$X$3:$X$155</c:f>
              <c:numCache>
                <c:formatCode>General</c:formatCode>
                <c:ptCount val="153"/>
                <c:pt idx="0">
                  <c:v>5722.5076191971211</c:v>
                </c:pt>
                <c:pt idx="1">
                  <c:v>4117.0832565423798</c:v>
                </c:pt>
                <c:pt idx="2">
                  <c:v>1867.1182117774956</c:v>
                </c:pt>
                <c:pt idx="3">
                  <c:v>-4117.0832565423316</c:v>
                </c:pt>
                <c:pt idx="4">
                  <c:v>-5054.6054391832613</c:v>
                </c:pt>
                <c:pt idx="5">
                  <c:v>-5722.5076191971211</c:v>
                </c:pt>
                <c:pt idx="6">
                  <c:v>-4117.0832565423798</c:v>
                </c:pt>
                <c:pt idx="7">
                  <c:v>379.72800394685243</c:v>
                </c:pt>
                <c:pt idx="8">
                  <c:v>-4624.3348933683783</c:v>
                </c:pt>
                <c:pt idx="9">
                  <c:v>5604.9354920021015</c:v>
                </c:pt>
                <c:pt idx="10">
                  <c:v>4624.3348933683783</c:v>
                </c:pt>
                <c:pt idx="11">
                  <c:v>4379.8333340683657</c:v>
                </c:pt>
                <c:pt idx="12">
                  <c:v>2906.5104052282959</c:v>
                </c:pt>
                <c:pt idx="13">
                  <c:v>757.87296553725605</c:v>
                </c:pt>
                <c:pt idx="14">
                  <c:v>5722.5076191971366</c:v>
                </c:pt>
                <c:pt idx="15">
                  <c:v>3230.6286195626244</c:v>
                </c:pt>
                <c:pt idx="16">
                  <c:v>-3907.7933842064126</c:v>
                </c:pt>
                <c:pt idx="17">
                  <c:v>5621.8255389440837</c:v>
                </c:pt>
                <c:pt idx="18">
                  <c:v>5864.1050738476824</c:v>
                </c:pt>
                <c:pt idx="19">
                  <c:v>-4117.0832565424753</c:v>
                </c:pt>
                <c:pt idx="20">
                  <c:v>-2906.5104052282959</c:v>
                </c:pt>
                <c:pt idx="21">
                  <c:v>1132.8584740071299</c:v>
                </c:pt>
                <c:pt idx="22">
                  <c:v>4548.5880569168976</c:v>
                </c:pt>
                <c:pt idx="23">
                  <c:v>5350.889346672705</c:v>
                </c:pt>
                <c:pt idx="24">
                  <c:v>1503.1213537291146</c:v>
                </c:pt>
                <c:pt idx="25">
                  <c:v>-4117.0832565423798</c:v>
                </c:pt>
                <c:pt idx="26">
                  <c:v>-4548.5880569168976</c:v>
                </c:pt>
                <c:pt idx="27">
                  <c:v>-4548.5880569168976</c:v>
                </c:pt>
                <c:pt idx="28">
                  <c:v>-4548.5880569168976</c:v>
                </c:pt>
                <c:pt idx="29">
                  <c:v>-5722.5076191971211</c:v>
                </c:pt>
                <c:pt idx="30">
                  <c:v>-5864.1050738476706</c:v>
                </c:pt>
                <c:pt idx="31">
                  <c:v>-2223.3319018289862</c:v>
                </c:pt>
                <c:pt idx="32">
                  <c:v>2906.510405228355</c:v>
                </c:pt>
                <c:pt idx="33">
                  <c:v>-1132.8584740071963</c:v>
                </c:pt>
                <c:pt idx="34">
                  <c:v>5657.0287069786191</c:v>
                </c:pt>
                <c:pt idx="35">
                  <c:v>5750.0832561566003</c:v>
                </c:pt>
                <c:pt idx="36">
                  <c:v>1503.1213537289843</c:v>
                </c:pt>
                <c:pt idx="37">
                  <c:v>-4379.8333340683203</c:v>
                </c:pt>
                <c:pt idx="38">
                  <c:v>-2465.208638471353</c:v>
                </c:pt>
                <c:pt idx="39">
                  <c:v>4182.3805087950059</c:v>
                </c:pt>
                <c:pt idx="40">
                  <c:v>3837.177920449029</c:v>
                </c:pt>
                <c:pt idx="41">
                  <c:v>5880.6241624210834</c:v>
                </c:pt>
                <c:pt idx="42">
                  <c:v>-5852.1816728692511</c:v>
                </c:pt>
                <c:pt idx="43">
                  <c:v>2317.0120582058639</c:v>
                </c:pt>
                <c:pt idx="44">
                  <c:v>-5819.2033380460698</c:v>
                </c:pt>
                <c:pt idx="45">
                  <c:v>-4898.1852777209178</c:v>
                </c:pt>
                <c:pt idx="46">
                  <c:v>4779.7811136467171</c:v>
                </c:pt>
                <c:pt idx="47">
                  <c:v>-1503.1213537290496</c:v>
                </c:pt>
                <c:pt idx="48">
                  <c:v>-1393.0584199028613</c:v>
                </c:pt>
                <c:pt idx="49">
                  <c:v>-5181.7725662366174</c:v>
                </c:pt>
                <c:pt idx="50">
                  <c:v>5819.2033380460798</c:v>
                </c:pt>
                <c:pt idx="51">
                  <c:v>-4117.0832565424271</c:v>
                </c:pt>
                <c:pt idx="52">
                  <c:v>647.144203888471</c:v>
                </c:pt>
                <c:pt idx="53">
                  <c:v>-5432.4173485363972</c:v>
                </c:pt>
                <c:pt idx="54">
                  <c:v>3230.6286195626799</c:v>
                </c:pt>
                <c:pt idx="55">
                  <c:v>-5497.7790547942359</c:v>
                </c:pt>
                <c:pt idx="56">
                  <c:v>-5497.7790547942604</c:v>
                </c:pt>
                <c:pt idx="57">
                  <c:v>3721.5100641520457</c:v>
                </c:pt>
                <c:pt idx="58">
                  <c:v>1132.8584740071299</c:v>
                </c:pt>
                <c:pt idx="59">
                  <c:v>-2991.8142073440208</c:v>
                </c:pt>
                <c:pt idx="60">
                  <c:v>2906.5104052284132</c:v>
                </c:pt>
                <c:pt idx="61">
                  <c:v>-3131.5178172638866</c:v>
                </c:pt>
                <c:pt idx="62">
                  <c:v>1603.7382901369492</c:v>
                </c:pt>
                <c:pt idx="63">
                  <c:v>379.72800394691984</c:v>
                </c:pt>
                <c:pt idx="64">
                  <c:v>-379.72800394691984</c:v>
                </c:pt>
                <c:pt idx="65">
                  <c:v>4298.5240330921633</c:v>
                </c:pt>
                <c:pt idx="66">
                  <c:v>647.14420388853591</c:v>
                </c:pt>
                <c:pt idx="67">
                  <c:v>2465.2086384714767</c:v>
                </c:pt>
                <c:pt idx="68">
                  <c:v>4624.3348933683783</c:v>
                </c:pt>
                <c:pt idx="69">
                  <c:v>5819.2033380460898</c:v>
                </c:pt>
                <c:pt idx="70">
                  <c:v>5884.6056739907799</c:v>
                </c:pt>
                <c:pt idx="71">
                  <c:v>3541.2823800866458</c:v>
                </c:pt>
                <c:pt idx="72">
                  <c:v>0</c:v>
                </c:pt>
                <c:pt idx="73">
                  <c:v>-5657.0287069786191</c:v>
                </c:pt>
                <c:pt idx="74">
                  <c:v>5621.8255389440837</c:v>
                </c:pt>
                <c:pt idx="75">
                  <c:v>-1132.8584740070639</c:v>
                </c:pt>
                <c:pt idx="76">
                  <c:v>1503.1213537289843</c:v>
                </c:pt>
                <c:pt idx="77">
                  <c:v>-4379.8333340683203</c:v>
                </c:pt>
                <c:pt idx="78">
                  <c:v>-2465.208638471353</c:v>
                </c:pt>
                <c:pt idx="79">
                  <c:v>4182.3805087950059</c:v>
                </c:pt>
                <c:pt idx="80">
                  <c:v>3837.177920449029</c:v>
                </c:pt>
                <c:pt idx="81">
                  <c:v>5880.6241624210834</c:v>
                </c:pt>
                <c:pt idx="82">
                  <c:v>-5852.1816728692511</c:v>
                </c:pt>
                <c:pt idx="83">
                  <c:v>2317.0120582058639</c:v>
                </c:pt>
                <c:pt idx="84">
                  <c:v>-5819.2033380460698</c:v>
                </c:pt>
                <c:pt idx="85">
                  <c:v>-4898.1852777209178</c:v>
                </c:pt>
                <c:pt idx="86">
                  <c:v>4779.7811136467171</c:v>
                </c:pt>
                <c:pt idx="87">
                  <c:v>-1503.1213537290496</c:v>
                </c:pt>
                <c:pt idx="88">
                  <c:v>-1393.0584199028613</c:v>
                </c:pt>
                <c:pt idx="89">
                  <c:v>-5181.7725662366174</c:v>
                </c:pt>
                <c:pt idx="90">
                  <c:v>4624.3348933683783</c:v>
                </c:pt>
                <c:pt idx="91">
                  <c:v>1603.7382901369492</c:v>
                </c:pt>
                <c:pt idx="92">
                  <c:v>379.72800394691984</c:v>
                </c:pt>
                <c:pt idx="93">
                  <c:v>-379.72800394691984</c:v>
                </c:pt>
                <c:pt idx="94">
                  <c:v>4298.5240330921633</c:v>
                </c:pt>
                <c:pt idx="95">
                  <c:v>647.14420388853591</c:v>
                </c:pt>
                <c:pt idx="96">
                  <c:v>2465.2086384714767</c:v>
                </c:pt>
                <c:pt idx="97">
                  <c:v>4624.3348933683783</c:v>
                </c:pt>
                <c:pt idx="98">
                  <c:v>5819.2033380460898</c:v>
                </c:pt>
                <c:pt idx="99">
                  <c:v>5884.6056739907799</c:v>
                </c:pt>
                <c:pt idx="100">
                  <c:v>3541.2823800866458</c:v>
                </c:pt>
                <c:pt idx="101">
                  <c:v>0</c:v>
                </c:pt>
                <c:pt idx="102">
                  <c:v>-5657.0287069786191</c:v>
                </c:pt>
                <c:pt idx="103">
                  <c:v>5621.8255389440837</c:v>
                </c:pt>
                <c:pt idx="104">
                  <c:v>-1132.8584740070639</c:v>
                </c:pt>
                <c:pt idx="105">
                  <c:v>1503.1213537289843</c:v>
                </c:pt>
                <c:pt idx="106">
                  <c:v>-4379.8333340683203</c:v>
                </c:pt>
                <c:pt idx="107">
                  <c:v>-2465.208638471353</c:v>
                </c:pt>
                <c:pt idx="108">
                  <c:v>4182.3805087950059</c:v>
                </c:pt>
                <c:pt idx="109">
                  <c:v>3837.177920449029</c:v>
                </c:pt>
                <c:pt idx="110">
                  <c:v>5880.6241624210834</c:v>
                </c:pt>
                <c:pt idx="111">
                  <c:v>-5852.1816728692511</c:v>
                </c:pt>
                <c:pt idx="112">
                  <c:v>2317.0120582058639</c:v>
                </c:pt>
                <c:pt idx="113">
                  <c:v>-5819.2033380460698</c:v>
                </c:pt>
                <c:pt idx="114">
                  <c:v>-4898.1852777209178</c:v>
                </c:pt>
                <c:pt idx="115">
                  <c:v>4779.7811136467171</c:v>
                </c:pt>
                <c:pt idx="116">
                  <c:v>-1503.1213537290496</c:v>
                </c:pt>
                <c:pt idx="117">
                  <c:v>3837.177920449029</c:v>
                </c:pt>
                <c:pt idx="118">
                  <c:v>5722.5076191971366</c:v>
                </c:pt>
                <c:pt idx="119">
                  <c:v>3230.6286195626244</c:v>
                </c:pt>
                <c:pt idx="120">
                  <c:v>-3907.7933842064126</c:v>
                </c:pt>
                <c:pt idx="121">
                  <c:v>5621.8255389440837</c:v>
                </c:pt>
                <c:pt idx="122">
                  <c:v>5864.1050738476824</c:v>
                </c:pt>
                <c:pt idx="123">
                  <c:v>-4117.0832565424753</c:v>
                </c:pt>
                <c:pt idx="124">
                  <c:v>-2906.5104052282959</c:v>
                </c:pt>
                <c:pt idx="125">
                  <c:v>1132.8584740071299</c:v>
                </c:pt>
                <c:pt idx="126">
                  <c:v>4548.5880569168976</c:v>
                </c:pt>
                <c:pt idx="127">
                  <c:v>5350.889346672705</c:v>
                </c:pt>
                <c:pt idx="128">
                  <c:v>1503.1213537291146</c:v>
                </c:pt>
                <c:pt idx="129">
                  <c:v>-4117.0832565423798</c:v>
                </c:pt>
                <c:pt idx="130">
                  <c:v>-4548.5880569168976</c:v>
                </c:pt>
                <c:pt idx="131">
                  <c:v>-4548.5880569168976</c:v>
                </c:pt>
                <c:pt idx="132">
                  <c:v>-4548.5880569168976</c:v>
                </c:pt>
                <c:pt idx="133">
                  <c:v>-5722.5076191971211</c:v>
                </c:pt>
                <c:pt idx="134">
                  <c:v>-1603.7382901369492</c:v>
                </c:pt>
                <c:pt idx="135">
                  <c:v>-5054.6054391832613</c:v>
                </c:pt>
                <c:pt idx="136">
                  <c:v>-2906.5104052284132</c:v>
                </c:pt>
                <c:pt idx="137">
                  <c:v>-1867.1182117774956</c:v>
                </c:pt>
                <c:pt idx="138">
                  <c:v>-1503.1213537291146</c:v>
                </c:pt>
                <c:pt idx="139">
                  <c:v>-1132.8584740070639</c:v>
                </c:pt>
                <c:pt idx="140">
                  <c:v>-757.87296553732313</c:v>
                </c:pt>
                <c:pt idx="141">
                  <c:v>-1132.8584740070639</c:v>
                </c:pt>
                <c:pt idx="142">
                  <c:v>-1132.8584740071963</c:v>
                </c:pt>
                <c:pt idx="143">
                  <c:v>-1132.8584740071963</c:v>
                </c:pt>
                <c:pt idx="144">
                  <c:v>-757.87296553718932</c:v>
                </c:pt>
                <c:pt idx="145">
                  <c:v>-2570.2778770651544</c:v>
                </c:pt>
                <c:pt idx="146">
                  <c:v>379.72800394685243</c:v>
                </c:pt>
                <c:pt idx="147">
                  <c:v>-4624.3348933683783</c:v>
                </c:pt>
                <c:pt idx="148">
                  <c:v>5604.9354920021015</c:v>
                </c:pt>
                <c:pt idx="149">
                  <c:v>4624.3348933683783</c:v>
                </c:pt>
                <c:pt idx="150">
                  <c:v>4379.8333340683657</c:v>
                </c:pt>
                <c:pt idx="151">
                  <c:v>2906.5104052282959</c:v>
                </c:pt>
                <c:pt idx="152">
                  <c:v>310.30702441835746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C0C-400A-BFEB-437740A4B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8621711"/>
        <c:axId val="1968627119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'[1]Main Data'!$E$1</c15:sqref>
                        </c15:formulaRef>
                      </c:ext>
                    </c:extLst>
                    <c:strCache>
                      <c:ptCount val="1"/>
                      <c:pt idx="0">
                        <c:v>Speed (Kph)</c:v>
                      </c:pt>
                    </c:strCache>
                  </c:strRef>
                </c:tx>
                <c:spPr>
                  <a:ln w="28575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('[1]Main Data'!$A:$A,'[1]Main Data'!$A$1)</c15:sqref>
                        </c15:formulaRef>
                      </c:ext>
                    </c:extLst>
                    <c:strCache>
                      <c:ptCount val="1048577"/>
                      <c:pt idx="0">
                        <c:v>Distance (m)</c:v>
                      </c:pt>
                      <c:pt idx="1">
                        <c:v>0</c:v>
                      </c:pt>
                      <c:pt idx="2">
                        <c:v>8.875</c:v>
                      </c:pt>
                      <c:pt idx="3">
                        <c:v>17.75</c:v>
                      </c:pt>
                      <c:pt idx="4">
                        <c:v>26.625</c:v>
                      </c:pt>
                      <c:pt idx="5">
                        <c:v>35.5</c:v>
                      </c:pt>
                      <c:pt idx="6">
                        <c:v>44.375</c:v>
                      </c:pt>
                      <c:pt idx="7">
                        <c:v>53.25</c:v>
                      </c:pt>
                      <c:pt idx="8">
                        <c:v>62.125</c:v>
                      </c:pt>
                      <c:pt idx="9">
                        <c:v>71</c:v>
                      </c:pt>
                      <c:pt idx="10">
                        <c:v>79.875</c:v>
                      </c:pt>
                      <c:pt idx="11">
                        <c:v>88.75</c:v>
                      </c:pt>
                      <c:pt idx="12">
                        <c:v>97.625</c:v>
                      </c:pt>
                      <c:pt idx="13">
                        <c:v>106.5</c:v>
                      </c:pt>
                      <c:pt idx="14">
                        <c:v>115.375</c:v>
                      </c:pt>
                      <c:pt idx="15">
                        <c:v>124.25</c:v>
                      </c:pt>
                      <c:pt idx="16">
                        <c:v>133.125</c:v>
                      </c:pt>
                      <c:pt idx="17">
                        <c:v>142</c:v>
                      </c:pt>
                      <c:pt idx="18">
                        <c:v>150.875</c:v>
                      </c:pt>
                      <c:pt idx="19">
                        <c:v>159.75</c:v>
                      </c:pt>
                      <c:pt idx="20">
                        <c:v>168.625</c:v>
                      </c:pt>
                      <c:pt idx="21">
                        <c:v>177.5</c:v>
                      </c:pt>
                      <c:pt idx="22">
                        <c:v>186.375</c:v>
                      </c:pt>
                      <c:pt idx="23">
                        <c:v>195.25</c:v>
                      </c:pt>
                      <c:pt idx="24">
                        <c:v>204.125</c:v>
                      </c:pt>
                      <c:pt idx="25">
                        <c:v>213</c:v>
                      </c:pt>
                      <c:pt idx="26">
                        <c:v>221.875</c:v>
                      </c:pt>
                      <c:pt idx="27">
                        <c:v>230.75</c:v>
                      </c:pt>
                      <c:pt idx="28">
                        <c:v>239.625</c:v>
                      </c:pt>
                      <c:pt idx="29">
                        <c:v>248.5</c:v>
                      </c:pt>
                      <c:pt idx="30">
                        <c:v>257.375</c:v>
                      </c:pt>
                      <c:pt idx="31">
                        <c:v>266.25</c:v>
                      </c:pt>
                      <c:pt idx="32">
                        <c:v>275.125</c:v>
                      </c:pt>
                      <c:pt idx="33">
                        <c:v>284</c:v>
                      </c:pt>
                      <c:pt idx="34">
                        <c:v>292.875</c:v>
                      </c:pt>
                      <c:pt idx="35">
                        <c:v>301.75</c:v>
                      </c:pt>
                      <c:pt idx="36">
                        <c:v>310.625</c:v>
                      </c:pt>
                      <c:pt idx="37">
                        <c:v>319.5</c:v>
                      </c:pt>
                      <c:pt idx="38">
                        <c:v>328.375</c:v>
                      </c:pt>
                      <c:pt idx="39">
                        <c:v>337.25</c:v>
                      </c:pt>
                      <c:pt idx="40">
                        <c:v>346.125</c:v>
                      </c:pt>
                      <c:pt idx="41">
                        <c:v>355</c:v>
                      </c:pt>
                      <c:pt idx="42">
                        <c:v>363.875</c:v>
                      </c:pt>
                      <c:pt idx="43">
                        <c:v>372.75</c:v>
                      </c:pt>
                      <c:pt idx="44">
                        <c:v>381.625</c:v>
                      </c:pt>
                      <c:pt idx="45">
                        <c:v>390.5</c:v>
                      </c:pt>
                      <c:pt idx="46">
                        <c:v>399.375</c:v>
                      </c:pt>
                      <c:pt idx="47">
                        <c:v>408.25</c:v>
                      </c:pt>
                      <c:pt idx="48">
                        <c:v>417.125</c:v>
                      </c:pt>
                      <c:pt idx="49">
                        <c:v>426</c:v>
                      </c:pt>
                      <c:pt idx="50">
                        <c:v>434.875</c:v>
                      </c:pt>
                      <c:pt idx="51">
                        <c:v>443.75</c:v>
                      </c:pt>
                      <c:pt idx="52">
                        <c:v>452.625</c:v>
                      </c:pt>
                      <c:pt idx="53">
                        <c:v>461.5</c:v>
                      </c:pt>
                      <c:pt idx="54">
                        <c:v>470.375</c:v>
                      </c:pt>
                      <c:pt idx="55">
                        <c:v>479.25</c:v>
                      </c:pt>
                      <c:pt idx="56">
                        <c:v>488.125</c:v>
                      </c:pt>
                      <c:pt idx="57">
                        <c:v>497</c:v>
                      </c:pt>
                      <c:pt idx="58">
                        <c:v>505.875</c:v>
                      </c:pt>
                      <c:pt idx="59">
                        <c:v>514.75</c:v>
                      </c:pt>
                      <c:pt idx="60">
                        <c:v>523.625</c:v>
                      </c:pt>
                      <c:pt idx="61">
                        <c:v>532.5</c:v>
                      </c:pt>
                      <c:pt idx="62">
                        <c:v>541.375</c:v>
                      </c:pt>
                      <c:pt idx="63">
                        <c:v>550.25</c:v>
                      </c:pt>
                      <c:pt idx="64">
                        <c:v>559.125</c:v>
                      </c:pt>
                      <c:pt idx="65">
                        <c:v>568</c:v>
                      </c:pt>
                      <c:pt idx="66">
                        <c:v>576.875</c:v>
                      </c:pt>
                      <c:pt idx="67">
                        <c:v>585.75</c:v>
                      </c:pt>
                      <c:pt idx="68">
                        <c:v>594.625</c:v>
                      </c:pt>
                      <c:pt idx="69">
                        <c:v>603.5</c:v>
                      </c:pt>
                      <c:pt idx="70">
                        <c:v>612.375</c:v>
                      </c:pt>
                      <c:pt idx="71">
                        <c:v>621.25</c:v>
                      </c:pt>
                      <c:pt idx="72">
                        <c:v>630.125</c:v>
                      </c:pt>
                      <c:pt idx="73">
                        <c:v>639</c:v>
                      </c:pt>
                      <c:pt idx="74">
                        <c:v>647.875</c:v>
                      </c:pt>
                      <c:pt idx="75">
                        <c:v>656.75</c:v>
                      </c:pt>
                      <c:pt idx="76">
                        <c:v>665.625</c:v>
                      </c:pt>
                      <c:pt idx="77">
                        <c:v>674.5</c:v>
                      </c:pt>
                      <c:pt idx="78">
                        <c:v>683.375</c:v>
                      </c:pt>
                      <c:pt idx="79">
                        <c:v>692.25</c:v>
                      </c:pt>
                      <c:pt idx="80">
                        <c:v>701.125</c:v>
                      </c:pt>
                      <c:pt idx="81">
                        <c:v>710</c:v>
                      </c:pt>
                      <c:pt idx="82">
                        <c:v>718.875</c:v>
                      </c:pt>
                      <c:pt idx="83">
                        <c:v>727.75</c:v>
                      </c:pt>
                      <c:pt idx="84">
                        <c:v>736.625</c:v>
                      </c:pt>
                      <c:pt idx="85">
                        <c:v>745.5</c:v>
                      </c:pt>
                      <c:pt idx="86">
                        <c:v>754.375</c:v>
                      </c:pt>
                      <c:pt idx="87">
                        <c:v>763.25</c:v>
                      </c:pt>
                      <c:pt idx="88">
                        <c:v>772.125</c:v>
                      </c:pt>
                      <c:pt idx="89">
                        <c:v>781</c:v>
                      </c:pt>
                      <c:pt idx="90">
                        <c:v>789.875</c:v>
                      </c:pt>
                      <c:pt idx="91">
                        <c:v>798.75</c:v>
                      </c:pt>
                      <c:pt idx="92">
                        <c:v>807.625</c:v>
                      </c:pt>
                      <c:pt idx="93">
                        <c:v>816.5</c:v>
                      </c:pt>
                      <c:pt idx="94">
                        <c:v>825.375</c:v>
                      </c:pt>
                      <c:pt idx="95">
                        <c:v>834.25</c:v>
                      </c:pt>
                      <c:pt idx="96">
                        <c:v>843.125</c:v>
                      </c:pt>
                      <c:pt idx="97">
                        <c:v>852</c:v>
                      </c:pt>
                      <c:pt idx="98">
                        <c:v>860.875</c:v>
                      </c:pt>
                      <c:pt idx="99">
                        <c:v>869.75</c:v>
                      </c:pt>
                      <c:pt idx="100">
                        <c:v>878.625</c:v>
                      </c:pt>
                      <c:pt idx="101">
                        <c:v>887.5</c:v>
                      </c:pt>
                      <c:pt idx="102">
                        <c:v>896.375</c:v>
                      </c:pt>
                      <c:pt idx="103">
                        <c:v>905.25</c:v>
                      </c:pt>
                      <c:pt idx="104">
                        <c:v>914.125</c:v>
                      </c:pt>
                      <c:pt idx="105">
                        <c:v>923</c:v>
                      </c:pt>
                      <c:pt idx="106">
                        <c:v>931.875</c:v>
                      </c:pt>
                      <c:pt idx="107">
                        <c:v>940.75</c:v>
                      </c:pt>
                      <c:pt idx="108">
                        <c:v>949.625</c:v>
                      </c:pt>
                      <c:pt idx="109">
                        <c:v>958.5</c:v>
                      </c:pt>
                      <c:pt idx="110">
                        <c:v>967.375</c:v>
                      </c:pt>
                      <c:pt idx="111">
                        <c:v>976.25</c:v>
                      </c:pt>
                      <c:pt idx="112">
                        <c:v>985.125</c:v>
                      </c:pt>
                      <c:pt idx="113">
                        <c:v>994</c:v>
                      </c:pt>
                      <c:pt idx="114">
                        <c:v>1002.875</c:v>
                      </c:pt>
                      <c:pt idx="115">
                        <c:v>1011.75</c:v>
                      </c:pt>
                      <c:pt idx="116">
                        <c:v>1020.625</c:v>
                      </c:pt>
                      <c:pt idx="117">
                        <c:v>1029.5</c:v>
                      </c:pt>
                      <c:pt idx="118">
                        <c:v>1038.375</c:v>
                      </c:pt>
                      <c:pt idx="119">
                        <c:v>1047.25</c:v>
                      </c:pt>
                      <c:pt idx="120">
                        <c:v>1056.125</c:v>
                      </c:pt>
                      <c:pt idx="121">
                        <c:v>1065</c:v>
                      </c:pt>
                      <c:pt idx="122">
                        <c:v>1073.875</c:v>
                      </c:pt>
                      <c:pt idx="123">
                        <c:v>1082.75</c:v>
                      </c:pt>
                      <c:pt idx="124">
                        <c:v>1091.625</c:v>
                      </c:pt>
                      <c:pt idx="125">
                        <c:v>1100.5</c:v>
                      </c:pt>
                      <c:pt idx="126">
                        <c:v>1109.375</c:v>
                      </c:pt>
                      <c:pt idx="127">
                        <c:v>1118.25</c:v>
                      </c:pt>
                      <c:pt idx="128">
                        <c:v>1127.125</c:v>
                      </c:pt>
                      <c:pt idx="129">
                        <c:v>1136</c:v>
                      </c:pt>
                      <c:pt idx="130">
                        <c:v>1144.875</c:v>
                      </c:pt>
                      <c:pt idx="131">
                        <c:v>1153.75</c:v>
                      </c:pt>
                      <c:pt idx="132">
                        <c:v>1162.625</c:v>
                      </c:pt>
                      <c:pt idx="133">
                        <c:v>1171.5</c:v>
                      </c:pt>
                      <c:pt idx="134">
                        <c:v>1180.375</c:v>
                      </c:pt>
                      <c:pt idx="135">
                        <c:v>1189.25</c:v>
                      </c:pt>
                      <c:pt idx="136">
                        <c:v>1198.125</c:v>
                      </c:pt>
                      <c:pt idx="137">
                        <c:v>1207</c:v>
                      </c:pt>
                      <c:pt idx="138">
                        <c:v>1215.875</c:v>
                      </c:pt>
                      <c:pt idx="139">
                        <c:v>1224.75</c:v>
                      </c:pt>
                      <c:pt idx="140">
                        <c:v>1233.625</c:v>
                      </c:pt>
                      <c:pt idx="141">
                        <c:v>1242.5</c:v>
                      </c:pt>
                      <c:pt idx="142">
                        <c:v>1251.375</c:v>
                      </c:pt>
                      <c:pt idx="143">
                        <c:v>1260.25</c:v>
                      </c:pt>
                      <c:pt idx="144">
                        <c:v>1269.125</c:v>
                      </c:pt>
                      <c:pt idx="145">
                        <c:v>1278</c:v>
                      </c:pt>
                      <c:pt idx="146">
                        <c:v>1286.875</c:v>
                      </c:pt>
                      <c:pt idx="147">
                        <c:v>1295.75</c:v>
                      </c:pt>
                      <c:pt idx="148">
                        <c:v>1304.625</c:v>
                      </c:pt>
                      <c:pt idx="149">
                        <c:v>1313.5</c:v>
                      </c:pt>
                      <c:pt idx="150">
                        <c:v>1322.375</c:v>
                      </c:pt>
                      <c:pt idx="151">
                        <c:v>1331.25</c:v>
                      </c:pt>
                      <c:pt idx="152">
                        <c:v>1340.125</c:v>
                      </c:pt>
                      <c:pt idx="153">
                        <c:v>1349</c:v>
                      </c:pt>
                      <c:pt idx="154">
                        <c:v>1357.875</c:v>
                      </c:pt>
                      <c:pt idx="1048576">
                        <c:v>Distance (m)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'[1]Main Data'!$E$3:$E$155</c15:sqref>
                        </c15:formulaRef>
                      </c:ext>
                    </c:extLst>
                    <c:numCache>
                      <c:formatCode>General</c:formatCode>
                      <c:ptCount val="153"/>
                      <c:pt idx="0">
                        <c:v>46.146182301270002</c:v>
                      </c:pt>
                      <c:pt idx="1">
                        <c:v>46.261338011100001</c:v>
                      </c:pt>
                      <c:pt idx="2">
                        <c:v>46.849243782780007</c:v>
                      </c:pt>
                      <c:pt idx="3">
                        <c:v>47.388398963850001</c:v>
                      </c:pt>
                      <c:pt idx="4">
                        <c:v>47.915793351270004</c:v>
                      </c:pt>
                      <c:pt idx="5">
                        <c:v>48.394814133689998</c:v>
                      </c:pt>
                      <c:pt idx="6">
                        <c:v>48.840770807369999</c:v>
                      </c:pt>
                      <c:pt idx="7">
                        <c:v>49.250357283330004</c:v>
                      </c:pt>
                      <c:pt idx="8">
                        <c:v>49.623252547500009</c:v>
                      </c:pt>
                      <c:pt idx="9">
                        <c:v>49.960146102390006</c:v>
                      </c:pt>
                      <c:pt idx="10">
                        <c:v>50.262707908260005</c:v>
                      </c:pt>
                      <c:pt idx="11">
                        <c:v>50.533458306300005</c:v>
                      </c:pt>
                      <c:pt idx="12">
                        <c:v>49.988701282680005</c:v>
                      </c:pt>
                      <c:pt idx="13">
                        <c:v>46.638372553200007</c:v>
                      </c:pt>
                      <c:pt idx="14">
                        <c:v>43.314115855320004</c:v>
                      </c:pt>
                      <c:pt idx="15">
                        <c:v>40.023752098680006</c:v>
                      </c:pt>
                      <c:pt idx="16">
                        <c:v>36.771723180720002</c:v>
                      </c:pt>
                      <c:pt idx="17">
                        <c:v>33.587306283060002</c:v>
                      </c:pt>
                      <c:pt idx="18">
                        <c:v>30.452272538760003</c:v>
                      </c:pt>
                      <c:pt idx="19">
                        <c:v>27.378278645400002</c:v>
                      </c:pt>
                      <c:pt idx="20">
                        <c:v>24.399559780911002</c:v>
                      </c:pt>
                      <c:pt idx="21">
                        <c:v>21.785433872858999</c:v>
                      </c:pt>
                      <c:pt idx="22">
                        <c:v>19.645731165438001</c:v>
                      </c:pt>
                      <c:pt idx="23">
                        <c:v>17.992311256556999</c:v>
                      </c:pt>
                      <c:pt idx="24">
                        <c:v>17.015934470994001</c:v>
                      </c:pt>
                      <c:pt idx="25">
                        <c:v>17.122271564322002</c:v>
                      </c:pt>
                      <c:pt idx="26">
                        <c:v>17.581045354839002</c:v>
                      </c:pt>
                      <c:pt idx="27">
                        <c:v>18.691562078784003</c:v>
                      </c:pt>
                      <c:pt idx="28">
                        <c:v>19.674084560148</c:v>
                      </c:pt>
                      <c:pt idx="29">
                        <c:v>18.115480163952</c:v>
                      </c:pt>
                      <c:pt idx="30">
                        <c:v>17.079310726892999</c:v>
                      </c:pt>
                      <c:pt idx="31">
                        <c:v>15.772406296914001</c:v>
                      </c:pt>
                      <c:pt idx="32">
                        <c:v>14.478366475071002</c:v>
                      </c:pt>
                      <c:pt idx="33">
                        <c:v>13.794365549763</c:v>
                      </c:pt>
                      <c:pt idx="34">
                        <c:v>13.310483546295002</c:v>
                      </c:pt>
                      <c:pt idx="35">
                        <c:v>13.323979389348001</c:v>
                      </c:pt>
                      <c:pt idx="36">
                        <c:v>13.900865645439001</c:v>
                      </c:pt>
                      <c:pt idx="37">
                        <c:v>14.916338607744001</c:v>
                      </c:pt>
                      <c:pt idx="38">
                        <c:v>16.311629814633001</c:v>
                      </c:pt>
                      <c:pt idx="39">
                        <c:v>17.549728097175002</c:v>
                      </c:pt>
                      <c:pt idx="40">
                        <c:v>18.909138878595002</c:v>
                      </c:pt>
                      <c:pt idx="41">
                        <c:v>19.111926153357004</c:v>
                      </c:pt>
                      <c:pt idx="42">
                        <c:v>19.440516173742001</c:v>
                      </c:pt>
                      <c:pt idx="43">
                        <c:v>20.200976435043</c:v>
                      </c:pt>
                      <c:pt idx="44">
                        <c:v>21.412588869351001</c:v>
                      </c:pt>
                      <c:pt idx="45">
                        <c:v>23.019033175938002</c:v>
                      </c:pt>
                      <c:pt idx="46">
                        <c:v>24.266458957023001</c:v>
                      </c:pt>
                      <c:pt idx="47">
                        <c:v>25.219495791036003</c:v>
                      </c:pt>
                      <c:pt idx="48">
                        <c:v>23.792530114539002</c:v>
                      </c:pt>
                      <c:pt idx="49">
                        <c:v>22.595591896758002</c:v>
                      </c:pt>
                      <c:pt idx="50">
                        <c:v>22.056056467209</c:v>
                      </c:pt>
                      <c:pt idx="51">
                        <c:v>22.011947039115</c:v>
                      </c:pt>
                      <c:pt idx="52">
                        <c:v>22.000033151684999</c:v>
                      </c:pt>
                      <c:pt idx="53">
                        <c:v>22.032091242693003</c:v>
                      </c:pt>
                      <c:pt idx="54">
                        <c:v>22.155087965688001</c:v>
                      </c:pt>
                      <c:pt idx="55">
                        <c:v>22.558955567733001</c:v>
                      </c:pt>
                      <c:pt idx="56">
                        <c:v>23.418467551512002</c:v>
                      </c:pt>
                      <c:pt idx="57">
                        <c:v>24.665767089588002</c:v>
                      </c:pt>
                      <c:pt idx="58">
                        <c:v>25.612918407063002</c:v>
                      </c:pt>
                      <c:pt idx="59">
                        <c:v>26.542420525971004</c:v>
                      </c:pt>
                      <c:pt idx="60">
                        <c:v>27.701885631240003</c:v>
                      </c:pt>
                      <c:pt idx="61">
                        <c:v>28.755341298900003</c:v>
                      </c:pt>
                      <c:pt idx="62">
                        <c:v>29.764526219460002</c:v>
                      </c:pt>
                      <c:pt idx="63">
                        <c:v>30.715166313180003</c:v>
                      </c:pt>
                      <c:pt idx="64">
                        <c:v>31.689024787440001</c:v>
                      </c:pt>
                      <c:pt idx="65">
                        <c:v>32.640614594550001</c:v>
                      </c:pt>
                      <c:pt idx="66">
                        <c:v>33.573955894379999</c:v>
                      </c:pt>
                      <c:pt idx="67">
                        <c:v>32.757073576290004</c:v>
                      </c:pt>
                      <c:pt idx="68">
                        <c:v>30.961031908500001</c:v>
                      </c:pt>
                      <c:pt idx="69">
                        <c:v>30.594065052690002</c:v>
                      </c:pt>
                      <c:pt idx="70">
                        <c:v>30.937466233170003</c:v>
                      </c:pt>
                      <c:pt idx="71">
                        <c:v>31.00816541619</c:v>
                      </c:pt>
                      <c:pt idx="72">
                        <c:v>31.110047406</c:v>
                      </c:pt>
                      <c:pt idx="73">
                        <c:v>31.41513811746</c:v>
                      </c:pt>
                      <c:pt idx="74">
                        <c:v>32.085352916910004</c:v>
                      </c:pt>
                      <c:pt idx="75">
                        <c:v>32.967331828380004</c:v>
                      </c:pt>
                      <c:pt idx="76">
                        <c:v>33.95124016866</c:v>
                      </c:pt>
                      <c:pt idx="77">
                        <c:v>34.807832887949999</c:v>
                      </c:pt>
                      <c:pt idx="78">
                        <c:v>35.624909535299999</c:v>
                      </c:pt>
                      <c:pt idx="79">
                        <c:v>36.410438982240002</c:v>
                      </c:pt>
                      <c:pt idx="80">
                        <c:v>37.167295103370002</c:v>
                      </c:pt>
                      <c:pt idx="81">
                        <c:v>37.886993477280001</c:v>
                      </c:pt>
                      <c:pt idx="82">
                        <c:v>38.499563152800008</c:v>
                      </c:pt>
                      <c:pt idx="83">
                        <c:v>39.280200092009999</c:v>
                      </c:pt>
                      <c:pt idx="84">
                        <c:v>40.025067825690002</c:v>
                      </c:pt>
                      <c:pt idx="85">
                        <c:v>40.722937457760004</c:v>
                      </c:pt>
                      <c:pt idx="86">
                        <c:v>41.427334832850001</c:v>
                      </c:pt>
                      <c:pt idx="87">
                        <c:v>42.132572879400001</c:v>
                      </c:pt>
                      <c:pt idx="88">
                        <c:v>42.780371090850004</c:v>
                      </c:pt>
                      <c:pt idx="89">
                        <c:v>43.389811047060007</c:v>
                      </c:pt>
                      <c:pt idx="90">
                        <c:v>43.835720573880003</c:v>
                      </c:pt>
                      <c:pt idx="91">
                        <c:v>44.502235847640009</c:v>
                      </c:pt>
                      <c:pt idx="92">
                        <c:v>45.114384377160007</c:v>
                      </c:pt>
                      <c:pt idx="93">
                        <c:v>45.712590923430007</c:v>
                      </c:pt>
                      <c:pt idx="94">
                        <c:v>46.291695173550004</c:v>
                      </c:pt>
                      <c:pt idx="95">
                        <c:v>46.851642222480002</c:v>
                      </c:pt>
                      <c:pt idx="96">
                        <c:v>47.389785772680007</c:v>
                      </c:pt>
                      <c:pt idx="97">
                        <c:v>47.900832833250007</c:v>
                      </c:pt>
                      <c:pt idx="98">
                        <c:v>48.381834722310003</c:v>
                      </c:pt>
                      <c:pt idx="99">
                        <c:v>48.828970574820005</c:v>
                      </c:pt>
                      <c:pt idx="100">
                        <c:v>49.238042094900003</c:v>
                      </c:pt>
                      <c:pt idx="101">
                        <c:v>49.617519255450006</c:v>
                      </c:pt>
                      <c:pt idx="102">
                        <c:v>48.56422369941</c:v>
                      </c:pt>
                      <c:pt idx="103">
                        <c:v>45.538113109950004</c:v>
                      </c:pt>
                      <c:pt idx="104">
                        <c:v>42.6771450918</c:v>
                      </c:pt>
                      <c:pt idx="105">
                        <c:v>39.928042255139999</c:v>
                      </c:pt>
                      <c:pt idx="106">
                        <c:v>37.240631419320003</c:v>
                      </c:pt>
                      <c:pt idx="107">
                        <c:v>34.410956064480004</c:v>
                      </c:pt>
                      <c:pt idx="108">
                        <c:v>32.409703413900004</c:v>
                      </c:pt>
                      <c:pt idx="109">
                        <c:v>32.417267416110001</c:v>
                      </c:pt>
                      <c:pt idx="110">
                        <c:v>29.571854273190002</c:v>
                      </c:pt>
                      <c:pt idx="111">
                        <c:v>27.6617177199</c:v>
                      </c:pt>
                      <c:pt idx="112">
                        <c:v>28.11220862859</c:v>
                      </c:pt>
                      <c:pt idx="113">
                        <c:v>28.63925899389</c:v>
                      </c:pt>
                      <c:pt idx="114">
                        <c:v>28.999000800090002</c:v>
                      </c:pt>
                      <c:pt idx="115">
                        <c:v>29.197734820380003</c:v>
                      </c:pt>
                      <c:pt idx="116">
                        <c:v>29.473758504990002</c:v>
                      </c:pt>
                      <c:pt idx="117">
                        <c:v>30.002233948650002</c:v>
                      </c:pt>
                      <c:pt idx="118">
                        <c:v>30.823372434960003</c:v>
                      </c:pt>
                      <c:pt idx="119">
                        <c:v>31.870053796680004</c:v>
                      </c:pt>
                      <c:pt idx="120">
                        <c:v>32.858976352589998</c:v>
                      </c:pt>
                      <c:pt idx="121">
                        <c:v>33.727585613309998</c:v>
                      </c:pt>
                      <c:pt idx="122">
                        <c:v>34.61086729422</c:v>
                      </c:pt>
                      <c:pt idx="123">
                        <c:v>35.500312924200003</c:v>
                      </c:pt>
                      <c:pt idx="124">
                        <c:v>36.317842321050001</c:v>
                      </c:pt>
                      <c:pt idx="125">
                        <c:v>37.07681682978</c:v>
                      </c:pt>
                      <c:pt idx="126">
                        <c:v>37.750583946060004</c:v>
                      </c:pt>
                      <c:pt idx="127">
                        <c:v>38.235176561070006</c:v>
                      </c:pt>
                      <c:pt idx="128">
                        <c:v>37.4138570673</c:v>
                      </c:pt>
                      <c:pt idx="129">
                        <c:v>35.530891799309998</c:v>
                      </c:pt>
                      <c:pt idx="130">
                        <c:v>33.93287664084</c:v>
                      </c:pt>
                      <c:pt idx="131">
                        <c:v>32.799186774180001</c:v>
                      </c:pt>
                      <c:pt idx="132">
                        <c:v>31.885957814040001</c:v>
                      </c:pt>
                      <c:pt idx="133">
                        <c:v>31.279106155050002</c:v>
                      </c:pt>
                      <c:pt idx="134">
                        <c:v>31.032277953030004</c:v>
                      </c:pt>
                      <c:pt idx="135">
                        <c:v>31.051633018590003</c:v>
                      </c:pt>
                      <c:pt idx="136">
                        <c:v>31.088573247599999</c:v>
                      </c:pt>
                      <c:pt idx="137">
                        <c:v>31.294253388060003</c:v>
                      </c:pt>
                      <c:pt idx="138">
                        <c:v>31.672907157960001</c:v>
                      </c:pt>
                      <c:pt idx="139">
                        <c:v>32.24263399326</c:v>
                      </c:pt>
                      <c:pt idx="140">
                        <c:v>33.030824089589998</c:v>
                      </c:pt>
                      <c:pt idx="141">
                        <c:v>33.936375216329999</c:v>
                      </c:pt>
                      <c:pt idx="142">
                        <c:v>34.782603116220002</c:v>
                      </c:pt>
                      <c:pt idx="143">
                        <c:v>35.555473240290006</c:v>
                      </c:pt>
                      <c:pt idx="144">
                        <c:v>36.320042675790006</c:v>
                      </c:pt>
                      <c:pt idx="145">
                        <c:v>37.053285193620006</c:v>
                      </c:pt>
                      <c:pt idx="146">
                        <c:v>37.843348904999999</c:v>
                      </c:pt>
                      <c:pt idx="147">
                        <c:v>38.60218620162</c:v>
                      </c:pt>
                      <c:pt idx="148">
                        <c:v>39.352125521070001</c:v>
                      </c:pt>
                      <c:pt idx="149">
                        <c:v>40.088514192570003</c:v>
                      </c:pt>
                      <c:pt idx="150">
                        <c:v>40.808274002280001</c:v>
                      </c:pt>
                      <c:pt idx="151">
                        <c:v>41.508876356190001</c:v>
                      </c:pt>
                      <c:pt idx="152">
                        <c:v>42.138950836140005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6C0C-400A-BFEB-437740A4BC58}"/>
                  </c:ext>
                </c:extLst>
              </c15:ser>
            </c15:filteredLineSeries>
          </c:ext>
        </c:extLst>
      </c:lineChart>
      <c:catAx>
        <c:axId val="1968621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627119"/>
        <c:crosses val="autoZero"/>
        <c:auto val="1"/>
        <c:lblAlgn val="ctr"/>
        <c:lblOffset val="100"/>
        <c:noMultiLvlLbl val="0"/>
      </c:catAx>
      <c:valAx>
        <c:axId val="1968627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8621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58568251487648"/>
          <c:y val="0.11418699186991872"/>
          <c:w val="0.83733044819779212"/>
          <c:h val="0.84109756097560973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'[1]Track Data'!$A$2:$A$77</c:f>
              <c:numCache>
                <c:formatCode>General</c:formatCode>
                <c:ptCount val="76"/>
                <c:pt idx="0">
                  <c:v>51.049260185999998</c:v>
                </c:pt>
                <c:pt idx="1">
                  <c:v>51.048953103999999</c:v>
                </c:pt>
                <c:pt idx="2">
                  <c:v>51.048657136000003</c:v>
                </c:pt>
                <c:pt idx="3">
                  <c:v>51.048298801000001</c:v>
                </c:pt>
                <c:pt idx="4">
                  <c:v>51.048041206999997</c:v>
                </c:pt>
                <c:pt idx="5">
                  <c:v>51.047895873999998</c:v>
                </c:pt>
                <c:pt idx="6">
                  <c:v>51.047881353999998</c:v>
                </c:pt>
                <c:pt idx="7">
                  <c:v>51.048004313</c:v>
                </c:pt>
                <c:pt idx="8">
                  <c:v>51.048305442</c:v>
                </c:pt>
                <c:pt idx="9">
                  <c:v>51.048283216999998</c:v>
                </c:pt>
                <c:pt idx="10">
                  <c:v>51.048049370999998</c:v>
                </c:pt>
                <c:pt idx="11">
                  <c:v>51.047975618000002</c:v>
                </c:pt>
                <c:pt idx="12">
                  <c:v>51.047819490000002</c:v>
                </c:pt>
                <c:pt idx="13">
                  <c:v>51.047801018999998</c:v>
                </c:pt>
                <c:pt idx="14">
                  <c:v>51.047787812000003</c:v>
                </c:pt>
                <c:pt idx="15">
                  <c:v>51.047756608</c:v>
                </c:pt>
                <c:pt idx="16">
                  <c:v>51.047651059000003</c:v>
                </c:pt>
                <c:pt idx="17">
                  <c:v>51.047076539000003</c:v>
                </c:pt>
                <c:pt idx="18">
                  <c:v>51.046919023000001</c:v>
                </c:pt>
                <c:pt idx="19">
                  <c:v>51.046814705000003</c:v>
                </c:pt>
                <c:pt idx="20">
                  <c:v>51.046826115000002</c:v>
                </c:pt>
                <c:pt idx="21">
                  <c:v>51.046938949000001</c:v>
                </c:pt>
                <c:pt idx="22">
                  <c:v>51.046940620000001</c:v>
                </c:pt>
                <c:pt idx="23">
                  <c:v>51.046785217</c:v>
                </c:pt>
                <c:pt idx="24">
                  <c:v>51.046626130999996</c:v>
                </c:pt>
                <c:pt idx="25">
                  <c:v>51.046555368999996</c:v>
                </c:pt>
                <c:pt idx="26">
                  <c:v>51.046616925000002</c:v>
                </c:pt>
                <c:pt idx="27">
                  <c:v>51.046770330999998</c:v>
                </c:pt>
                <c:pt idx="28">
                  <c:v>51.046948645000001</c:v>
                </c:pt>
                <c:pt idx="29">
                  <c:v>51.047142018000002</c:v>
                </c:pt>
                <c:pt idx="30">
                  <c:v>51.047320353000003</c:v>
                </c:pt>
                <c:pt idx="31">
                  <c:v>51.047478169000001</c:v>
                </c:pt>
                <c:pt idx="32">
                  <c:v>51.047728837999998</c:v>
                </c:pt>
                <c:pt idx="33">
                  <c:v>51.047614991000003</c:v>
                </c:pt>
                <c:pt idx="34">
                  <c:v>51.047523888000001</c:v>
                </c:pt>
                <c:pt idx="35">
                  <c:v>51.047416286999997</c:v>
                </c:pt>
                <c:pt idx="36">
                  <c:v>51.047408931</c:v>
                </c:pt>
                <c:pt idx="37">
                  <c:v>51.047504697000001</c:v>
                </c:pt>
                <c:pt idx="38">
                  <c:v>51.047685403000003</c:v>
                </c:pt>
                <c:pt idx="39">
                  <c:v>51.047953442999997</c:v>
                </c:pt>
                <c:pt idx="40">
                  <c:v>51.048225137999999</c:v>
                </c:pt>
                <c:pt idx="41">
                  <c:v>51.048446398999999</c:v>
                </c:pt>
                <c:pt idx="42">
                  <c:v>51.048665552000003</c:v>
                </c:pt>
                <c:pt idx="43">
                  <c:v>51.048861530000003</c:v>
                </c:pt>
                <c:pt idx="44">
                  <c:v>51.049039833999998</c:v>
                </c:pt>
                <c:pt idx="45">
                  <c:v>51.049027944999999</c:v>
                </c:pt>
                <c:pt idx="46">
                  <c:v>51.048862124999999</c:v>
                </c:pt>
                <c:pt idx="47">
                  <c:v>51.048707518999997</c:v>
                </c:pt>
                <c:pt idx="48">
                  <c:v>51.048601884999997</c:v>
                </c:pt>
                <c:pt idx="49">
                  <c:v>51.048650780000003</c:v>
                </c:pt>
                <c:pt idx="50">
                  <c:v>51.048807652000001</c:v>
                </c:pt>
                <c:pt idx="51">
                  <c:v>51.048758890999999</c:v>
                </c:pt>
                <c:pt idx="52">
                  <c:v>51.048602193999997</c:v>
                </c:pt>
                <c:pt idx="53">
                  <c:v>51.048418693999999</c:v>
                </c:pt>
                <c:pt idx="54">
                  <c:v>51.048342462000001</c:v>
                </c:pt>
                <c:pt idx="55">
                  <c:v>51.048551875000001</c:v>
                </c:pt>
                <c:pt idx="56">
                  <c:v>51.048966595000003</c:v>
                </c:pt>
                <c:pt idx="57">
                  <c:v>51.049085363000003</c:v>
                </c:pt>
                <c:pt idx="58">
                  <c:v>51.049226842000003</c:v>
                </c:pt>
                <c:pt idx="59">
                  <c:v>51.049231878000001</c:v>
                </c:pt>
                <c:pt idx="60">
                  <c:v>51.049266684999999</c:v>
                </c:pt>
                <c:pt idx="61">
                  <c:v>51.049357428</c:v>
                </c:pt>
                <c:pt idx="62">
                  <c:v>51.049419098000001</c:v>
                </c:pt>
                <c:pt idx="63">
                  <c:v>51.049432007999997</c:v>
                </c:pt>
                <c:pt idx="64">
                  <c:v>51.049497475000003</c:v>
                </c:pt>
                <c:pt idx="65">
                  <c:v>51.049574124999999</c:v>
                </c:pt>
                <c:pt idx="66">
                  <c:v>51.049631511000001</c:v>
                </c:pt>
                <c:pt idx="67">
                  <c:v>51.049613006999998</c:v>
                </c:pt>
                <c:pt idx="68">
                  <c:v>51.049503743999999</c:v>
                </c:pt>
                <c:pt idx="69">
                  <c:v>51.048990846000002</c:v>
                </c:pt>
                <c:pt idx="70">
                  <c:v>51.048703639999999</c:v>
                </c:pt>
                <c:pt idx="71">
                  <c:v>51.048661264000003</c:v>
                </c:pt>
                <c:pt idx="72">
                  <c:v>51.048805975000001</c:v>
                </c:pt>
                <c:pt idx="73">
                  <c:v>51.049074398999998</c:v>
                </c:pt>
                <c:pt idx="74">
                  <c:v>51.049603247999997</c:v>
                </c:pt>
                <c:pt idx="75">
                  <c:v>51.049260185999998</c:v>
                </c:pt>
              </c:numCache>
            </c:numRef>
          </c:xVal>
          <c:yVal>
            <c:numRef>
              <c:f>'[1]Track Data'!$B$2:$B$77</c:f>
              <c:numCache>
                <c:formatCode>General</c:formatCode>
                <c:ptCount val="76"/>
                <c:pt idx="0">
                  <c:v>-1.2326290600000001</c:v>
                </c:pt>
                <c:pt idx="1">
                  <c:v>-1.2327683659999999</c:v>
                </c:pt>
                <c:pt idx="2">
                  <c:v>-1.2328438399999999</c:v>
                </c:pt>
                <c:pt idx="3">
                  <c:v>-1.23271609</c:v>
                </c:pt>
                <c:pt idx="4">
                  <c:v>-1.2325765630000001</c:v>
                </c:pt>
                <c:pt idx="5">
                  <c:v>-1.232400433</c:v>
                </c:pt>
                <c:pt idx="6">
                  <c:v>-1.232168446</c:v>
                </c:pt>
                <c:pt idx="7">
                  <c:v>-1.2320103490000001</c:v>
                </c:pt>
                <c:pt idx="8">
                  <c:v>-1.23200317</c:v>
                </c:pt>
                <c:pt idx="9">
                  <c:v>-1.2317377789999999</c:v>
                </c:pt>
                <c:pt idx="10">
                  <c:v>-1.23053474</c:v>
                </c:pt>
                <c:pt idx="11">
                  <c:v>-1.230439646</c:v>
                </c:pt>
                <c:pt idx="12">
                  <c:v>-1.230703927</c:v>
                </c:pt>
                <c:pt idx="13">
                  <c:v>-1.231062662</c:v>
                </c:pt>
                <c:pt idx="14">
                  <c:v>-1.231558844</c:v>
                </c:pt>
                <c:pt idx="15">
                  <c:v>-1.2318114849999999</c:v>
                </c:pt>
                <c:pt idx="16">
                  <c:v>-1.2318775689999999</c:v>
                </c:pt>
                <c:pt idx="17">
                  <c:v>-1.2312948749999999</c:v>
                </c:pt>
                <c:pt idx="18">
                  <c:v>-1.2312348129999999</c:v>
                </c:pt>
                <c:pt idx="19">
                  <c:v>-1.2313976689999999</c:v>
                </c:pt>
                <c:pt idx="20">
                  <c:v>-1.2316637070000001</c:v>
                </c:pt>
                <c:pt idx="21">
                  <c:v>-1.2319043119999999</c:v>
                </c:pt>
                <c:pt idx="22">
                  <c:v>-1.232225508</c:v>
                </c:pt>
                <c:pt idx="23">
                  <c:v>-1.232353086</c:v>
                </c:pt>
                <c:pt idx="24">
                  <c:v>-1.232245926</c:v>
                </c:pt>
                <c:pt idx="25">
                  <c:v>-1.2318546930000001</c:v>
                </c:pt>
                <c:pt idx="26">
                  <c:v>-1.231286994</c:v>
                </c:pt>
                <c:pt idx="27">
                  <c:v>-1.230732857</c:v>
                </c:pt>
                <c:pt idx="28">
                  <c:v>-1.230646744</c:v>
                </c:pt>
                <c:pt idx="29">
                  <c:v>-1.230877462</c:v>
                </c:pt>
                <c:pt idx="30">
                  <c:v>-1.231168279</c:v>
                </c:pt>
                <c:pt idx="31">
                  <c:v>-1.2311332180000001</c:v>
                </c:pt>
                <c:pt idx="32">
                  <c:v>-1.229974793</c:v>
                </c:pt>
                <c:pt idx="33">
                  <c:v>-1.2300414930000001</c:v>
                </c:pt>
                <c:pt idx="34">
                  <c:v>-1.2302093329999999</c:v>
                </c:pt>
                <c:pt idx="35">
                  <c:v>-1.2301384390000001</c:v>
                </c:pt>
                <c:pt idx="36">
                  <c:v>-1.229879545</c:v>
                </c:pt>
                <c:pt idx="37">
                  <c:v>-1.229648592</c:v>
                </c:pt>
                <c:pt idx="38">
                  <c:v>-1.2295949589999999</c:v>
                </c:pt>
                <c:pt idx="39">
                  <c:v>-1.22979964</c:v>
                </c:pt>
                <c:pt idx="40">
                  <c:v>-1.230350611</c:v>
                </c:pt>
                <c:pt idx="41">
                  <c:v>-1.23104163</c:v>
                </c:pt>
                <c:pt idx="42">
                  <c:v>-1.2313254309999999</c:v>
                </c:pt>
                <c:pt idx="43">
                  <c:v>-1.2309754509999999</c:v>
                </c:pt>
                <c:pt idx="44">
                  <c:v>-1.2304226110000001</c:v>
                </c:pt>
                <c:pt idx="45">
                  <c:v>-1.23011793</c:v>
                </c:pt>
                <c:pt idx="46">
                  <c:v>-1.2293964079999999</c:v>
                </c:pt>
                <c:pt idx="47">
                  <c:v>-1.22924016</c:v>
                </c:pt>
                <c:pt idx="48">
                  <c:v>-1.229378723</c:v>
                </c:pt>
                <c:pt idx="49">
                  <c:v>-1.229820726</c:v>
                </c:pt>
                <c:pt idx="50">
                  <c:v>-1.2303484250000001</c:v>
                </c:pt>
                <c:pt idx="51">
                  <c:v>-1.230607894</c:v>
                </c:pt>
                <c:pt idx="52">
                  <c:v>-1.230422854</c:v>
                </c:pt>
                <c:pt idx="53">
                  <c:v>-1.2298742170000001</c:v>
                </c:pt>
                <c:pt idx="54">
                  <c:v>-1.229263993</c:v>
                </c:pt>
                <c:pt idx="55">
                  <c:v>-1.228976504</c:v>
                </c:pt>
                <c:pt idx="56">
                  <c:v>-1.2288225559999999</c:v>
                </c:pt>
                <c:pt idx="57">
                  <c:v>-1.2289976520000001</c:v>
                </c:pt>
                <c:pt idx="58">
                  <c:v>-1.2296818430000001</c:v>
                </c:pt>
                <c:pt idx="59">
                  <c:v>-1.230251886</c:v>
                </c:pt>
                <c:pt idx="60">
                  <c:v>-1.230770108</c:v>
                </c:pt>
                <c:pt idx="61">
                  <c:v>-1.2308141480000001</c:v>
                </c:pt>
                <c:pt idx="62">
                  <c:v>-1.2304230869999999</c:v>
                </c:pt>
                <c:pt idx="63">
                  <c:v>-1.22975229</c:v>
                </c:pt>
                <c:pt idx="64">
                  <c:v>-1.2296704890000001</c:v>
                </c:pt>
                <c:pt idx="65">
                  <c:v>-1.2298403339999999</c:v>
                </c:pt>
                <c:pt idx="66">
                  <c:v>-1.230259545</c:v>
                </c:pt>
                <c:pt idx="67">
                  <c:v>-1.2306964890000001</c:v>
                </c:pt>
                <c:pt idx="68">
                  <c:v>-1.2310845749999999</c:v>
                </c:pt>
                <c:pt idx="69">
                  <c:v>-1.231521903</c:v>
                </c:pt>
                <c:pt idx="70">
                  <c:v>-1.231882181</c:v>
                </c:pt>
                <c:pt idx="71">
                  <c:v>-1.2321336679999999</c:v>
                </c:pt>
                <c:pt idx="72">
                  <c:v>-1.2323701970000001</c:v>
                </c:pt>
                <c:pt idx="73">
                  <c:v>-1.2324566729999999</c:v>
                </c:pt>
                <c:pt idx="74">
                  <c:v>-1.2321938859999999</c:v>
                </c:pt>
                <c:pt idx="75">
                  <c:v>-1.2326290600000001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9A-42EB-A771-7576FF3FE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7385839"/>
        <c:axId val="1577379183"/>
      </c:scatterChart>
      <c:valAx>
        <c:axId val="15773858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79183"/>
        <c:crosses val="autoZero"/>
        <c:crossBetween val="midCat"/>
      </c:valAx>
      <c:valAx>
        <c:axId val="157737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3858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'[1]Main Data'!$Q$1</c:f>
              <c:strCache>
                <c:ptCount val="1"/>
                <c:pt idx="0">
                  <c:v>Corrected Elevation (m)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'[1]Main Data'!$A$2:$A$158</c:f>
              <c:numCache>
                <c:formatCode>General</c:formatCode>
                <c:ptCount val="157"/>
                <c:pt idx="0">
                  <c:v>0</c:v>
                </c:pt>
                <c:pt idx="1">
                  <c:v>8.875</c:v>
                </c:pt>
                <c:pt idx="2">
                  <c:v>17.75</c:v>
                </c:pt>
                <c:pt idx="3">
                  <c:v>26.625</c:v>
                </c:pt>
                <c:pt idx="4">
                  <c:v>35.5</c:v>
                </c:pt>
                <c:pt idx="5">
                  <c:v>44.375</c:v>
                </c:pt>
                <c:pt idx="6">
                  <c:v>53.25</c:v>
                </c:pt>
                <c:pt idx="7">
                  <c:v>62.125</c:v>
                </c:pt>
                <c:pt idx="8">
                  <c:v>71</c:v>
                </c:pt>
                <c:pt idx="9">
                  <c:v>79.875</c:v>
                </c:pt>
                <c:pt idx="10">
                  <c:v>88.75</c:v>
                </c:pt>
                <c:pt idx="11">
                  <c:v>97.625</c:v>
                </c:pt>
                <c:pt idx="12">
                  <c:v>106.5</c:v>
                </c:pt>
                <c:pt idx="13">
                  <c:v>115.375</c:v>
                </c:pt>
                <c:pt idx="14">
                  <c:v>124.25</c:v>
                </c:pt>
                <c:pt idx="15">
                  <c:v>133.125</c:v>
                </c:pt>
                <c:pt idx="16">
                  <c:v>142</c:v>
                </c:pt>
                <c:pt idx="17">
                  <c:v>150.875</c:v>
                </c:pt>
                <c:pt idx="18">
                  <c:v>159.75</c:v>
                </c:pt>
                <c:pt idx="19">
                  <c:v>168.625</c:v>
                </c:pt>
                <c:pt idx="20">
                  <c:v>177.5</c:v>
                </c:pt>
                <c:pt idx="21">
                  <c:v>186.375</c:v>
                </c:pt>
                <c:pt idx="22">
                  <c:v>195.25</c:v>
                </c:pt>
                <c:pt idx="23">
                  <c:v>204.125</c:v>
                </c:pt>
                <c:pt idx="24">
                  <c:v>213</c:v>
                </c:pt>
                <c:pt idx="25">
                  <c:v>221.875</c:v>
                </c:pt>
                <c:pt idx="26">
                  <c:v>230.75</c:v>
                </c:pt>
                <c:pt idx="27">
                  <c:v>239.625</c:v>
                </c:pt>
                <c:pt idx="28">
                  <c:v>248.5</c:v>
                </c:pt>
                <c:pt idx="29">
                  <c:v>257.375</c:v>
                </c:pt>
                <c:pt idx="30">
                  <c:v>266.25</c:v>
                </c:pt>
                <c:pt idx="31">
                  <c:v>275.125</c:v>
                </c:pt>
                <c:pt idx="32">
                  <c:v>284</c:v>
                </c:pt>
                <c:pt idx="33">
                  <c:v>292.875</c:v>
                </c:pt>
                <c:pt idx="34">
                  <c:v>301.75</c:v>
                </c:pt>
                <c:pt idx="35">
                  <c:v>310.625</c:v>
                </c:pt>
                <c:pt idx="36">
                  <c:v>319.5</c:v>
                </c:pt>
                <c:pt idx="37">
                  <c:v>328.375</c:v>
                </c:pt>
                <c:pt idx="38">
                  <c:v>337.25</c:v>
                </c:pt>
                <c:pt idx="39">
                  <c:v>346.125</c:v>
                </c:pt>
                <c:pt idx="40">
                  <c:v>355</c:v>
                </c:pt>
                <c:pt idx="41">
                  <c:v>363.875</c:v>
                </c:pt>
                <c:pt idx="42">
                  <c:v>372.75</c:v>
                </c:pt>
                <c:pt idx="43">
                  <c:v>381.625</c:v>
                </c:pt>
                <c:pt idx="44">
                  <c:v>390.5</c:v>
                </c:pt>
                <c:pt idx="45">
                  <c:v>399.375</c:v>
                </c:pt>
                <c:pt idx="46">
                  <c:v>408.25</c:v>
                </c:pt>
                <c:pt idx="47">
                  <c:v>417.125</c:v>
                </c:pt>
                <c:pt idx="48">
                  <c:v>426</c:v>
                </c:pt>
                <c:pt idx="49">
                  <c:v>434.875</c:v>
                </c:pt>
                <c:pt idx="50">
                  <c:v>443.75</c:v>
                </c:pt>
                <c:pt idx="51">
                  <c:v>452.625</c:v>
                </c:pt>
                <c:pt idx="52">
                  <c:v>461.5</c:v>
                </c:pt>
                <c:pt idx="53">
                  <c:v>470.375</c:v>
                </c:pt>
                <c:pt idx="54">
                  <c:v>479.25</c:v>
                </c:pt>
                <c:pt idx="55">
                  <c:v>488.125</c:v>
                </c:pt>
                <c:pt idx="56">
                  <c:v>497</c:v>
                </c:pt>
                <c:pt idx="57">
                  <c:v>505.875</c:v>
                </c:pt>
                <c:pt idx="58">
                  <c:v>514.75</c:v>
                </c:pt>
                <c:pt idx="59">
                  <c:v>523.625</c:v>
                </c:pt>
                <c:pt idx="60">
                  <c:v>532.5</c:v>
                </c:pt>
                <c:pt idx="61">
                  <c:v>541.375</c:v>
                </c:pt>
                <c:pt idx="62">
                  <c:v>550.25</c:v>
                </c:pt>
                <c:pt idx="63">
                  <c:v>559.125</c:v>
                </c:pt>
                <c:pt idx="64">
                  <c:v>568</c:v>
                </c:pt>
                <c:pt idx="65">
                  <c:v>576.875</c:v>
                </c:pt>
                <c:pt idx="66">
                  <c:v>585.75</c:v>
                </c:pt>
                <c:pt idx="67">
                  <c:v>594.625</c:v>
                </c:pt>
                <c:pt idx="68">
                  <c:v>603.5</c:v>
                </c:pt>
                <c:pt idx="69">
                  <c:v>612.375</c:v>
                </c:pt>
                <c:pt idx="70">
                  <c:v>621.25</c:v>
                </c:pt>
                <c:pt idx="71">
                  <c:v>630.125</c:v>
                </c:pt>
                <c:pt idx="72">
                  <c:v>639</c:v>
                </c:pt>
                <c:pt idx="73">
                  <c:v>647.875</c:v>
                </c:pt>
                <c:pt idx="74">
                  <c:v>656.75</c:v>
                </c:pt>
                <c:pt idx="75">
                  <c:v>665.625</c:v>
                </c:pt>
                <c:pt idx="76">
                  <c:v>674.5</c:v>
                </c:pt>
                <c:pt idx="77">
                  <c:v>683.375</c:v>
                </c:pt>
                <c:pt idx="78">
                  <c:v>692.25</c:v>
                </c:pt>
                <c:pt idx="79">
                  <c:v>701.125</c:v>
                </c:pt>
                <c:pt idx="80">
                  <c:v>710</c:v>
                </c:pt>
                <c:pt idx="81">
                  <c:v>718.875</c:v>
                </c:pt>
                <c:pt idx="82">
                  <c:v>727.75</c:v>
                </c:pt>
                <c:pt idx="83">
                  <c:v>736.625</c:v>
                </c:pt>
                <c:pt idx="84">
                  <c:v>745.5</c:v>
                </c:pt>
                <c:pt idx="85">
                  <c:v>754.375</c:v>
                </c:pt>
                <c:pt idx="86">
                  <c:v>763.25</c:v>
                </c:pt>
                <c:pt idx="87">
                  <c:v>772.125</c:v>
                </c:pt>
                <c:pt idx="88">
                  <c:v>781</c:v>
                </c:pt>
                <c:pt idx="89">
                  <c:v>789.875</c:v>
                </c:pt>
                <c:pt idx="90">
                  <c:v>798.75</c:v>
                </c:pt>
                <c:pt idx="91">
                  <c:v>807.625</c:v>
                </c:pt>
                <c:pt idx="92">
                  <c:v>816.5</c:v>
                </c:pt>
                <c:pt idx="93">
                  <c:v>825.375</c:v>
                </c:pt>
                <c:pt idx="94">
                  <c:v>834.25</c:v>
                </c:pt>
                <c:pt idx="95">
                  <c:v>843.125</c:v>
                </c:pt>
                <c:pt idx="96">
                  <c:v>852</c:v>
                </c:pt>
                <c:pt idx="97">
                  <c:v>860.875</c:v>
                </c:pt>
                <c:pt idx="98">
                  <c:v>869.75</c:v>
                </c:pt>
                <c:pt idx="99">
                  <c:v>878.625</c:v>
                </c:pt>
                <c:pt idx="100">
                  <c:v>887.5</c:v>
                </c:pt>
                <c:pt idx="101">
                  <c:v>896.375</c:v>
                </c:pt>
                <c:pt idx="102">
                  <c:v>905.25</c:v>
                </c:pt>
                <c:pt idx="103">
                  <c:v>914.125</c:v>
                </c:pt>
                <c:pt idx="104">
                  <c:v>923</c:v>
                </c:pt>
                <c:pt idx="105">
                  <c:v>931.875</c:v>
                </c:pt>
                <c:pt idx="106">
                  <c:v>940.75</c:v>
                </c:pt>
                <c:pt idx="107">
                  <c:v>949.625</c:v>
                </c:pt>
                <c:pt idx="108">
                  <c:v>958.5</c:v>
                </c:pt>
                <c:pt idx="109">
                  <c:v>967.375</c:v>
                </c:pt>
                <c:pt idx="110">
                  <c:v>976.25</c:v>
                </c:pt>
                <c:pt idx="111">
                  <c:v>985.125</c:v>
                </c:pt>
                <c:pt idx="112">
                  <c:v>994</c:v>
                </c:pt>
                <c:pt idx="113">
                  <c:v>1002.875</c:v>
                </c:pt>
                <c:pt idx="114">
                  <c:v>1011.75</c:v>
                </c:pt>
                <c:pt idx="115">
                  <c:v>1020.625</c:v>
                </c:pt>
                <c:pt idx="116">
                  <c:v>1029.5</c:v>
                </c:pt>
                <c:pt idx="117">
                  <c:v>1038.375</c:v>
                </c:pt>
                <c:pt idx="118">
                  <c:v>1047.25</c:v>
                </c:pt>
                <c:pt idx="119">
                  <c:v>1056.125</c:v>
                </c:pt>
                <c:pt idx="120">
                  <c:v>1065</c:v>
                </c:pt>
                <c:pt idx="121">
                  <c:v>1073.875</c:v>
                </c:pt>
                <c:pt idx="122">
                  <c:v>1082.75</c:v>
                </c:pt>
                <c:pt idx="123">
                  <c:v>1091.625</c:v>
                </c:pt>
                <c:pt idx="124">
                  <c:v>1100.5</c:v>
                </c:pt>
                <c:pt idx="125">
                  <c:v>1109.375</c:v>
                </c:pt>
                <c:pt idx="126">
                  <c:v>1118.25</c:v>
                </c:pt>
                <c:pt idx="127">
                  <c:v>1127.125</c:v>
                </c:pt>
                <c:pt idx="128">
                  <c:v>1136</c:v>
                </c:pt>
                <c:pt idx="129">
                  <c:v>1144.875</c:v>
                </c:pt>
                <c:pt idx="130">
                  <c:v>1153.75</c:v>
                </c:pt>
                <c:pt idx="131">
                  <c:v>1162.625</c:v>
                </c:pt>
                <c:pt idx="132">
                  <c:v>1171.5</c:v>
                </c:pt>
                <c:pt idx="133">
                  <c:v>1180.375</c:v>
                </c:pt>
                <c:pt idx="134">
                  <c:v>1189.25</c:v>
                </c:pt>
                <c:pt idx="135">
                  <c:v>1198.125</c:v>
                </c:pt>
                <c:pt idx="136">
                  <c:v>1207</c:v>
                </c:pt>
                <c:pt idx="137">
                  <c:v>1215.875</c:v>
                </c:pt>
                <c:pt idx="138">
                  <c:v>1224.75</c:v>
                </c:pt>
                <c:pt idx="139">
                  <c:v>1233.625</c:v>
                </c:pt>
                <c:pt idx="140">
                  <c:v>1242.5</c:v>
                </c:pt>
                <c:pt idx="141">
                  <c:v>1251.375</c:v>
                </c:pt>
                <c:pt idx="142">
                  <c:v>1260.25</c:v>
                </c:pt>
                <c:pt idx="143">
                  <c:v>1269.125</c:v>
                </c:pt>
                <c:pt idx="144">
                  <c:v>1278</c:v>
                </c:pt>
                <c:pt idx="145">
                  <c:v>1286.875</c:v>
                </c:pt>
                <c:pt idx="146">
                  <c:v>1295.75</c:v>
                </c:pt>
                <c:pt idx="147">
                  <c:v>1304.625</c:v>
                </c:pt>
                <c:pt idx="148">
                  <c:v>1313.5</c:v>
                </c:pt>
                <c:pt idx="149">
                  <c:v>1322.375</c:v>
                </c:pt>
                <c:pt idx="150">
                  <c:v>1331.25</c:v>
                </c:pt>
                <c:pt idx="151">
                  <c:v>1340.125</c:v>
                </c:pt>
                <c:pt idx="152">
                  <c:v>1349</c:v>
                </c:pt>
                <c:pt idx="153">
                  <c:v>1357.875</c:v>
                </c:pt>
              </c:numCache>
            </c:numRef>
          </c:xVal>
          <c:yVal>
            <c:numRef>
              <c:f>'[1]Main Data'!$Q$2:$Q$158</c:f>
              <c:numCache>
                <c:formatCode>General</c:formatCode>
                <c:ptCount val="157"/>
                <c:pt idx="1">
                  <c:v>2.0400000000000009</c:v>
                </c:pt>
                <c:pt idx="2">
                  <c:v>2.3200000000000021</c:v>
                </c:pt>
                <c:pt idx="3">
                  <c:v>2.4400000000000013</c:v>
                </c:pt>
                <c:pt idx="4">
                  <c:v>2.4900000000000002</c:v>
                </c:pt>
                <c:pt idx="5">
                  <c:v>2.3700000000000028</c:v>
                </c:pt>
                <c:pt idx="6">
                  <c:v>2.2100000000000026</c:v>
                </c:pt>
                <c:pt idx="7">
                  <c:v>1.9300000000000015</c:v>
                </c:pt>
                <c:pt idx="8">
                  <c:v>1.8100000000000023</c:v>
                </c:pt>
                <c:pt idx="9">
                  <c:v>1.8200000000000021</c:v>
                </c:pt>
                <c:pt idx="10">
                  <c:v>1.6800000000000015</c:v>
                </c:pt>
                <c:pt idx="11">
                  <c:v>0.90000000000000036</c:v>
                </c:pt>
                <c:pt idx="12">
                  <c:v>1.0400000000000009</c:v>
                </c:pt>
                <c:pt idx="13">
                  <c:v>1.1700000000000017</c:v>
                </c:pt>
                <c:pt idx="14">
                  <c:v>1.25</c:v>
                </c:pt>
                <c:pt idx="15">
                  <c:v>1.2700000000000014</c:v>
                </c:pt>
                <c:pt idx="16">
                  <c:v>1.5500000000000007</c:v>
                </c:pt>
                <c:pt idx="17">
                  <c:v>1.6400000000000006</c:v>
                </c:pt>
                <c:pt idx="18">
                  <c:v>2.2400000000000002</c:v>
                </c:pt>
                <c:pt idx="19">
                  <c:v>2.5300000000000011</c:v>
                </c:pt>
                <c:pt idx="20">
                  <c:v>2.7600000000000033</c:v>
                </c:pt>
                <c:pt idx="21">
                  <c:v>2.6400000000000006</c:v>
                </c:pt>
                <c:pt idx="22">
                  <c:v>2.5600000000000023</c:v>
                </c:pt>
                <c:pt idx="23">
                  <c:v>2.5900000000000016</c:v>
                </c:pt>
                <c:pt idx="24">
                  <c:v>2.9400000000000013</c:v>
                </c:pt>
                <c:pt idx="25">
                  <c:v>3.25</c:v>
                </c:pt>
                <c:pt idx="26">
                  <c:v>3.2900000000000009</c:v>
                </c:pt>
                <c:pt idx="27">
                  <c:v>3.1700000000000017</c:v>
                </c:pt>
                <c:pt idx="28">
                  <c:v>2.8200000000000021</c:v>
                </c:pt>
                <c:pt idx="29">
                  <c:v>2.4700000000000024</c:v>
                </c:pt>
                <c:pt idx="30">
                  <c:v>2.1200000000000028</c:v>
                </c:pt>
                <c:pt idx="31">
                  <c:v>1.8400000000000016</c:v>
                </c:pt>
                <c:pt idx="32">
                  <c:v>1.610000000000003</c:v>
                </c:pt>
                <c:pt idx="33">
                  <c:v>1.5500000000000007</c:v>
                </c:pt>
                <c:pt idx="34">
                  <c:v>1.6300000000000008</c:v>
                </c:pt>
                <c:pt idx="35">
                  <c:v>1.5999999999999996</c:v>
                </c:pt>
                <c:pt idx="36">
                  <c:v>1.8000000000000007</c:v>
                </c:pt>
                <c:pt idx="37">
                  <c:v>2.0100000000000033</c:v>
                </c:pt>
                <c:pt idx="38">
                  <c:v>2.0500000000000007</c:v>
                </c:pt>
                <c:pt idx="39">
                  <c:v>1.9200000000000017</c:v>
                </c:pt>
                <c:pt idx="40">
                  <c:v>1.5</c:v>
                </c:pt>
                <c:pt idx="41">
                  <c:v>0.89000000000000057</c:v>
                </c:pt>
                <c:pt idx="42">
                  <c:v>1</c:v>
                </c:pt>
                <c:pt idx="43">
                  <c:v>1.25</c:v>
                </c:pt>
                <c:pt idx="44">
                  <c:v>0.99000000000000021</c:v>
                </c:pt>
                <c:pt idx="45">
                  <c:v>0.44000000000000128</c:v>
                </c:pt>
                <c:pt idx="46">
                  <c:v>0.22000000000000242</c:v>
                </c:pt>
                <c:pt idx="47">
                  <c:v>0.86000000000000298</c:v>
                </c:pt>
                <c:pt idx="48">
                  <c:v>1.2000000000000011</c:v>
                </c:pt>
                <c:pt idx="49">
                  <c:v>1.1600000000000019</c:v>
                </c:pt>
                <c:pt idx="50">
                  <c:v>0.71000000000000263</c:v>
                </c:pt>
                <c:pt idx="51">
                  <c:v>0.39000000000000057</c:v>
                </c:pt>
                <c:pt idx="52">
                  <c:v>0.61000000000000121</c:v>
                </c:pt>
                <c:pt idx="53">
                  <c:v>0.49000000000000021</c:v>
                </c:pt>
                <c:pt idx="54">
                  <c:v>0.96000000000000263</c:v>
                </c:pt>
                <c:pt idx="55">
                  <c:v>1.6300000000000008</c:v>
                </c:pt>
                <c:pt idx="56">
                  <c:v>1.7200000000000024</c:v>
                </c:pt>
                <c:pt idx="57">
                  <c:v>1.4200000000000017</c:v>
                </c:pt>
                <c:pt idx="58">
                  <c:v>1.1200000000000028</c:v>
                </c:pt>
                <c:pt idx="59">
                  <c:v>0.25000000000000178</c:v>
                </c:pt>
                <c:pt idx="60">
                  <c:v>0.28000000000000114</c:v>
                </c:pt>
                <c:pt idx="61">
                  <c:v>0.84999999999999964</c:v>
                </c:pt>
                <c:pt idx="62">
                  <c:v>0.93000000000000149</c:v>
                </c:pt>
                <c:pt idx="63">
                  <c:v>0.53000000000000114</c:v>
                </c:pt>
                <c:pt idx="64">
                  <c:v>0</c:v>
                </c:pt>
                <c:pt idx="65">
                  <c:v>1.0000000000001563E-2</c:v>
                </c:pt>
                <c:pt idx="66">
                  <c:v>0</c:v>
                </c:pt>
                <c:pt idx="67">
                  <c:v>0.36000000000000121</c:v>
                </c:pt>
                <c:pt idx="68">
                  <c:v>0.83000000000000185</c:v>
                </c:pt>
                <c:pt idx="69">
                  <c:v>1.25</c:v>
                </c:pt>
                <c:pt idx="70">
                  <c:v>1.3900000000000006</c:v>
                </c:pt>
                <c:pt idx="71">
                  <c:v>1.610000000000003</c:v>
                </c:pt>
                <c:pt idx="72">
                  <c:v>1.8499999999999996</c:v>
                </c:pt>
                <c:pt idx="73">
                  <c:v>1.9500000000000011</c:v>
                </c:pt>
                <c:pt idx="74">
                  <c:v>1.9500000000000011</c:v>
                </c:pt>
                <c:pt idx="75">
                  <c:v>1.75</c:v>
                </c:pt>
                <c:pt idx="76">
                  <c:v>2.0400000000000009</c:v>
                </c:pt>
                <c:pt idx="77">
                  <c:v>2.0100000000000033</c:v>
                </c:pt>
                <c:pt idx="78">
                  <c:v>2.0500000000000007</c:v>
                </c:pt>
                <c:pt idx="79">
                  <c:v>1.9200000000000017</c:v>
                </c:pt>
                <c:pt idx="80">
                  <c:v>1.5</c:v>
                </c:pt>
                <c:pt idx="81">
                  <c:v>0.89000000000000057</c:v>
                </c:pt>
                <c:pt idx="82">
                  <c:v>1</c:v>
                </c:pt>
                <c:pt idx="83">
                  <c:v>1.25</c:v>
                </c:pt>
                <c:pt idx="84">
                  <c:v>0.99000000000000021</c:v>
                </c:pt>
                <c:pt idx="85">
                  <c:v>0.44000000000000128</c:v>
                </c:pt>
                <c:pt idx="86">
                  <c:v>0.22000000000000242</c:v>
                </c:pt>
                <c:pt idx="87">
                  <c:v>0.86000000000000298</c:v>
                </c:pt>
                <c:pt idx="88">
                  <c:v>1.2000000000000011</c:v>
                </c:pt>
                <c:pt idx="89">
                  <c:v>1.1600000000000019</c:v>
                </c:pt>
                <c:pt idx="90">
                  <c:v>0.71000000000000263</c:v>
                </c:pt>
                <c:pt idx="91">
                  <c:v>0.39000000000000057</c:v>
                </c:pt>
                <c:pt idx="92">
                  <c:v>0.53000000000000114</c:v>
                </c:pt>
                <c:pt idx="93">
                  <c:v>0</c:v>
                </c:pt>
                <c:pt idx="94">
                  <c:v>1.0000000000001563E-2</c:v>
                </c:pt>
                <c:pt idx="95">
                  <c:v>0</c:v>
                </c:pt>
                <c:pt idx="96">
                  <c:v>0.36000000000000121</c:v>
                </c:pt>
                <c:pt idx="97">
                  <c:v>0.83000000000000185</c:v>
                </c:pt>
                <c:pt idx="98">
                  <c:v>1.25</c:v>
                </c:pt>
                <c:pt idx="99">
                  <c:v>1.3900000000000006</c:v>
                </c:pt>
                <c:pt idx="100">
                  <c:v>1.610000000000003</c:v>
                </c:pt>
                <c:pt idx="101">
                  <c:v>1.8499999999999996</c:v>
                </c:pt>
                <c:pt idx="102">
                  <c:v>1.9500000000000011</c:v>
                </c:pt>
                <c:pt idx="103">
                  <c:v>1.9500000000000011</c:v>
                </c:pt>
                <c:pt idx="104">
                  <c:v>1.75</c:v>
                </c:pt>
                <c:pt idx="105">
                  <c:v>2.0400000000000009</c:v>
                </c:pt>
                <c:pt idx="106">
                  <c:v>2.0100000000000033</c:v>
                </c:pt>
                <c:pt idx="107">
                  <c:v>2.0500000000000007</c:v>
                </c:pt>
                <c:pt idx="108">
                  <c:v>1.9200000000000017</c:v>
                </c:pt>
                <c:pt idx="109">
                  <c:v>1.5</c:v>
                </c:pt>
                <c:pt idx="110">
                  <c:v>0.89000000000000057</c:v>
                </c:pt>
                <c:pt idx="111">
                  <c:v>1</c:v>
                </c:pt>
                <c:pt idx="112">
                  <c:v>1.25</c:v>
                </c:pt>
                <c:pt idx="113">
                  <c:v>0.99000000000000021</c:v>
                </c:pt>
                <c:pt idx="114">
                  <c:v>0.44000000000000128</c:v>
                </c:pt>
                <c:pt idx="115">
                  <c:v>0.22000000000000242</c:v>
                </c:pt>
                <c:pt idx="116">
                  <c:v>0.86000000000000298</c:v>
                </c:pt>
                <c:pt idx="117">
                  <c:v>1.2000000000000011</c:v>
                </c:pt>
                <c:pt idx="118">
                  <c:v>1.1600000000000019</c:v>
                </c:pt>
                <c:pt idx="119">
                  <c:v>1.2700000000000014</c:v>
                </c:pt>
                <c:pt idx="120">
                  <c:v>1.5500000000000007</c:v>
                </c:pt>
                <c:pt idx="121">
                  <c:v>1.6400000000000006</c:v>
                </c:pt>
                <c:pt idx="122">
                  <c:v>2.2400000000000002</c:v>
                </c:pt>
                <c:pt idx="123">
                  <c:v>2.5300000000000011</c:v>
                </c:pt>
                <c:pt idx="124">
                  <c:v>2.7600000000000033</c:v>
                </c:pt>
                <c:pt idx="125">
                  <c:v>2.6400000000000006</c:v>
                </c:pt>
                <c:pt idx="126">
                  <c:v>2.5600000000000023</c:v>
                </c:pt>
                <c:pt idx="127">
                  <c:v>2.5900000000000016</c:v>
                </c:pt>
                <c:pt idx="128">
                  <c:v>2.9400000000000013</c:v>
                </c:pt>
                <c:pt idx="129">
                  <c:v>3.25</c:v>
                </c:pt>
                <c:pt idx="130">
                  <c:v>3.2900000000000009</c:v>
                </c:pt>
                <c:pt idx="131">
                  <c:v>3.1700000000000017</c:v>
                </c:pt>
                <c:pt idx="132">
                  <c:v>2.8200000000000021</c:v>
                </c:pt>
                <c:pt idx="133">
                  <c:v>2.4700000000000024</c:v>
                </c:pt>
                <c:pt idx="134">
                  <c:v>2.1200000000000028</c:v>
                </c:pt>
                <c:pt idx="135">
                  <c:v>1.8400000000000016</c:v>
                </c:pt>
                <c:pt idx="136">
                  <c:v>2.3700000000000028</c:v>
                </c:pt>
                <c:pt idx="137">
                  <c:v>2.2100000000000026</c:v>
                </c:pt>
                <c:pt idx="138">
                  <c:v>2.1300000000000008</c:v>
                </c:pt>
                <c:pt idx="139">
                  <c:v>2.0800000000000018</c:v>
                </c:pt>
                <c:pt idx="140">
                  <c:v>2.0400000000000009</c:v>
                </c:pt>
                <c:pt idx="141">
                  <c:v>2.0100000000000033</c:v>
                </c:pt>
                <c:pt idx="142">
                  <c:v>1.9900000000000002</c:v>
                </c:pt>
                <c:pt idx="143">
                  <c:v>1.9600000000000026</c:v>
                </c:pt>
                <c:pt idx="144">
                  <c:v>1.9300000000000015</c:v>
                </c:pt>
                <c:pt idx="145">
                  <c:v>1.9000000000000004</c:v>
                </c:pt>
                <c:pt idx="146">
                  <c:v>1.8800000000000008</c:v>
                </c:pt>
                <c:pt idx="147">
                  <c:v>1.8100000000000023</c:v>
                </c:pt>
                <c:pt idx="148">
                  <c:v>1.8200000000000021</c:v>
                </c:pt>
                <c:pt idx="149">
                  <c:v>1.6800000000000015</c:v>
                </c:pt>
                <c:pt idx="150">
                  <c:v>0.90000000000000036</c:v>
                </c:pt>
                <c:pt idx="151">
                  <c:v>1.0400000000000009</c:v>
                </c:pt>
                <c:pt idx="152">
                  <c:v>1.1700000000000017</c:v>
                </c:pt>
                <c:pt idx="153">
                  <c:v>1.25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AC-4B95-B5FB-054AE165F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9760303"/>
        <c:axId val="1609749071"/>
      </c:scatterChart>
      <c:valAx>
        <c:axId val="16097603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749071"/>
        <c:crosses val="autoZero"/>
        <c:crossBetween val="midCat"/>
      </c:valAx>
      <c:valAx>
        <c:axId val="1609749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760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'[1]Main Data'!$AD$1</c:f>
              <c:strCache>
                <c:ptCount val="1"/>
                <c:pt idx="0">
                  <c:v>Within Limit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'[1]Main Data'!$G$2:$G$158</c:f>
              <c:numCache>
                <c:formatCode>General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'[1]Main Data'!$AD$2:$AD$158</c:f>
              <c:numCache>
                <c:formatCode>General</c:formatCode>
                <c:ptCount val="157"/>
                <c:pt idx="1">
                  <c:v>11.818383972575001</c:v>
                </c:pt>
                <c:pt idx="2">
                  <c:v>11.85037166975</c:v>
                </c:pt>
                <c:pt idx="3">
                  <c:v>12.013678828550002</c:v>
                </c:pt>
                <c:pt idx="4">
                  <c:v>-42.316086556646709</c:v>
                </c:pt>
                <c:pt idx="5">
                  <c:v>-55.265405599809867</c:v>
                </c:pt>
                <c:pt idx="6">
                  <c:v>-64.923697828400805</c:v>
                </c:pt>
                <c:pt idx="7">
                  <c:v>-43.822798379219968</c:v>
                </c:pt>
                <c:pt idx="8">
                  <c:v>12.680654800925002</c:v>
                </c:pt>
                <c:pt idx="9">
                  <c:v>-51.720350619416095</c:v>
                </c:pt>
                <c:pt idx="10">
                  <c:v>12.877818361775001</c:v>
                </c:pt>
                <c:pt idx="11">
                  <c:v>12.961863307850001</c:v>
                </c:pt>
                <c:pt idx="12">
                  <c:v>12.98</c:v>
                </c:pt>
                <c:pt idx="13">
                  <c:v>12.885750356300001</c:v>
                </c:pt>
                <c:pt idx="14">
                  <c:v>8.8275932898180436</c:v>
                </c:pt>
                <c:pt idx="15">
                  <c:v>11.031698848700001</c:v>
                </c:pt>
                <c:pt idx="16">
                  <c:v>10.117708916300002</c:v>
                </c:pt>
                <c:pt idx="17">
                  <c:v>-38.963509389287552</c:v>
                </c:pt>
                <c:pt idx="18">
                  <c:v>8.3298073008500015</c:v>
                </c:pt>
                <c:pt idx="19">
                  <c:v>7.4589645941000011</c:v>
                </c:pt>
                <c:pt idx="20">
                  <c:v>-29.303975205563084</c:v>
                </c:pt>
                <c:pt idx="21">
                  <c:v>-17.524371574346365</c:v>
                </c:pt>
                <c:pt idx="22">
                  <c:v>9.3054830726747575</c:v>
                </c:pt>
                <c:pt idx="23">
                  <c:v>4.4571475459549994</c:v>
                </c:pt>
                <c:pt idx="24">
                  <c:v>3.9978642379324993</c:v>
                </c:pt>
                <c:pt idx="25">
                  <c:v>10.060602241608681</c:v>
                </c:pt>
                <c:pt idx="26">
                  <c:v>-16.137717967721329</c:v>
                </c:pt>
                <c:pt idx="27">
                  <c:v>-18.518661174825169</c:v>
                </c:pt>
                <c:pt idx="28">
                  <c:v>-19.352587733886097</c:v>
                </c:pt>
                <c:pt idx="29">
                  <c:v>-20.400889363522062</c:v>
                </c:pt>
                <c:pt idx="30">
                  <c:v>-25.968137487052964</c:v>
                </c:pt>
                <c:pt idx="31">
                  <c:v>-24.881916379239893</c:v>
                </c:pt>
                <c:pt idx="32">
                  <c:v>-7.1061333054651392</c:v>
                </c:pt>
                <c:pt idx="33">
                  <c:v>3.0217684652975008</c:v>
                </c:pt>
                <c:pt idx="34">
                  <c:v>-1.8070280449770058</c:v>
                </c:pt>
                <c:pt idx="35">
                  <c:v>2.6973565406375002</c:v>
                </c:pt>
                <c:pt idx="36">
                  <c:v>2.70110538593</c:v>
                </c:pt>
                <c:pt idx="37">
                  <c:v>8.7107301514250892</c:v>
                </c:pt>
                <c:pt idx="38">
                  <c:v>-14.878588553555778</c:v>
                </c:pt>
                <c:pt idx="39">
                  <c:v>-7.42047557786612</c:v>
                </c:pt>
                <c:pt idx="40">
                  <c:v>3.8749244714374997</c:v>
                </c:pt>
                <c:pt idx="41">
                  <c:v>4.2525385773875</c:v>
                </c:pt>
                <c:pt idx="42">
                  <c:v>4.3088683759325006</c:v>
                </c:pt>
                <c:pt idx="43">
                  <c:v>-27.552186173966422</c:v>
                </c:pt>
                <c:pt idx="44">
                  <c:v>4.6113823430675005</c:v>
                </c:pt>
                <c:pt idx="45">
                  <c:v>-29.55173310057323</c:v>
                </c:pt>
                <c:pt idx="46">
                  <c:v>-25.517212711541124</c:v>
                </c:pt>
                <c:pt idx="47">
                  <c:v>5.7406830436175005</c:v>
                </c:pt>
                <c:pt idx="48">
                  <c:v>-7.0680836821609647</c:v>
                </c:pt>
                <c:pt idx="49">
                  <c:v>-7.9724072289703418</c:v>
                </c:pt>
                <c:pt idx="50">
                  <c:v>-31.125288416602462</c:v>
                </c:pt>
                <c:pt idx="51">
                  <c:v>5.1266823520024998</c:v>
                </c:pt>
                <c:pt idx="52">
                  <c:v>-22.961372328462332</c:v>
                </c:pt>
                <c:pt idx="53">
                  <c:v>6.1883571394605559</c:v>
                </c:pt>
                <c:pt idx="54">
                  <c:v>-30.97854905480445</c:v>
                </c:pt>
                <c:pt idx="55">
                  <c:v>5.1541911015800004</c:v>
                </c:pt>
                <c:pt idx="56">
                  <c:v>-31.852685922341408</c:v>
                </c:pt>
                <c:pt idx="57">
                  <c:v>-32.694913909233769</c:v>
                </c:pt>
                <c:pt idx="58">
                  <c:v>5.8516019693299999</c:v>
                </c:pt>
                <c:pt idx="59">
                  <c:v>11.588415707864559</c:v>
                </c:pt>
                <c:pt idx="60">
                  <c:v>-18.375214675643111</c:v>
                </c:pt>
                <c:pt idx="61">
                  <c:v>6.6949682309000007</c:v>
                </c:pt>
                <c:pt idx="62">
                  <c:v>-20.766335120113656</c:v>
                </c:pt>
                <c:pt idx="63">
                  <c:v>7.267923949850001</c:v>
                </c:pt>
                <c:pt idx="64">
                  <c:v>7.7603216151107253</c:v>
                </c:pt>
                <c:pt idx="65">
                  <c:v>1.4116688197179745</c:v>
                </c:pt>
                <c:pt idx="66">
                  <c:v>8.066837387375001</c:v>
                </c:pt>
                <c:pt idx="67">
                  <c:v>11.129833244811634</c:v>
                </c:pt>
                <c:pt idx="68">
                  <c:v>8.0991871045250008</c:v>
                </c:pt>
                <c:pt idx="69">
                  <c:v>7.6002866412499994</c:v>
                </c:pt>
                <c:pt idx="70">
                  <c:v>7.4983514035250014</c:v>
                </c:pt>
                <c:pt idx="71">
                  <c:v>7.5937406203250006</c:v>
                </c:pt>
                <c:pt idx="72">
                  <c:v>7.6133792822749999</c:v>
                </c:pt>
                <c:pt idx="73">
                  <c:v>3.4313210620732204</c:v>
                </c:pt>
                <c:pt idx="74">
                  <c:v>-45.60583276338037</c:v>
                </c:pt>
                <c:pt idx="75">
                  <c:v>7.9125980324750014</c:v>
                </c:pt>
                <c:pt idx="76">
                  <c:v>-5.4879760672045759</c:v>
                </c:pt>
                <c:pt idx="77">
                  <c:v>8.4309000468499988</c:v>
                </c:pt>
                <c:pt idx="78">
                  <c:v>-37.116283840291075</c:v>
                </c:pt>
                <c:pt idx="79">
                  <c:v>-19.059501027835577</c:v>
                </c:pt>
                <c:pt idx="80">
                  <c:v>9.1140108284000014</c:v>
                </c:pt>
                <c:pt idx="81">
                  <c:v>9.3242486398250009</c:v>
                </c:pt>
                <c:pt idx="82">
                  <c:v>9.5241648548000004</c:v>
                </c:pt>
                <c:pt idx="83">
                  <c:v>-57.054371590111643</c:v>
                </c:pt>
                <c:pt idx="84">
                  <c:v>9.9111666922249988</c:v>
                </c:pt>
                <c:pt idx="85">
                  <c:v>-58.554632338606467</c:v>
                </c:pt>
                <c:pt idx="86">
                  <c:v>-49.219306693850406</c:v>
                </c:pt>
                <c:pt idx="87">
                  <c:v>10.507593009124999</c:v>
                </c:pt>
                <c:pt idx="88">
                  <c:v>-11.071547122159057</c:v>
                </c:pt>
                <c:pt idx="89">
                  <c:v>-10.036941755036937</c:v>
                </c:pt>
                <c:pt idx="90">
                  <c:v>-55.90464261819568</c:v>
                </c:pt>
                <c:pt idx="91">
                  <c:v>11.1765890483</c:v>
                </c:pt>
                <c:pt idx="92">
                  <c:v>11.361732179900002</c:v>
                </c:pt>
                <c:pt idx="93">
                  <c:v>11.699571734807643</c:v>
                </c:pt>
                <c:pt idx="94">
                  <c:v>2.2133083342020883</c:v>
                </c:pt>
                <c:pt idx="95">
                  <c:v>11.858804214875001</c:v>
                </c:pt>
                <c:pt idx="96">
                  <c:v>12.014345061800002</c:v>
                </c:pt>
                <c:pt idx="97">
                  <c:v>12.163829381300001</c:v>
                </c:pt>
                <c:pt idx="98">
                  <c:v>12.305786898125003</c:v>
                </c:pt>
                <c:pt idx="99">
                  <c:v>12.439398533975002</c:v>
                </c:pt>
                <c:pt idx="100">
                  <c:v>12.563602937450002</c:v>
                </c:pt>
                <c:pt idx="101">
                  <c:v>12.677233915250001</c:v>
                </c:pt>
                <c:pt idx="102">
                  <c:v>8.7991280541252284</c:v>
                </c:pt>
                <c:pt idx="103">
                  <c:v>-72.699420171830042</c:v>
                </c:pt>
                <c:pt idx="104">
                  <c:v>11.649475863875001</c:v>
                </c:pt>
                <c:pt idx="105">
                  <c:v>-15.039981419108779</c:v>
                </c:pt>
                <c:pt idx="106">
                  <c:v>10.091122848649999</c:v>
                </c:pt>
                <c:pt idx="107">
                  <c:v>-45.625963965621281</c:v>
                </c:pt>
                <c:pt idx="108">
                  <c:v>-23.79736634345031</c:v>
                </c:pt>
                <c:pt idx="109">
                  <c:v>8.0026953927500024</c:v>
                </c:pt>
                <c:pt idx="110">
                  <c:v>8.0047965044749994</c:v>
                </c:pt>
                <c:pt idx="111">
                  <c:v>7.2144039647750002</c:v>
                </c:pt>
                <c:pt idx="112">
                  <c:v>-43.373441547195569</c:v>
                </c:pt>
                <c:pt idx="113">
                  <c:v>6.8089468412750005</c:v>
                </c:pt>
                <c:pt idx="114">
                  <c:v>-41.742422458633925</c:v>
                </c:pt>
                <c:pt idx="115">
                  <c:v>-35.035758532610551</c:v>
                </c:pt>
                <c:pt idx="116">
                  <c:v>7.1104818945500003</c:v>
                </c:pt>
                <c:pt idx="117">
                  <c:v>-7.9039489384768817</c:v>
                </c:pt>
                <c:pt idx="118">
                  <c:v>7.333953874625001</c:v>
                </c:pt>
                <c:pt idx="119">
                  <c:v>7.5620478986000013</c:v>
                </c:pt>
                <c:pt idx="120">
                  <c:v>7.8527927213000019</c:v>
                </c:pt>
                <c:pt idx="121">
                  <c:v>-29.56749035370569</c:v>
                </c:pt>
                <c:pt idx="122">
                  <c:v>8.3687737814749994</c:v>
                </c:pt>
                <c:pt idx="123">
                  <c:v>8.6141298039500001</c:v>
                </c:pt>
                <c:pt idx="124">
                  <c:v>-34.000173505342964</c:v>
                </c:pt>
                <c:pt idx="125">
                  <c:v>-22.649731110740124</c:v>
                </c:pt>
                <c:pt idx="126">
                  <c:v>9.2991157860500007</c:v>
                </c:pt>
                <c:pt idx="127">
                  <c:v>9.4862733183500012</c:v>
                </c:pt>
                <c:pt idx="128">
                  <c:v>9.6208823780750006</c:v>
                </c:pt>
                <c:pt idx="129">
                  <c:v>9.3927380742499995</c:v>
                </c:pt>
                <c:pt idx="130">
                  <c:v>-39.169961835392137</c:v>
                </c:pt>
                <c:pt idx="131">
                  <c:v>-40.857410584702443</c:v>
                </c:pt>
                <c:pt idx="132">
                  <c:v>-38.671834549241552</c:v>
                </c:pt>
                <c:pt idx="133">
                  <c:v>-37.226852795192151</c:v>
                </c:pt>
                <c:pt idx="134">
                  <c:v>-46.257524100987162</c:v>
                </c:pt>
                <c:pt idx="135">
                  <c:v>-9.8761157252610925</c:v>
                </c:pt>
                <c:pt idx="136">
                  <c:v>-39.274230378644901</c:v>
                </c:pt>
                <c:pt idx="137">
                  <c:v>-20.745417693847539</c:v>
                </c:pt>
                <c:pt idx="138">
                  <c:v>-11.605361510641432</c:v>
                </c:pt>
                <c:pt idx="139">
                  <c:v>-8.2846970079948523</c:v>
                </c:pt>
                <c:pt idx="140">
                  <c:v>-4.8146312708538961</c:v>
                </c:pt>
                <c:pt idx="141">
                  <c:v>-1.1186163359224708</c:v>
                </c:pt>
                <c:pt idx="142">
                  <c:v>-4.4419385034968473</c:v>
                </c:pt>
                <c:pt idx="143">
                  <c:v>-4.5995519503897748</c:v>
                </c:pt>
                <c:pt idx="144">
                  <c:v>-4.784178588809759</c:v>
                </c:pt>
                <c:pt idx="145">
                  <c:v>-1.0725998827925223</c:v>
                </c:pt>
                <c:pt idx="146">
                  <c:v>-19.763861505032885</c:v>
                </c:pt>
                <c:pt idx="147">
                  <c:v>10.990227397676122</c:v>
                </c:pt>
                <c:pt idx="148">
                  <c:v>-42.462036735046127</c:v>
                </c:pt>
                <c:pt idx="149">
                  <c:v>9.9311459780750013</c:v>
                </c:pt>
                <c:pt idx="150">
                  <c:v>10.135698386825</c:v>
                </c:pt>
                <c:pt idx="151">
                  <c:v>10.335631667299999</c:v>
                </c:pt>
                <c:pt idx="152">
                  <c:v>10.530243432275</c:v>
                </c:pt>
                <c:pt idx="153">
                  <c:v>11.341498473464382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54-4BDD-8CD8-77D04BD5F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6815743"/>
        <c:axId val="636813247"/>
      </c:scatterChart>
      <c:valAx>
        <c:axId val="636815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813247"/>
        <c:crosses val="autoZero"/>
        <c:crossBetween val="midCat"/>
      </c:valAx>
      <c:valAx>
        <c:axId val="63681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815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Vs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2641054751876938E-2"/>
          <c:y val="5.8536162602149257E-2"/>
          <c:w val="0.84253528657754995"/>
          <c:h val="0.8964786200628622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'[1]Main Data'!$AH$1</c:f>
              <c:strCache>
                <c:ptCount val="1"/>
                <c:pt idx="0">
                  <c:v>CUM. Tractive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'[1]Main Data'!$G$2:$G$158</c:f>
              <c:numCache>
                <c:formatCode>General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'[1]Main Data'!$AH$2:$AH$158</c:f>
              <c:numCache>
                <c:formatCode>General</c:formatCode>
                <c:ptCount val="157"/>
                <c:pt idx="1">
                  <c:v>11.818383972575001</c:v>
                </c:pt>
                <c:pt idx="2">
                  <c:v>23.668755642325003</c:v>
                </c:pt>
                <c:pt idx="3">
                  <c:v>35.682434470875009</c:v>
                </c:pt>
                <c:pt idx="4">
                  <c:v>35.682434470875009</c:v>
                </c:pt>
                <c:pt idx="5">
                  <c:v>35.682434470875009</c:v>
                </c:pt>
                <c:pt idx="6">
                  <c:v>35.682434470875009</c:v>
                </c:pt>
                <c:pt idx="7">
                  <c:v>35.682434470875009</c:v>
                </c:pt>
                <c:pt idx="8">
                  <c:v>48.363089271800007</c:v>
                </c:pt>
                <c:pt idx="9">
                  <c:v>48.363089271800007</c:v>
                </c:pt>
                <c:pt idx="10">
                  <c:v>61.240907633575006</c:v>
                </c:pt>
                <c:pt idx="11">
                  <c:v>74.202770941425001</c:v>
                </c:pt>
                <c:pt idx="12">
                  <c:v>87.182770941425005</c:v>
                </c:pt>
                <c:pt idx="13">
                  <c:v>100.068521297725</c:v>
                </c:pt>
                <c:pt idx="14">
                  <c:v>108.89611458754304</c:v>
                </c:pt>
                <c:pt idx="15">
                  <c:v>119.92781343624304</c:v>
                </c:pt>
                <c:pt idx="16">
                  <c:v>130.04552235254303</c:v>
                </c:pt>
                <c:pt idx="17">
                  <c:v>130.04552235254303</c:v>
                </c:pt>
                <c:pt idx="18">
                  <c:v>138.37532965339304</c:v>
                </c:pt>
                <c:pt idx="19">
                  <c:v>145.83429424749303</c:v>
                </c:pt>
                <c:pt idx="20">
                  <c:v>145.83429424749303</c:v>
                </c:pt>
                <c:pt idx="21">
                  <c:v>145.83429424749303</c:v>
                </c:pt>
                <c:pt idx="22">
                  <c:v>155.13977732016778</c:v>
                </c:pt>
                <c:pt idx="23">
                  <c:v>159.59692486612278</c:v>
                </c:pt>
                <c:pt idx="24">
                  <c:v>163.59478910405528</c:v>
                </c:pt>
                <c:pt idx="25">
                  <c:v>173.65539134566396</c:v>
                </c:pt>
                <c:pt idx="26">
                  <c:v>173.65539134566396</c:v>
                </c:pt>
                <c:pt idx="27">
                  <c:v>173.65539134566396</c:v>
                </c:pt>
                <c:pt idx="28">
                  <c:v>173.65539134566396</c:v>
                </c:pt>
                <c:pt idx="29">
                  <c:v>173.65539134566396</c:v>
                </c:pt>
                <c:pt idx="30">
                  <c:v>173.65539134566396</c:v>
                </c:pt>
                <c:pt idx="31">
                  <c:v>173.65539134566396</c:v>
                </c:pt>
                <c:pt idx="32">
                  <c:v>173.65539134566396</c:v>
                </c:pt>
                <c:pt idx="33">
                  <c:v>176.67715981096146</c:v>
                </c:pt>
                <c:pt idx="34">
                  <c:v>176.67715981096146</c:v>
                </c:pt>
                <c:pt idx="35">
                  <c:v>179.37451635159897</c:v>
                </c:pt>
                <c:pt idx="36">
                  <c:v>182.07562173752896</c:v>
                </c:pt>
                <c:pt idx="37">
                  <c:v>190.78635188895404</c:v>
                </c:pt>
                <c:pt idx="38">
                  <c:v>190.78635188895404</c:v>
                </c:pt>
                <c:pt idx="39">
                  <c:v>190.78635188895404</c:v>
                </c:pt>
                <c:pt idx="40">
                  <c:v>194.66127636039155</c:v>
                </c:pt>
                <c:pt idx="41">
                  <c:v>198.91381493777905</c:v>
                </c:pt>
                <c:pt idx="42">
                  <c:v>203.22268331371154</c:v>
                </c:pt>
                <c:pt idx="43">
                  <c:v>203.22268331371154</c:v>
                </c:pt>
                <c:pt idx="44">
                  <c:v>207.83406565677905</c:v>
                </c:pt>
                <c:pt idx="45">
                  <c:v>207.83406565677905</c:v>
                </c:pt>
                <c:pt idx="46">
                  <c:v>207.83406565677905</c:v>
                </c:pt>
                <c:pt idx="47">
                  <c:v>213.57474870039655</c:v>
                </c:pt>
                <c:pt idx="48">
                  <c:v>213.57474870039655</c:v>
                </c:pt>
                <c:pt idx="49">
                  <c:v>213.57474870039655</c:v>
                </c:pt>
                <c:pt idx="50">
                  <c:v>213.57474870039655</c:v>
                </c:pt>
                <c:pt idx="51">
                  <c:v>218.70143105239904</c:v>
                </c:pt>
                <c:pt idx="52">
                  <c:v>218.70143105239904</c:v>
                </c:pt>
                <c:pt idx="53">
                  <c:v>224.88978819185959</c:v>
                </c:pt>
                <c:pt idx="54">
                  <c:v>224.88978819185959</c:v>
                </c:pt>
                <c:pt idx="55">
                  <c:v>230.04397929343961</c:v>
                </c:pt>
                <c:pt idx="56">
                  <c:v>230.04397929343961</c:v>
                </c:pt>
                <c:pt idx="57">
                  <c:v>230.04397929343961</c:v>
                </c:pt>
                <c:pt idx="58">
                  <c:v>235.89558126276961</c:v>
                </c:pt>
                <c:pt idx="59">
                  <c:v>247.48399697063417</c:v>
                </c:pt>
                <c:pt idx="60">
                  <c:v>247.48399697063417</c:v>
                </c:pt>
                <c:pt idx="61">
                  <c:v>254.17896520153417</c:v>
                </c:pt>
                <c:pt idx="62">
                  <c:v>254.17896520153417</c:v>
                </c:pt>
                <c:pt idx="63">
                  <c:v>261.4468891513842</c:v>
                </c:pt>
                <c:pt idx="64">
                  <c:v>269.20721076649494</c:v>
                </c:pt>
                <c:pt idx="65">
                  <c:v>270.61887958621293</c:v>
                </c:pt>
                <c:pt idx="66">
                  <c:v>278.68571697358794</c:v>
                </c:pt>
                <c:pt idx="67">
                  <c:v>289.81555021839955</c:v>
                </c:pt>
                <c:pt idx="68">
                  <c:v>297.91473732292457</c:v>
                </c:pt>
                <c:pt idx="69">
                  <c:v>305.51502396417459</c:v>
                </c:pt>
                <c:pt idx="70">
                  <c:v>313.01337536769961</c:v>
                </c:pt>
                <c:pt idx="71">
                  <c:v>320.60711598802459</c:v>
                </c:pt>
                <c:pt idx="72">
                  <c:v>328.22049527029958</c:v>
                </c:pt>
                <c:pt idx="73">
                  <c:v>331.65181633237279</c:v>
                </c:pt>
                <c:pt idx="74">
                  <c:v>331.65181633237279</c:v>
                </c:pt>
                <c:pt idx="75">
                  <c:v>339.56441436484778</c:v>
                </c:pt>
                <c:pt idx="76">
                  <c:v>339.56441436484778</c:v>
                </c:pt>
                <c:pt idx="77">
                  <c:v>347.99531441169779</c:v>
                </c:pt>
                <c:pt idx="78">
                  <c:v>347.99531441169779</c:v>
                </c:pt>
                <c:pt idx="79">
                  <c:v>347.99531441169779</c:v>
                </c:pt>
                <c:pt idx="80">
                  <c:v>357.1093252400978</c:v>
                </c:pt>
                <c:pt idx="81">
                  <c:v>366.43357387992279</c:v>
                </c:pt>
                <c:pt idx="82">
                  <c:v>375.9577387347228</c:v>
                </c:pt>
                <c:pt idx="83">
                  <c:v>375.9577387347228</c:v>
                </c:pt>
                <c:pt idx="84">
                  <c:v>385.86890542694778</c:v>
                </c:pt>
                <c:pt idx="85">
                  <c:v>385.86890542694778</c:v>
                </c:pt>
                <c:pt idx="86">
                  <c:v>385.86890542694778</c:v>
                </c:pt>
                <c:pt idx="87">
                  <c:v>396.37649843607278</c:v>
                </c:pt>
                <c:pt idx="88">
                  <c:v>396.37649843607278</c:v>
                </c:pt>
                <c:pt idx="89">
                  <c:v>396.37649843607278</c:v>
                </c:pt>
                <c:pt idx="90">
                  <c:v>396.37649843607278</c:v>
                </c:pt>
                <c:pt idx="91">
                  <c:v>407.55308748437278</c:v>
                </c:pt>
                <c:pt idx="92">
                  <c:v>418.91481966427278</c:v>
                </c:pt>
                <c:pt idx="93">
                  <c:v>430.61439139908043</c:v>
                </c:pt>
                <c:pt idx="94">
                  <c:v>432.82769973328254</c:v>
                </c:pt>
                <c:pt idx="95">
                  <c:v>444.68650394815756</c:v>
                </c:pt>
                <c:pt idx="96">
                  <c:v>456.70084900995755</c:v>
                </c:pt>
                <c:pt idx="97">
                  <c:v>468.86467839125754</c:v>
                </c:pt>
                <c:pt idx="98">
                  <c:v>481.17046528938255</c:v>
                </c:pt>
                <c:pt idx="99">
                  <c:v>493.60986382335756</c:v>
                </c:pt>
                <c:pt idx="100">
                  <c:v>506.17346676080757</c:v>
                </c:pt>
                <c:pt idx="101">
                  <c:v>518.85070067605761</c:v>
                </c:pt>
                <c:pt idx="102">
                  <c:v>527.64982873018289</c:v>
                </c:pt>
                <c:pt idx="103">
                  <c:v>527.64982873018289</c:v>
                </c:pt>
                <c:pt idx="104">
                  <c:v>539.29930459405784</c:v>
                </c:pt>
                <c:pt idx="105">
                  <c:v>539.29930459405784</c:v>
                </c:pt>
                <c:pt idx="106">
                  <c:v>549.39042744270785</c:v>
                </c:pt>
                <c:pt idx="107">
                  <c:v>549.39042744270785</c:v>
                </c:pt>
                <c:pt idx="108">
                  <c:v>549.39042744270785</c:v>
                </c:pt>
                <c:pt idx="109">
                  <c:v>557.3931228354578</c:v>
                </c:pt>
                <c:pt idx="110">
                  <c:v>565.39791933993286</c:v>
                </c:pt>
                <c:pt idx="111">
                  <c:v>572.61232330470784</c:v>
                </c:pt>
                <c:pt idx="112">
                  <c:v>572.61232330470784</c:v>
                </c:pt>
                <c:pt idx="113">
                  <c:v>579.42127014598282</c:v>
                </c:pt>
                <c:pt idx="114">
                  <c:v>579.42127014598282</c:v>
                </c:pt>
                <c:pt idx="115">
                  <c:v>579.42127014598282</c:v>
                </c:pt>
                <c:pt idx="116">
                  <c:v>586.53175204053287</c:v>
                </c:pt>
                <c:pt idx="117">
                  <c:v>586.53175204053287</c:v>
                </c:pt>
                <c:pt idx="118">
                  <c:v>593.86570591515783</c:v>
                </c:pt>
                <c:pt idx="119">
                  <c:v>601.42775381375782</c:v>
                </c:pt>
                <c:pt idx="120">
                  <c:v>609.28054653505785</c:v>
                </c:pt>
                <c:pt idx="121">
                  <c:v>609.28054653505785</c:v>
                </c:pt>
                <c:pt idx="122">
                  <c:v>617.64932031653279</c:v>
                </c:pt>
                <c:pt idx="123">
                  <c:v>626.26345012048284</c:v>
                </c:pt>
                <c:pt idx="124">
                  <c:v>626.26345012048284</c:v>
                </c:pt>
                <c:pt idx="125">
                  <c:v>626.26345012048284</c:v>
                </c:pt>
                <c:pt idx="126">
                  <c:v>635.56256590653288</c:v>
                </c:pt>
                <c:pt idx="127">
                  <c:v>645.04883922488284</c:v>
                </c:pt>
                <c:pt idx="128">
                  <c:v>654.66972160295779</c:v>
                </c:pt>
                <c:pt idx="129">
                  <c:v>664.06245967720781</c:v>
                </c:pt>
                <c:pt idx="130">
                  <c:v>664.06245967720781</c:v>
                </c:pt>
                <c:pt idx="131">
                  <c:v>664.06245967720781</c:v>
                </c:pt>
                <c:pt idx="132">
                  <c:v>664.06245967720781</c:v>
                </c:pt>
                <c:pt idx="133">
                  <c:v>664.06245967720781</c:v>
                </c:pt>
                <c:pt idx="134">
                  <c:v>664.06245967720781</c:v>
                </c:pt>
                <c:pt idx="135">
                  <c:v>664.06245967720781</c:v>
                </c:pt>
                <c:pt idx="136">
                  <c:v>664.06245967720781</c:v>
                </c:pt>
                <c:pt idx="137">
                  <c:v>664.06245967720781</c:v>
                </c:pt>
                <c:pt idx="138">
                  <c:v>664.06245967720781</c:v>
                </c:pt>
                <c:pt idx="139">
                  <c:v>664.06245967720781</c:v>
                </c:pt>
                <c:pt idx="140">
                  <c:v>664.06245967720781</c:v>
                </c:pt>
                <c:pt idx="141">
                  <c:v>664.06245967720781</c:v>
                </c:pt>
                <c:pt idx="142">
                  <c:v>664.06245967720781</c:v>
                </c:pt>
                <c:pt idx="143">
                  <c:v>664.06245967720781</c:v>
                </c:pt>
                <c:pt idx="144">
                  <c:v>664.06245967720781</c:v>
                </c:pt>
                <c:pt idx="145">
                  <c:v>664.06245967720781</c:v>
                </c:pt>
                <c:pt idx="146">
                  <c:v>664.06245967720781</c:v>
                </c:pt>
                <c:pt idx="147">
                  <c:v>675.05268707488392</c:v>
                </c:pt>
                <c:pt idx="148">
                  <c:v>675.05268707488392</c:v>
                </c:pt>
                <c:pt idx="149">
                  <c:v>684.98383305295897</c:v>
                </c:pt>
                <c:pt idx="150">
                  <c:v>695.11953143978394</c:v>
                </c:pt>
                <c:pt idx="151">
                  <c:v>705.45516310708399</c:v>
                </c:pt>
                <c:pt idx="152">
                  <c:v>715.98540653935902</c:v>
                </c:pt>
                <c:pt idx="153">
                  <c:v>727.32690501282343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EA-4EA7-87DC-754BB5D7EF32}"/>
            </c:ext>
          </c:extLst>
        </c:ser>
        <c:ser>
          <c:idx val="1"/>
          <c:order val="1"/>
          <c:tx>
            <c:strRef>
              <c:f>'[1]Main Data'!$AI$1</c:f>
              <c:strCache>
                <c:ptCount val="1"/>
                <c:pt idx="0">
                  <c:v>CUM. Brake Energy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'[1]Main Data'!$G$3:$G$155</c:f>
              <c:numCache>
                <c:formatCode>General</c:formatCode>
                <c:ptCount val="153"/>
                <c:pt idx="0">
                  <c:v>0</c:v>
                </c:pt>
                <c:pt idx="1">
                  <c:v>0.96200000000000008</c:v>
                </c:pt>
                <c:pt idx="2">
                  <c:v>1.9980000000000002</c:v>
                </c:pt>
                <c:pt idx="3">
                  <c:v>2.9970000000000003</c:v>
                </c:pt>
                <c:pt idx="4">
                  <c:v>4.0330000000000004</c:v>
                </c:pt>
                <c:pt idx="5">
                  <c:v>5.0320000000000009</c:v>
                </c:pt>
                <c:pt idx="6">
                  <c:v>6.0309999999999997</c:v>
                </c:pt>
                <c:pt idx="7">
                  <c:v>7.03</c:v>
                </c:pt>
                <c:pt idx="8">
                  <c:v>8.0289999999999999</c:v>
                </c:pt>
                <c:pt idx="9">
                  <c:v>9.0280000000000005</c:v>
                </c:pt>
                <c:pt idx="10">
                  <c:v>10.027000000000001</c:v>
                </c:pt>
                <c:pt idx="11">
                  <c:v>11.026</c:v>
                </c:pt>
                <c:pt idx="12">
                  <c:v>12.025</c:v>
                </c:pt>
                <c:pt idx="13">
                  <c:v>13.024000000000001</c:v>
                </c:pt>
                <c:pt idx="14">
                  <c:v>14.023000000000001</c:v>
                </c:pt>
                <c:pt idx="15">
                  <c:v>15.021999999999998</c:v>
                </c:pt>
                <c:pt idx="16">
                  <c:v>16.021000000000001</c:v>
                </c:pt>
                <c:pt idx="17">
                  <c:v>17.02</c:v>
                </c:pt>
                <c:pt idx="18">
                  <c:v>18.019000000000002</c:v>
                </c:pt>
                <c:pt idx="19">
                  <c:v>19.018000000000001</c:v>
                </c:pt>
                <c:pt idx="20">
                  <c:v>20.017000000000003</c:v>
                </c:pt>
                <c:pt idx="21">
                  <c:v>20.978999999999999</c:v>
                </c:pt>
                <c:pt idx="22">
                  <c:v>22.015000000000001</c:v>
                </c:pt>
                <c:pt idx="23">
                  <c:v>23.013999999999999</c:v>
                </c:pt>
                <c:pt idx="24">
                  <c:v>24.013000000000002</c:v>
                </c:pt>
                <c:pt idx="25">
                  <c:v>25.048999999999999</c:v>
                </c:pt>
                <c:pt idx="26">
                  <c:v>26.011000000000003</c:v>
                </c:pt>
                <c:pt idx="27">
                  <c:v>27.047000000000001</c:v>
                </c:pt>
                <c:pt idx="28">
                  <c:v>28.046000000000003</c:v>
                </c:pt>
                <c:pt idx="29">
                  <c:v>29.045000000000002</c:v>
                </c:pt>
                <c:pt idx="30">
                  <c:v>30.043999999999997</c:v>
                </c:pt>
                <c:pt idx="31">
                  <c:v>31.043000000000003</c:v>
                </c:pt>
                <c:pt idx="32">
                  <c:v>32.042000000000002</c:v>
                </c:pt>
                <c:pt idx="33">
                  <c:v>33.041000000000004</c:v>
                </c:pt>
                <c:pt idx="34">
                  <c:v>34.003</c:v>
                </c:pt>
                <c:pt idx="35">
                  <c:v>35.039000000000001</c:v>
                </c:pt>
                <c:pt idx="36">
                  <c:v>36.038000000000004</c:v>
                </c:pt>
                <c:pt idx="37">
                  <c:v>37.036999999999999</c:v>
                </c:pt>
                <c:pt idx="38">
                  <c:v>38.036000000000001</c:v>
                </c:pt>
                <c:pt idx="39">
                  <c:v>39.035000000000004</c:v>
                </c:pt>
                <c:pt idx="40">
                  <c:v>40.034000000000006</c:v>
                </c:pt>
                <c:pt idx="41">
                  <c:v>41.033000000000001</c:v>
                </c:pt>
                <c:pt idx="42">
                  <c:v>42.031999999999996</c:v>
                </c:pt>
                <c:pt idx="43">
                  <c:v>43.031000000000006</c:v>
                </c:pt>
                <c:pt idx="44">
                  <c:v>44.03</c:v>
                </c:pt>
                <c:pt idx="45">
                  <c:v>45.029000000000003</c:v>
                </c:pt>
                <c:pt idx="46">
                  <c:v>46.027999999999999</c:v>
                </c:pt>
                <c:pt idx="47">
                  <c:v>47.027000000000008</c:v>
                </c:pt>
                <c:pt idx="48">
                  <c:v>48.026000000000003</c:v>
                </c:pt>
                <c:pt idx="49">
                  <c:v>48.988000000000007</c:v>
                </c:pt>
                <c:pt idx="50">
                  <c:v>50.024000000000001</c:v>
                </c:pt>
                <c:pt idx="51">
                  <c:v>51.022999999999996</c:v>
                </c:pt>
                <c:pt idx="52">
                  <c:v>52.022000000000006</c:v>
                </c:pt>
                <c:pt idx="53">
                  <c:v>53.021000000000001</c:v>
                </c:pt>
                <c:pt idx="54">
                  <c:v>54.02</c:v>
                </c:pt>
                <c:pt idx="55">
                  <c:v>55.018999999999998</c:v>
                </c:pt>
                <c:pt idx="56">
                  <c:v>56.018000000000008</c:v>
                </c:pt>
                <c:pt idx="57">
                  <c:v>57.017000000000003</c:v>
                </c:pt>
                <c:pt idx="58">
                  <c:v>58.015999999999998</c:v>
                </c:pt>
                <c:pt idx="59">
                  <c:v>59.015000000000001</c:v>
                </c:pt>
                <c:pt idx="60">
                  <c:v>60.013999999999996</c:v>
                </c:pt>
                <c:pt idx="61">
                  <c:v>61.012999999999998</c:v>
                </c:pt>
                <c:pt idx="62">
                  <c:v>62.012000000000008</c:v>
                </c:pt>
                <c:pt idx="63">
                  <c:v>63.01100000000001</c:v>
                </c:pt>
                <c:pt idx="64">
                  <c:v>64.046999999999997</c:v>
                </c:pt>
                <c:pt idx="65">
                  <c:v>65.045999999999992</c:v>
                </c:pt>
                <c:pt idx="66">
                  <c:v>66.045000000000002</c:v>
                </c:pt>
                <c:pt idx="67">
                  <c:v>67.044000000000011</c:v>
                </c:pt>
                <c:pt idx="68">
                  <c:v>68.043000000000006</c:v>
                </c:pt>
                <c:pt idx="69">
                  <c:v>69.004999999999995</c:v>
                </c:pt>
                <c:pt idx="70">
                  <c:v>70.040999999999997</c:v>
                </c:pt>
                <c:pt idx="71">
                  <c:v>71.040000000000006</c:v>
                </c:pt>
                <c:pt idx="72">
                  <c:v>72.00200000000001</c:v>
                </c:pt>
                <c:pt idx="73">
                  <c:v>72.963999999999999</c:v>
                </c:pt>
                <c:pt idx="74">
                  <c:v>74.037000000000006</c:v>
                </c:pt>
                <c:pt idx="75">
                  <c:v>75.036000000000001</c:v>
                </c:pt>
                <c:pt idx="76">
                  <c:v>76.035000000000011</c:v>
                </c:pt>
                <c:pt idx="77">
                  <c:v>77.034000000000006</c:v>
                </c:pt>
                <c:pt idx="78">
                  <c:v>78.033000000000001</c:v>
                </c:pt>
                <c:pt idx="79">
                  <c:v>79.031999999999996</c:v>
                </c:pt>
                <c:pt idx="80">
                  <c:v>80.031000000000006</c:v>
                </c:pt>
                <c:pt idx="81">
                  <c:v>81.03</c:v>
                </c:pt>
                <c:pt idx="82">
                  <c:v>82.029000000000011</c:v>
                </c:pt>
                <c:pt idx="83">
                  <c:v>83.028000000000006</c:v>
                </c:pt>
                <c:pt idx="84">
                  <c:v>84.027000000000001</c:v>
                </c:pt>
                <c:pt idx="85">
                  <c:v>84.989000000000004</c:v>
                </c:pt>
                <c:pt idx="86">
                  <c:v>85.988</c:v>
                </c:pt>
                <c:pt idx="87">
                  <c:v>87.024000000000001</c:v>
                </c:pt>
                <c:pt idx="88">
                  <c:v>88.022999999999996</c:v>
                </c:pt>
                <c:pt idx="89">
                  <c:v>89.022000000000006</c:v>
                </c:pt>
                <c:pt idx="90">
                  <c:v>90.021000000000001</c:v>
                </c:pt>
                <c:pt idx="91">
                  <c:v>91.02000000000001</c:v>
                </c:pt>
                <c:pt idx="92">
                  <c:v>92.019000000000005</c:v>
                </c:pt>
                <c:pt idx="93">
                  <c:v>93.018000000000001</c:v>
                </c:pt>
                <c:pt idx="94">
                  <c:v>94.01700000000001</c:v>
                </c:pt>
                <c:pt idx="95">
                  <c:v>95.016000000000005</c:v>
                </c:pt>
                <c:pt idx="96">
                  <c:v>96.015000000000001</c:v>
                </c:pt>
                <c:pt idx="97">
                  <c:v>97.013999999999996</c:v>
                </c:pt>
                <c:pt idx="98">
                  <c:v>98.013000000000005</c:v>
                </c:pt>
                <c:pt idx="99">
                  <c:v>99.012000000000015</c:v>
                </c:pt>
                <c:pt idx="100">
                  <c:v>100.01100000000001</c:v>
                </c:pt>
                <c:pt idx="101">
                  <c:v>101.047</c:v>
                </c:pt>
                <c:pt idx="102">
                  <c:v>102.04599999999999</c:v>
                </c:pt>
                <c:pt idx="103">
                  <c:v>103.04500000000002</c:v>
                </c:pt>
                <c:pt idx="104">
                  <c:v>104.04400000000001</c:v>
                </c:pt>
                <c:pt idx="105">
                  <c:v>105.04300000000001</c:v>
                </c:pt>
                <c:pt idx="106">
                  <c:v>106.042</c:v>
                </c:pt>
                <c:pt idx="107">
                  <c:v>107.04100000000001</c:v>
                </c:pt>
                <c:pt idx="108">
                  <c:v>108.04</c:v>
                </c:pt>
                <c:pt idx="109">
                  <c:v>109.00200000000001</c:v>
                </c:pt>
                <c:pt idx="110">
                  <c:v>110.038</c:v>
                </c:pt>
                <c:pt idx="111">
                  <c:v>111.03700000000001</c:v>
                </c:pt>
                <c:pt idx="112">
                  <c:v>112.03600000000002</c:v>
                </c:pt>
                <c:pt idx="113">
                  <c:v>113.03500000000001</c:v>
                </c:pt>
                <c:pt idx="114">
                  <c:v>114.03400000000001</c:v>
                </c:pt>
                <c:pt idx="115">
                  <c:v>115.033</c:v>
                </c:pt>
                <c:pt idx="116">
                  <c:v>116.032</c:v>
                </c:pt>
                <c:pt idx="117">
                  <c:v>117.03100000000001</c:v>
                </c:pt>
                <c:pt idx="118">
                  <c:v>118.03</c:v>
                </c:pt>
                <c:pt idx="119">
                  <c:v>119.02900000000001</c:v>
                </c:pt>
                <c:pt idx="120">
                  <c:v>120.02799999999999</c:v>
                </c:pt>
                <c:pt idx="121">
                  <c:v>120.99000000000002</c:v>
                </c:pt>
                <c:pt idx="122">
                  <c:v>121.989</c:v>
                </c:pt>
                <c:pt idx="123">
                  <c:v>123.02500000000001</c:v>
                </c:pt>
                <c:pt idx="124">
                  <c:v>124.02400000000002</c:v>
                </c:pt>
                <c:pt idx="125">
                  <c:v>125.023</c:v>
                </c:pt>
                <c:pt idx="126">
                  <c:v>126.02200000000002</c:v>
                </c:pt>
                <c:pt idx="127">
                  <c:v>127.021</c:v>
                </c:pt>
                <c:pt idx="128">
                  <c:v>128.02000000000001</c:v>
                </c:pt>
                <c:pt idx="129">
                  <c:v>129.01900000000001</c:v>
                </c:pt>
                <c:pt idx="130">
                  <c:v>130.018</c:v>
                </c:pt>
                <c:pt idx="131">
                  <c:v>131.017</c:v>
                </c:pt>
                <c:pt idx="132">
                  <c:v>132.01599999999999</c:v>
                </c:pt>
                <c:pt idx="133">
                  <c:v>133.01500000000001</c:v>
                </c:pt>
                <c:pt idx="134">
                  <c:v>134.01400000000001</c:v>
                </c:pt>
                <c:pt idx="135">
                  <c:v>135.01300000000001</c:v>
                </c:pt>
                <c:pt idx="136">
                  <c:v>136.012</c:v>
                </c:pt>
                <c:pt idx="137">
                  <c:v>137.048</c:v>
                </c:pt>
                <c:pt idx="138">
                  <c:v>138.04700000000003</c:v>
                </c:pt>
                <c:pt idx="139">
                  <c:v>139.04599999999999</c:v>
                </c:pt>
                <c:pt idx="140">
                  <c:v>140.04500000000002</c:v>
                </c:pt>
                <c:pt idx="141">
                  <c:v>141.00700000000001</c:v>
                </c:pt>
                <c:pt idx="142">
                  <c:v>142.04300000000001</c:v>
                </c:pt>
                <c:pt idx="143">
                  <c:v>143.042</c:v>
                </c:pt>
                <c:pt idx="144">
                  <c:v>144.041</c:v>
                </c:pt>
                <c:pt idx="145">
                  <c:v>145.00299999999999</c:v>
                </c:pt>
                <c:pt idx="146">
                  <c:v>146.03900000000002</c:v>
                </c:pt>
                <c:pt idx="147">
                  <c:v>147.03800000000001</c:v>
                </c:pt>
                <c:pt idx="148">
                  <c:v>148.03700000000001</c:v>
                </c:pt>
                <c:pt idx="149">
                  <c:v>149.036</c:v>
                </c:pt>
                <c:pt idx="150">
                  <c:v>150.035</c:v>
                </c:pt>
                <c:pt idx="151">
                  <c:v>151.03400000000002</c:v>
                </c:pt>
                <c:pt idx="152">
                  <c:v>151.96270000000001</c:v>
                </c:pt>
              </c:numCache>
            </c:numRef>
          </c:xVal>
          <c:yVal>
            <c:numRef>
              <c:f>'[1]Main Data'!$AI$3:$AI$155</c:f>
              <c:numCache>
                <c:formatCode>General</c:formatCode>
                <c:ptCount val="1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42.316086556646709</c:v>
                </c:pt>
                <c:pt idx="4">
                  <c:v>97.581492156456576</c:v>
                </c:pt>
                <c:pt idx="5">
                  <c:v>162.5051899848574</c:v>
                </c:pt>
                <c:pt idx="6">
                  <c:v>206.32798836407736</c:v>
                </c:pt>
                <c:pt idx="7">
                  <c:v>206.32798836407736</c:v>
                </c:pt>
                <c:pt idx="8">
                  <c:v>258.04833898349347</c:v>
                </c:pt>
                <c:pt idx="9">
                  <c:v>258.04833898349347</c:v>
                </c:pt>
                <c:pt idx="10">
                  <c:v>258.04833898349347</c:v>
                </c:pt>
                <c:pt idx="11">
                  <c:v>258.04833898349347</c:v>
                </c:pt>
                <c:pt idx="12">
                  <c:v>258.04833898349347</c:v>
                </c:pt>
                <c:pt idx="13">
                  <c:v>258.04833898349347</c:v>
                </c:pt>
                <c:pt idx="14">
                  <c:v>258.04833898349347</c:v>
                </c:pt>
                <c:pt idx="15">
                  <c:v>258.04833898349347</c:v>
                </c:pt>
                <c:pt idx="16">
                  <c:v>297.011848372781</c:v>
                </c:pt>
                <c:pt idx="17">
                  <c:v>297.011848372781</c:v>
                </c:pt>
                <c:pt idx="18">
                  <c:v>297.011848372781</c:v>
                </c:pt>
                <c:pt idx="19">
                  <c:v>326.31582357834407</c:v>
                </c:pt>
                <c:pt idx="20">
                  <c:v>343.84019515269046</c:v>
                </c:pt>
                <c:pt idx="21">
                  <c:v>343.84019515269046</c:v>
                </c:pt>
                <c:pt idx="22">
                  <c:v>343.84019515269046</c:v>
                </c:pt>
                <c:pt idx="23">
                  <c:v>343.84019515269046</c:v>
                </c:pt>
                <c:pt idx="24">
                  <c:v>343.84019515269046</c:v>
                </c:pt>
                <c:pt idx="25">
                  <c:v>359.97791312041181</c:v>
                </c:pt>
                <c:pt idx="26">
                  <c:v>378.496574295237</c:v>
                </c:pt>
                <c:pt idx="27">
                  <c:v>397.84916202912308</c:v>
                </c:pt>
                <c:pt idx="28">
                  <c:v>418.25005139264516</c:v>
                </c:pt>
                <c:pt idx="29">
                  <c:v>444.21818887969812</c:v>
                </c:pt>
                <c:pt idx="30">
                  <c:v>469.10010525893802</c:v>
                </c:pt>
                <c:pt idx="31">
                  <c:v>476.20623856440318</c:v>
                </c:pt>
                <c:pt idx="32">
                  <c:v>476.20623856440318</c:v>
                </c:pt>
                <c:pt idx="33">
                  <c:v>478.0132666093802</c:v>
                </c:pt>
                <c:pt idx="34">
                  <c:v>478.0132666093802</c:v>
                </c:pt>
                <c:pt idx="35">
                  <c:v>478.0132666093802</c:v>
                </c:pt>
                <c:pt idx="36">
                  <c:v>478.0132666093802</c:v>
                </c:pt>
                <c:pt idx="37">
                  <c:v>492.891855162936</c:v>
                </c:pt>
                <c:pt idx="38">
                  <c:v>500.31233074080211</c:v>
                </c:pt>
                <c:pt idx="39">
                  <c:v>500.31233074080211</c:v>
                </c:pt>
                <c:pt idx="40">
                  <c:v>500.31233074080211</c:v>
                </c:pt>
                <c:pt idx="41">
                  <c:v>500.31233074080211</c:v>
                </c:pt>
                <c:pt idx="42">
                  <c:v>527.8645169147685</c:v>
                </c:pt>
                <c:pt idx="43">
                  <c:v>527.8645169147685</c:v>
                </c:pt>
                <c:pt idx="44">
                  <c:v>557.41625001534169</c:v>
                </c:pt>
                <c:pt idx="45">
                  <c:v>582.93346272688279</c:v>
                </c:pt>
                <c:pt idx="46">
                  <c:v>582.93346272688279</c:v>
                </c:pt>
                <c:pt idx="47">
                  <c:v>590.00154640904373</c:v>
                </c:pt>
                <c:pt idx="48">
                  <c:v>597.97395363801411</c:v>
                </c:pt>
                <c:pt idx="49">
                  <c:v>629.09924205461652</c:v>
                </c:pt>
                <c:pt idx="50">
                  <c:v>629.09924205461652</c:v>
                </c:pt>
                <c:pt idx="51">
                  <c:v>652.06061438307881</c:v>
                </c:pt>
                <c:pt idx="52">
                  <c:v>652.06061438307881</c:v>
                </c:pt>
                <c:pt idx="53">
                  <c:v>683.0391634378833</c:v>
                </c:pt>
                <c:pt idx="54">
                  <c:v>683.0391634378833</c:v>
                </c:pt>
                <c:pt idx="55">
                  <c:v>714.89184936022468</c:v>
                </c:pt>
                <c:pt idx="56">
                  <c:v>747.5867632694584</c:v>
                </c:pt>
                <c:pt idx="57">
                  <c:v>747.5867632694584</c:v>
                </c:pt>
                <c:pt idx="58">
                  <c:v>747.5867632694584</c:v>
                </c:pt>
                <c:pt idx="59">
                  <c:v>765.96197794510147</c:v>
                </c:pt>
                <c:pt idx="60">
                  <c:v>765.96197794510147</c:v>
                </c:pt>
                <c:pt idx="61">
                  <c:v>786.72831306521516</c:v>
                </c:pt>
                <c:pt idx="62">
                  <c:v>786.72831306521516</c:v>
                </c:pt>
                <c:pt idx="63">
                  <c:v>786.72831306521516</c:v>
                </c:pt>
                <c:pt idx="64">
                  <c:v>786.72831306521516</c:v>
                </c:pt>
                <c:pt idx="65">
                  <c:v>786.72831306521516</c:v>
                </c:pt>
                <c:pt idx="66">
                  <c:v>786.72831306521516</c:v>
                </c:pt>
                <c:pt idx="67">
                  <c:v>786.72831306521516</c:v>
                </c:pt>
                <c:pt idx="68">
                  <c:v>786.72831306521516</c:v>
                </c:pt>
                <c:pt idx="69">
                  <c:v>786.72831306521516</c:v>
                </c:pt>
                <c:pt idx="70">
                  <c:v>786.72831306521516</c:v>
                </c:pt>
                <c:pt idx="71">
                  <c:v>786.72831306521516</c:v>
                </c:pt>
                <c:pt idx="72">
                  <c:v>786.72831306521516</c:v>
                </c:pt>
                <c:pt idx="73">
                  <c:v>832.33414582859552</c:v>
                </c:pt>
                <c:pt idx="74">
                  <c:v>832.33414582859552</c:v>
                </c:pt>
                <c:pt idx="75">
                  <c:v>837.82212189580014</c:v>
                </c:pt>
                <c:pt idx="76">
                  <c:v>837.82212189580014</c:v>
                </c:pt>
                <c:pt idx="77">
                  <c:v>874.93840573609123</c:v>
                </c:pt>
                <c:pt idx="78">
                  <c:v>893.99790676392684</c:v>
                </c:pt>
                <c:pt idx="79">
                  <c:v>893.99790676392684</c:v>
                </c:pt>
                <c:pt idx="80">
                  <c:v>893.99790676392684</c:v>
                </c:pt>
                <c:pt idx="81">
                  <c:v>893.99790676392684</c:v>
                </c:pt>
                <c:pt idx="82">
                  <c:v>951.05227835403844</c:v>
                </c:pt>
                <c:pt idx="83">
                  <c:v>951.05227835403844</c:v>
                </c:pt>
                <c:pt idx="84">
                  <c:v>1009.6069106926449</c:v>
                </c:pt>
                <c:pt idx="85">
                  <c:v>1058.8262173864953</c:v>
                </c:pt>
                <c:pt idx="86">
                  <c:v>1058.8262173864953</c:v>
                </c:pt>
                <c:pt idx="87">
                  <c:v>1069.8977645086543</c:v>
                </c:pt>
                <c:pt idx="88">
                  <c:v>1079.9347062636912</c:v>
                </c:pt>
                <c:pt idx="89">
                  <c:v>1135.839348881887</c:v>
                </c:pt>
                <c:pt idx="90">
                  <c:v>1135.839348881887</c:v>
                </c:pt>
                <c:pt idx="91">
                  <c:v>1135.839348881887</c:v>
                </c:pt>
                <c:pt idx="92">
                  <c:v>1135.839348881887</c:v>
                </c:pt>
                <c:pt idx="93">
                  <c:v>1135.839348881887</c:v>
                </c:pt>
                <c:pt idx="94">
                  <c:v>1135.839348881887</c:v>
                </c:pt>
                <c:pt idx="95">
                  <c:v>1135.839348881887</c:v>
                </c:pt>
                <c:pt idx="96">
                  <c:v>1135.839348881887</c:v>
                </c:pt>
                <c:pt idx="97">
                  <c:v>1135.839348881887</c:v>
                </c:pt>
                <c:pt idx="98">
                  <c:v>1135.839348881887</c:v>
                </c:pt>
                <c:pt idx="99">
                  <c:v>1135.839348881887</c:v>
                </c:pt>
                <c:pt idx="100">
                  <c:v>1135.839348881887</c:v>
                </c:pt>
                <c:pt idx="101">
                  <c:v>1135.839348881887</c:v>
                </c:pt>
                <c:pt idx="102">
                  <c:v>1208.538769053717</c:v>
                </c:pt>
                <c:pt idx="103">
                  <c:v>1208.538769053717</c:v>
                </c:pt>
                <c:pt idx="104">
                  <c:v>1223.5787504728257</c:v>
                </c:pt>
                <c:pt idx="105">
                  <c:v>1223.5787504728257</c:v>
                </c:pt>
                <c:pt idx="106">
                  <c:v>1269.2047144384469</c:v>
                </c:pt>
                <c:pt idx="107">
                  <c:v>1293.0020807818971</c:v>
                </c:pt>
                <c:pt idx="108">
                  <c:v>1293.0020807818971</c:v>
                </c:pt>
                <c:pt idx="109">
                  <c:v>1293.0020807818971</c:v>
                </c:pt>
                <c:pt idx="110">
                  <c:v>1293.0020807818971</c:v>
                </c:pt>
                <c:pt idx="111">
                  <c:v>1336.3755223290927</c:v>
                </c:pt>
                <c:pt idx="112">
                  <c:v>1336.3755223290927</c:v>
                </c:pt>
                <c:pt idx="113">
                  <c:v>1378.1179447877266</c:v>
                </c:pt>
                <c:pt idx="114">
                  <c:v>1413.1537033203372</c:v>
                </c:pt>
                <c:pt idx="115">
                  <c:v>1413.1537033203372</c:v>
                </c:pt>
                <c:pt idx="116">
                  <c:v>1421.057652258814</c:v>
                </c:pt>
                <c:pt idx="117">
                  <c:v>1421.057652258814</c:v>
                </c:pt>
                <c:pt idx="118">
                  <c:v>1421.057652258814</c:v>
                </c:pt>
                <c:pt idx="119">
                  <c:v>1421.057652258814</c:v>
                </c:pt>
                <c:pt idx="120">
                  <c:v>1450.6251426125195</c:v>
                </c:pt>
                <c:pt idx="121">
                  <c:v>1450.6251426125195</c:v>
                </c:pt>
                <c:pt idx="122">
                  <c:v>1450.6251426125195</c:v>
                </c:pt>
                <c:pt idx="123">
                  <c:v>1484.6253161178624</c:v>
                </c:pt>
                <c:pt idx="124">
                  <c:v>1507.2750472286025</c:v>
                </c:pt>
                <c:pt idx="125">
                  <c:v>1507.2750472286025</c:v>
                </c:pt>
                <c:pt idx="126">
                  <c:v>1507.2750472286025</c:v>
                </c:pt>
                <c:pt idx="127">
                  <c:v>1507.2750472286025</c:v>
                </c:pt>
                <c:pt idx="128">
                  <c:v>1507.2750472286025</c:v>
                </c:pt>
                <c:pt idx="129">
                  <c:v>1546.4450090639946</c:v>
                </c:pt>
                <c:pt idx="130">
                  <c:v>1587.302419648697</c:v>
                </c:pt>
                <c:pt idx="131">
                  <c:v>1625.9742541979385</c:v>
                </c:pt>
                <c:pt idx="132">
                  <c:v>1663.2011069931307</c:v>
                </c:pt>
                <c:pt idx="133">
                  <c:v>1709.4586310941179</c:v>
                </c:pt>
                <c:pt idx="134">
                  <c:v>1719.334746819379</c:v>
                </c:pt>
                <c:pt idx="135">
                  <c:v>1758.6089771980239</c:v>
                </c:pt>
                <c:pt idx="136">
                  <c:v>1779.3543948918714</c:v>
                </c:pt>
                <c:pt idx="137">
                  <c:v>1790.9597564025128</c:v>
                </c:pt>
                <c:pt idx="138">
                  <c:v>1799.2444534105077</c:v>
                </c:pt>
                <c:pt idx="139">
                  <c:v>1804.0590846813616</c:v>
                </c:pt>
                <c:pt idx="140">
                  <c:v>1805.1777010172841</c:v>
                </c:pt>
                <c:pt idx="141">
                  <c:v>1809.619639520781</c:v>
                </c:pt>
                <c:pt idx="142">
                  <c:v>1814.2191914711707</c:v>
                </c:pt>
                <c:pt idx="143">
                  <c:v>1819.0033700599804</c:v>
                </c:pt>
                <c:pt idx="144">
                  <c:v>1820.0759699427729</c:v>
                </c:pt>
                <c:pt idx="145">
                  <c:v>1839.8398314478059</c:v>
                </c:pt>
                <c:pt idx="146">
                  <c:v>1839.8398314478059</c:v>
                </c:pt>
                <c:pt idx="147">
                  <c:v>1882.3018681828521</c:v>
                </c:pt>
                <c:pt idx="148">
                  <c:v>1882.3018681828521</c:v>
                </c:pt>
                <c:pt idx="149">
                  <c:v>1882.3018681828521</c:v>
                </c:pt>
                <c:pt idx="150">
                  <c:v>1882.3018681828521</c:v>
                </c:pt>
                <c:pt idx="151">
                  <c:v>1882.3018681828521</c:v>
                </c:pt>
                <c:pt idx="152">
                  <c:v>1882.3018681828521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4EA-4EA7-87DC-754BB5D7E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8517760"/>
        <c:axId val="1958518176"/>
      </c:scatterChart>
      <c:valAx>
        <c:axId val="195851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518176"/>
        <c:crosses val="autoZero"/>
        <c:crossBetween val="midCat"/>
      </c:valAx>
      <c:valAx>
        <c:axId val="195851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5177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'[1]Main Data'!$AO$1</c:f>
              <c:strCache>
                <c:ptCount val="1"/>
                <c:pt idx="0">
                  <c:v>BSFC (g/Kwh)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'[1]Main Data'!$G$2:$G$158</c:f>
              <c:numCache>
                <c:formatCode>General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'[1]Main Data'!$AO$2:$AO$158</c:f>
              <c:numCache>
                <c:formatCode>General</c:formatCode>
                <c:ptCount val="157"/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310</c:v>
                </c:pt>
                <c:pt idx="5">
                  <c:v>310</c:v>
                </c:pt>
                <c:pt idx="6">
                  <c:v>310</c:v>
                </c:pt>
                <c:pt idx="7">
                  <c:v>310</c:v>
                </c:pt>
                <c:pt idx="8">
                  <c:v>200</c:v>
                </c:pt>
                <c:pt idx="9">
                  <c:v>310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285</c:v>
                </c:pt>
                <c:pt idx="18">
                  <c:v>200</c:v>
                </c:pt>
                <c:pt idx="19">
                  <c:v>180</c:v>
                </c:pt>
                <c:pt idx="20">
                  <c:v>310</c:v>
                </c:pt>
                <c:pt idx="21">
                  <c:v>285</c:v>
                </c:pt>
                <c:pt idx="22">
                  <c:v>200</c:v>
                </c:pt>
                <c:pt idx="23">
                  <c:v>195</c:v>
                </c:pt>
                <c:pt idx="24">
                  <c:v>205</c:v>
                </c:pt>
                <c:pt idx="25">
                  <c:v>200</c:v>
                </c:pt>
                <c:pt idx="26">
                  <c:v>300</c:v>
                </c:pt>
                <c:pt idx="27">
                  <c:v>300</c:v>
                </c:pt>
                <c:pt idx="28">
                  <c:v>285</c:v>
                </c:pt>
                <c:pt idx="29">
                  <c:v>285</c:v>
                </c:pt>
                <c:pt idx="30">
                  <c:v>285</c:v>
                </c:pt>
                <c:pt idx="31">
                  <c:v>300</c:v>
                </c:pt>
                <c:pt idx="32">
                  <c:v>300</c:v>
                </c:pt>
                <c:pt idx="33">
                  <c:v>205</c:v>
                </c:pt>
                <c:pt idx="34">
                  <c:v>310</c:v>
                </c:pt>
                <c:pt idx="35">
                  <c:v>215</c:v>
                </c:pt>
                <c:pt idx="36">
                  <c:v>215</c:v>
                </c:pt>
                <c:pt idx="37">
                  <c:v>200</c:v>
                </c:pt>
                <c:pt idx="38">
                  <c:v>300</c:v>
                </c:pt>
                <c:pt idx="39">
                  <c:v>300</c:v>
                </c:pt>
                <c:pt idx="40">
                  <c:v>205</c:v>
                </c:pt>
                <c:pt idx="41">
                  <c:v>195</c:v>
                </c:pt>
                <c:pt idx="42">
                  <c:v>195</c:v>
                </c:pt>
                <c:pt idx="43">
                  <c:v>285</c:v>
                </c:pt>
                <c:pt idx="44">
                  <c:v>195</c:v>
                </c:pt>
                <c:pt idx="45">
                  <c:v>285</c:v>
                </c:pt>
                <c:pt idx="46">
                  <c:v>285</c:v>
                </c:pt>
                <c:pt idx="47">
                  <c:v>190</c:v>
                </c:pt>
                <c:pt idx="48">
                  <c:v>310</c:v>
                </c:pt>
                <c:pt idx="49">
                  <c:v>285</c:v>
                </c:pt>
                <c:pt idx="50">
                  <c:v>285</c:v>
                </c:pt>
                <c:pt idx="51">
                  <c:v>190</c:v>
                </c:pt>
                <c:pt idx="52">
                  <c:v>285</c:v>
                </c:pt>
                <c:pt idx="53">
                  <c:v>185</c:v>
                </c:pt>
                <c:pt idx="54">
                  <c:v>285</c:v>
                </c:pt>
                <c:pt idx="55">
                  <c:v>190</c:v>
                </c:pt>
                <c:pt idx="56">
                  <c:v>285</c:v>
                </c:pt>
                <c:pt idx="57">
                  <c:v>285</c:v>
                </c:pt>
                <c:pt idx="58">
                  <c:v>190</c:v>
                </c:pt>
                <c:pt idx="59">
                  <c:v>200</c:v>
                </c:pt>
                <c:pt idx="60">
                  <c:v>310</c:v>
                </c:pt>
                <c:pt idx="61">
                  <c:v>190</c:v>
                </c:pt>
                <c:pt idx="62">
                  <c:v>310</c:v>
                </c:pt>
                <c:pt idx="63">
                  <c:v>195</c:v>
                </c:pt>
                <c:pt idx="64">
                  <c:v>192</c:v>
                </c:pt>
                <c:pt idx="65">
                  <c:v>250</c:v>
                </c:pt>
                <c:pt idx="66">
                  <c:v>200</c:v>
                </c:pt>
                <c:pt idx="67">
                  <c:v>200</c:v>
                </c:pt>
                <c:pt idx="68">
                  <c:v>200</c:v>
                </c:pt>
                <c:pt idx="69">
                  <c:v>192</c:v>
                </c:pt>
                <c:pt idx="70">
                  <c:v>180</c:v>
                </c:pt>
                <c:pt idx="71">
                  <c:v>180</c:v>
                </c:pt>
                <c:pt idx="72">
                  <c:v>192</c:v>
                </c:pt>
                <c:pt idx="73">
                  <c:v>205</c:v>
                </c:pt>
                <c:pt idx="74">
                  <c:v>300</c:v>
                </c:pt>
                <c:pt idx="75">
                  <c:v>192</c:v>
                </c:pt>
                <c:pt idx="76">
                  <c:v>285</c:v>
                </c:pt>
                <c:pt idx="77">
                  <c:v>200</c:v>
                </c:pt>
                <c:pt idx="78">
                  <c:v>285</c:v>
                </c:pt>
                <c:pt idx="79">
                  <c:v>285</c:v>
                </c:pt>
                <c:pt idx="80">
                  <c:v>200</c:v>
                </c:pt>
                <c:pt idx="81">
                  <c:v>200</c:v>
                </c:pt>
                <c:pt idx="82">
                  <c:v>200</c:v>
                </c:pt>
                <c:pt idx="83">
                  <c:v>285</c:v>
                </c:pt>
                <c:pt idx="84">
                  <c:v>200</c:v>
                </c:pt>
                <c:pt idx="85">
                  <c:v>285</c:v>
                </c:pt>
                <c:pt idx="86">
                  <c:v>285</c:v>
                </c:pt>
                <c:pt idx="87">
                  <c:v>200</c:v>
                </c:pt>
                <c:pt idx="88">
                  <c:v>285</c:v>
                </c:pt>
                <c:pt idx="89">
                  <c:v>285</c:v>
                </c:pt>
                <c:pt idx="90">
                  <c:v>310</c:v>
                </c:pt>
                <c:pt idx="91">
                  <c:v>200</c:v>
                </c:pt>
                <c:pt idx="92">
                  <c:v>200</c:v>
                </c:pt>
                <c:pt idx="93">
                  <c:v>200</c:v>
                </c:pt>
                <c:pt idx="94">
                  <c:v>215</c:v>
                </c:pt>
                <c:pt idx="95">
                  <c:v>200</c:v>
                </c:pt>
                <c:pt idx="96">
                  <c:v>200</c:v>
                </c:pt>
                <c:pt idx="97">
                  <c:v>200</c:v>
                </c:pt>
                <c:pt idx="98">
                  <c:v>200</c:v>
                </c:pt>
                <c:pt idx="99">
                  <c:v>200</c:v>
                </c:pt>
                <c:pt idx="100">
                  <c:v>200</c:v>
                </c:pt>
                <c:pt idx="101">
                  <c:v>200</c:v>
                </c:pt>
                <c:pt idx="102">
                  <c:v>200</c:v>
                </c:pt>
                <c:pt idx="103">
                  <c:v>310</c:v>
                </c:pt>
                <c:pt idx="104">
                  <c:v>200</c:v>
                </c:pt>
                <c:pt idx="105">
                  <c:v>285</c:v>
                </c:pt>
                <c:pt idx="106">
                  <c:v>200</c:v>
                </c:pt>
                <c:pt idx="107">
                  <c:v>285</c:v>
                </c:pt>
                <c:pt idx="108">
                  <c:v>285</c:v>
                </c:pt>
                <c:pt idx="109">
                  <c:v>200</c:v>
                </c:pt>
                <c:pt idx="110">
                  <c:v>200</c:v>
                </c:pt>
                <c:pt idx="111">
                  <c:v>192</c:v>
                </c:pt>
                <c:pt idx="112">
                  <c:v>310</c:v>
                </c:pt>
                <c:pt idx="113">
                  <c:v>190</c:v>
                </c:pt>
                <c:pt idx="114">
                  <c:v>310</c:v>
                </c:pt>
                <c:pt idx="115">
                  <c:v>300</c:v>
                </c:pt>
                <c:pt idx="116">
                  <c:v>180</c:v>
                </c:pt>
                <c:pt idx="117">
                  <c:v>300</c:v>
                </c:pt>
                <c:pt idx="118">
                  <c:v>180</c:v>
                </c:pt>
                <c:pt idx="119">
                  <c:v>192</c:v>
                </c:pt>
                <c:pt idx="120">
                  <c:v>192</c:v>
                </c:pt>
                <c:pt idx="121">
                  <c:v>285</c:v>
                </c:pt>
                <c:pt idx="122">
                  <c:v>200</c:v>
                </c:pt>
                <c:pt idx="123">
                  <c:v>200</c:v>
                </c:pt>
                <c:pt idx="124">
                  <c:v>285</c:v>
                </c:pt>
                <c:pt idx="125">
                  <c:v>285</c:v>
                </c:pt>
                <c:pt idx="126">
                  <c:v>200</c:v>
                </c:pt>
                <c:pt idx="127">
                  <c:v>200</c:v>
                </c:pt>
                <c:pt idx="128">
                  <c:v>200</c:v>
                </c:pt>
                <c:pt idx="129">
                  <c:v>200</c:v>
                </c:pt>
                <c:pt idx="130">
                  <c:v>285</c:v>
                </c:pt>
                <c:pt idx="131">
                  <c:v>285</c:v>
                </c:pt>
                <c:pt idx="132">
                  <c:v>285</c:v>
                </c:pt>
                <c:pt idx="133">
                  <c:v>300</c:v>
                </c:pt>
                <c:pt idx="134">
                  <c:v>300</c:v>
                </c:pt>
                <c:pt idx="135">
                  <c:v>300</c:v>
                </c:pt>
                <c:pt idx="136">
                  <c:v>300</c:v>
                </c:pt>
                <c:pt idx="137">
                  <c:v>300</c:v>
                </c:pt>
                <c:pt idx="138">
                  <c:v>300</c:v>
                </c:pt>
                <c:pt idx="139">
                  <c:v>300</c:v>
                </c:pt>
                <c:pt idx="140">
                  <c:v>300</c:v>
                </c:pt>
                <c:pt idx="141">
                  <c:v>285</c:v>
                </c:pt>
                <c:pt idx="142">
                  <c:v>285</c:v>
                </c:pt>
                <c:pt idx="143">
                  <c:v>285</c:v>
                </c:pt>
                <c:pt idx="144">
                  <c:v>285</c:v>
                </c:pt>
                <c:pt idx="145">
                  <c:v>285</c:v>
                </c:pt>
                <c:pt idx="146">
                  <c:v>285</c:v>
                </c:pt>
                <c:pt idx="147">
                  <c:v>200</c:v>
                </c:pt>
                <c:pt idx="148">
                  <c:v>285</c:v>
                </c:pt>
                <c:pt idx="149">
                  <c:v>200</c:v>
                </c:pt>
                <c:pt idx="150">
                  <c:v>200</c:v>
                </c:pt>
                <c:pt idx="151">
                  <c:v>200</c:v>
                </c:pt>
                <c:pt idx="152">
                  <c:v>200</c:v>
                </c:pt>
                <c:pt idx="153">
                  <c:v>200</c:v>
                </c:pt>
                <c:pt idx="155">
                  <c:v>241.36601307189542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40-46D1-AE4A-3032171775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719919"/>
        <c:axId val="123720335"/>
      </c:scatterChart>
      <c:valAx>
        <c:axId val="123719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20335"/>
        <c:crosses val="autoZero"/>
        <c:crossBetween val="midCat"/>
      </c:valAx>
      <c:valAx>
        <c:axId val="123720335"/>
        <c:scaling>
          <c:orientation val="minMax"/>
          <c:min val="1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19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Fuel Usage Per Lap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'[1]Main Data'!$AR$1</c:f>
              <c:strCache>
                <c:ptCount val="1"/>
                <c:pt idx="0">
                  <c:v>Cumulative Fuel Usage ICE only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'[1]Main Data'!$G$2:$G$158</c:f>
              <c:numCache>
                <c:formatCode>General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'[1]Main Data'!$AR$2:$AR$158</c:f>
              <c:numCache>
                <c:formatCode>General</c:formatCode>
                <c:ptCount val="157"/>
                <c:pt idx="1">
                  <c:v>2.5165695124493404</c:v>
                </c:pt>
                <c:pt idx="2">
                  <c:v>5.0399503845288018</c:v>
                </c:pt>
                <c:pt idx="3">
                  <c:v>7.5981053693765137</c:v>
                </c:pt>
                <c:pt idx="4">
                  <c:v>7.5981053693765137</c:v>
                </c:pt>
                <c:pt idx="5">
                  <c:v>7.5981053693765137</c:v>
                </c:pt>
                <c:pt idx="6">
                  <c:v>7.5981053693765137</c:v>
                </c:pt>
                <c:pt idx="7">
                  <c:v>7.5981053693765137</c:v>
                </c:pt>
                <c:pt idx="8">
                  <c:v>10.298284120037739</c:v>
                </c:pt>
                <c:pt idx="9">
                  <c:v>10.298284120037739</c:v>
                </c:pt>
                <c:pt idx="10">
                  <c:v>13.040446259236049</c:v>
                </c:pt>
                <c:pt idx="11">
                  <c:v>15.800504664917035</c:v>
                </c:pt>
                <c:pt idx="12">
                  <c:v>18.5644250407817</c:v>
                </c:pt>
                <c:pt idx="13">
                  <c:v>21.308276193946796</c:v>
                </c:pt>
                <c:pt idx="14">
                  <c:v>23.187996144915541</c:v>
                </c:pt>
                <c:pt idx="15">
                  <c:v>25.53705140133501</c:v>
                </c:pt>
                <c:pt idx="16">
                  <c:v>27.691484516190879</c:v>
                </c:pt>
                <c:pt idx="17">
                  <c:v>27.691484516190879</c:v>
                </c:pt>
                <c:pt idx="18">
                  <c:v>29.465207484283759</c:v>
                </c:pt>
                <c:pt idx="19">
                  <c:v>30.89466709923272</c:v>
                </c:pt>
                <c:pt idx="20">
                  <c:v>30.89466709923272</c:v>
                </c:pt>
                <c:pt idx="21">
                  <c:v>30.89466709923272</c:v>
                </c:pt>
                <c:pt idx="22">
                  <c:v>32.876147397524669</c:v>
                </c:pt>
                <c:pt idx="23">
                  <c:v>33.801511103032198</c:v>
                </c:pt>
                <c:pt idx="24">
                  <c:v>34.674086055870518</c:v>
                </c:pt>
                <c:pt idx="25">
                  <c:v>36.816359055027064</c:v>
                </c:pt>
                <c:pt idx="26">
                  <c:v>36.816359055027064</c:v>
                </c:pt>
                <c:pt idx="27">
                  <c:v>36.816359055027064</c:v>
                </c:pt>
                <c:pt idx="28">
                  <c:v>36.816359055027064</c:v>
                </c:pt>
                <c:pt idx="29">
                  <c:v>36.816359055027064</c:v>
                </c:pt>
                <c:pt idx="30">
                  <c:v>36.816359055027064</c:v>
                </c:pt>
                <c:pt idx="31">
                  <c:v>36.816359055027064</c:v>
                </c:pt>
                <c:pt idx="32">
                  <c:v>36.816359055027064</c:v>
                </c:pt>
                <c:pt idx="33">
                  <c:v>37.475891074918479</c:v>
                </c:pt>
                <c:pt idx="34">
                  <c:v>37.475891074918479</c:v>
                </c:pt>
                <c:pt idx="35">
                  <c:v>38.0933351894341</c:v>
                </c:pt>
                <c:pt idx="36">
                  <c:v>38.711637441325045</c:v>
                </c:pt>
                <c:pt idx="37">
                  <c:v>40.566472923157285</c:v>
                </c:pt>
                <c:pt idx="38">
                  <c:v>40.566472923157285</c:v>
                </c:pt>
                <c:pt idx="39">
                  <c:v>40.566472923157285</c:v>
                </c:pt>
                <c:pt idx="40">
                  <c:v>41.412215008602686</c:v>
                </c:pt>
                <c:pt idx="41">
                  <c:v>42.295099143626729</c:v>
                </c:pt>
                <c:pt idx="42">
                  <c:v>43.189678101533488</c:v>
                </c:pt>
                <c:pt idx="43">
                  <c:v>43.189678101533488</c:v>
                </c:pt>
                <c:pt idx="44">
                  <c:v>44.147063022830416</c:v>
                </c:pt>
                <c:pt idx="45">
                  <c:v>44.147063022830416</c:v>
                </c:pt>
                <c:pt idx="46">
                  <c:v>44.147063022830416</c:v>
                </c:pt>
                <c:pt idx="47">
                  <c:v>45.30834586519201</c:v>
                </c:pt>
                <c:pt idx="48">
                  <c:v>45.30834586519201</c:v>
                </c:pt>
                <c:pt idx="49">
                  <c:v>45.30834586519201</c:v>
                </c:pt>
                <c:pt idx="50">
                  <c:v>45.30834586519201</c:v>
                </c:pt>
                <c:pt idx="51">
                  <c:v>46.345422500216756</c:v>
                </c:pt>
                <c:pt idx="52">
                  <c:v>46.345422500216756</c:v>
                </c:pt>
                <c:pt idx="53">
                  <c:v>47.564322108195675</c:v>
                </c:pt>
                <c:pt idx="54">
                  <c:v>47.564322108195675</c:v>
                </c:pt>
                <c:pt idx="55">
                  <c:v>48.606963488505343</c:v>
                </c:pt>
                <c:pt idx="56">
                  <c:v>48.606963488505343</c:v>
                </c:pt>
                <c:pt idx="57">
                  <c:v>48.606963488505343</c:v>
                </c:pt>
                <c:pt idx="58">
                  <c:v>49.790684121691548</c:v>
                </c:pt>
                <c:pt idx="59">
                  <c:v>52.258284915139697</c:v>
                </c:pt>
                <c:pt idx="60">
                  <c:v>52.258284915139697</c:v>
                </c:pt>
                <c:pt idx="61">
                  <c:v>53.612610119584502</c:v>
                </c:pt>
                <c:pt idx="62">
                  <c:v>53.612610119584502</c:v>
                </c:pt>
                <c:pt idx="63">
                  <c:v>55.121528765027072</c:v>
                </c:pt>
                <c:pt idx="64">
                  <c:v>56.707888903228678</c:v>
                </c:pt>
                <c:pt idx="65">
                  <c:v>57.083634301417369</c:v>
                </c:pt>
                <c:pt idx="66">
                  <c:v>58.801361283216494</c:v>
                </c:pt>
                <c:pt idx="67">
                  <c:v>61.171312969295911</c:v>
                </c:pt>
                <c:pt idx="68">
                  <c:v>62.895928398120027</c:v>
                </c:pt>
                <c:pt idx="69">
                  <c:v>64.449574286082765</c:v>
                </c:pt>
                <c:pt idx="70">
                  <c:v>65.886582114020868</c:v>
                </c:pt>
                <c:pt idx="71">
                  <c:v>67.341870633789185</c:v>
                </c:pt>
                <c:pt idx="72">
                  <c:v>68.898192911321317</c:v>
                </c:pt>
                <c:pt idx="73">
                  <c:v>69.647113994109276</c:v>
                </c:pt>
                <c:pt idx="74">
                  <c:v>69.647113994109276</c:v>
                </c:pt>
                <c:pt idx="75">
                  <c:v>71.26460238323601</c:v>
                </c:pt>
                <c:pt idx="76">
                  <c:v>71.26460238323601</c:v>
                </c:pt>
                <c:pt idx="77">
                  <c:v>73.059851722709595</c:v>
                </c:pt>
                <c:pt idx="78">
                  <c:v>73.059851722709595</c:v>
                </c:pt>
                <c:pt idx="79">
                  <c:v>73.059851722709595</c:v>
                </c:pt>
                <c:pt idx="80">
                  <c:v>75.000560523515915</c:v>
                </c:pt>
                <c:pt idx="81">
                  <c:v>76.986036702656179</c:v>
                </c:pt>
                <c:pt idx="82">
                  <c:v>79.014082411845379</c:v>
                </c:pt>
                <c:pt idx="83">
                  <c:v>79.014082411845379</c:v>
                </c:pt>
                <c:pt idx="84">
                  <c:v>81.124535075114395</c:v>
                </c:pt>
                <c:pt idx="85">
                  <c:v>81.124535075114395</c:v>
                </c:pt>
                <c:pt idx="86">
                  <c:v>81.124535075114395</c:v>
                </c:pt>
                <c:pt idx="87">
                  <c:v>83.361988882449808</c:v>
                </c:pt>
                <c:pt idx="88">
                  <c:v>83.361988882449808</c:v>
                </c:pt>
                <c:pt idx="89">
                  <c:v>83.361988882449808</c:v>
                </c:pt>
                <c:pt idx="90">
                  <c:v>83.361988882449808</c:v>
                </c:pt>
                <c:pt idx="91">
                  <c:v>85.741896602269705</c:v>
                </c:pt>
                <c:pt idx="92">
                  <c:v>88.161228118228323</c:v>
                </c:pt>
                <c:pt idx="93">
                  <c:v>90.652498126450595</c:v>
                </c:pt>
                <c:pt idx="94">
                  <c:v>91.159140160595058</c:v>
                </c:pt>
                <c:pt idx="95">
                  <c:v>93.684316632311763</c:v>
                </c:pt>
                <c:pt idx="96">
                  <c:v>96.242613482772327</c:v>
                </c:pt>
                <c:pt idx="97">
                  <c:v>98.832741054075598</c:v>
                </c:pt>
                <c:pt idx="98">
                  <c:v>101.45309661253293</c:v>
                </c:pt>
                <c:pt idx="99">
                  <c:v>104.10190301249861</c:v>
                </c:pt>
                <c:pt idx="100">
                  <c:v>106.77715710749794</c:v>
                </c:pt>
                <c:pt idx="101">
                  <c:v>109.47660742552276</c:v>
                </c:pt>
                <c:pt idx="102">
                  <c:v>111.3502660787307</c:v>
                </c:pt>
                <c:pt idx="103">
                  <c:v>111.3502660787307</c:v>
                </c:pt>
                <c:pt idx="104">
                  <c:v>113.83086882975594</c:v>
                </c:pt>
                <c:pt idx="105">
                  <c:v>113.83086882975594</c:v>
                </c:pt>
                <c:pt idx="106">
                  <c:v>115.97964079098377</c:v>
                </c:pt>
                <c:pt idx="107">
                  <c:v>115.97964079098377</c:v>
                </c:pt>
                <c:pt idx="108">
                  <c:v>115.97964079098377</c:v>
                </c:pt>
                <c:pt idx="109">
                  <c:v>117.68370957818408</c:v>
                </c:pt>
                <c:pt idx="110">
                  <c:v>119.38822576950679</c:v>
                </c:pt>
                <c:pt idx="111">
                  <c:v>120.86298975974115</c:v>
                </c:pt>
                <c:pt idx="112">
                  <c:v>120.86298975974115</c:v>
                </c:pt>
                <c:pt idx="113">
                  <c:v>122.24037169865798</c:v>
                </c:pt>
                <c:pt idx="114">
                  <c:v>122.24037169865798</c:v>
                </c:pt>
                <c:pt idx="115">
                  <c:v>122.24037169865798</c:v>
                </c:pt>
                <c:pt idx="116">
                  <c:v>123.60304698459844</c:v>
                </c:pt>
                <c:pt idx="117">
                  <c:v>123.60304698459844</c:v>
                </c:pt>
                <c:pt idx="118">
                  <c:v>125.00854914906337</c:v>
                </c:pt>
                <c:pt idx="119">
                  <c:v>126.55437829693679</c:v>
                </c:pt>
                <c:pt idx="120">
                  <c:v>128.15964132139356</c:v>
                </c:pt>
                <c:pt idx="121">
                  <c:v>128.15964132139356</c:v>
                </c:pt>
                <c:pt idx="122">
                  <c:v>129.94166168931503</c:v>
                </c:pt>
                <c:pt idx="123">
                  <c:v>131.77592739697917</c:v>
                </c:pt>
                <c:pt idx="124">
                  <c:v>131.77592739697917</c:v>
                </c:pt>
                <c:pt idx="125">
                  <c:v>131.77592739697917</c:v>
                </c:pt>
                <c:pt idx="126">
                  <c:v>133.75605186528335</c:v>
                </c:pt>
                <c:pt idx="127">
                  <c:v>135.7760290698757</c:v>
                </c:pt>
                <c:pt idx="128">
                  <c:v>137.82466950427931</c:v>
                </c:pt>
                <c:pt idx="129">
                  <c:v>139.82472960817603</c:v>
                </c:pt>
                <c:pt idx="130">
                  <c:v>139.82472960817603</c:v>
                </c:pt>
                <c:pt idx="131">
                  <c:v>139.82472960817603</c:v>
                </c:pt>
                <c:pt idx="132">
                  <c:v>139.82472960817603</c:v>
                </c:pt>
                <c:pt idx="133">
                  <c:v>139.82472960817603</c:v>
                </c:pt>
                <c:pt idx="134">
                  <c:v>139.82472960817603</c:v>
                </c:pt>
                <c:pt idx="135">
                  <c:v>139.82472960817603</c:v>
                </c:pt>
                <c:pt idx="136">
                  <c:v>139.82472960817603</c:v>
                </c:pt>
                <c:pt idx="137">
                  <c:v>139.82472960817603</c:v>
                </c:pt>
                <c:pt idx="138">
                  <c:v>139.82472960817603</c:v>
                </c:pt>
                <c:pt idx="139">
                  <c:v>139.82472960817603</c:v>
                </c:pt>
                <c:pt idx="140">
                  <c:v>139.82472960817603</c:v>
                </c:pt>
                <c:pt idx="141">
                  <c:v>139.82472960817603</c:v>
                </c:pt>
                <c:pt idx="142">
                  <c:v>139.82472960817603</c:v>
                </c:pt>
                <c:pt idx="143">
                  <c:v>139.82472960817603</c:v>
                </c:pt>
                <c:pt idx="144">
                  <c:v>139.82472960817603</c:v>
                </c:pt>
                <c:pt idx="145">
                  <c:v>139.82472960817603</c:v>
                </c:pt>
                <c:pt idx="146">
                  <c:v>139.82472960817603</c:v>
                </c:pt>
                <c:pt idx="147">
                  <c:v>142.16495406424869</c:v>
                </c:pt>
                <c:pt idx="148">
                  <c:v>142.16495406424869</c:v>
                </c:pt>
                <c:pt idx="149">
                  <c:v>144.27966105380861</c:v>
                </c:pt>
                <c:pt idx="150">
                  <c:v>146.43792478993836</c:v>
                </c:pt>
                <c:pt idx="151">
                  <c:v>148.63876168999096</c:v>
                </c:pt>
                <c:pt idx="152">
                  <c:v>150.88103860719281</c:v>
                </c:pt>
                <c:pt idx="153">
                  <c:v>153.29606162134121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70-45F4-A0A3-7587305B5E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8040943"/>
        <c:axId val="1788038447"/>
      </c:scatterChart>
      <c:valAx>
        <c:axId val="1788040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38447"/>
        <c:crosses val="autoZero"/>
        <c:crossBetween val="midCat"/>
      </c:valAx>
      <c:valAx>
        <c:axId val="1788038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40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Fuel Usage Per Lap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0503860375117346E-2"/>
          <c:y val="0.10704184704184704"/>
          <c:w val="0.90990286798091846"/>
          <c:h val="0.7648100805581120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'[1]Main Data'!$AR$1</c:f>
              <c:strCache>
                <c:ptCount val="1"/>
                <c:pt idx="0">
                  <c:v>Cumulative Fuel Usage ICE only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'[1]Main Data'!$G$2:$G$158</c:f>
              <c:numCache>
                <c:formatCode>General</c:formatCode>
                <c:ptCount val="157"/>
                <c:pt idx="1">
                  <c:v>0</c:v>
                </c:pt>
                <c:pt idx="2">
                  <c:v>0.96200000000000008</c:v>
                </c:pt>
                <c:pt idx="3">
                  <c:v>1.9980000000000002</c:v>
                </c:pt>
                <c:pt idx="4">
                  <c:v>2.9970000000000003</c:v>
                </c:pt>
                <c:pt idx="5">
                  <c:v>4.0330000000000004</c:v>
                </c:pt>
                <c:pt idx="6">
                  <c:v>5.0320000000000009</c:v>
                </c:pt>
                <c:pt idx="7">
                  <c:v>6.0309999999999997</c:v>
                </c:pt>
                <c:pt idx="8">
                  <c:v>7.03</c:v>
                </c:pt>
                <c:pt idx="9">
                  <c:v>8.0289999999999999</c:v>
                </c:pt>
                <c:pt idx="10">
                  <c:v>9.0280000000000005</c:v>
                </c:pt>
                <c:pt idx="11">
                  <c:v>10.027000000000001</c:v>
                </c:pt>
                <c:pt idx="12">
                  <c:v>11.026</c:v>
                </c:pt>
                <c:pt idx="13">
                  <c:v>12.025</c:v>
                </c:pt>
                <c:pt idx="14">
                  <c:v>13.024000000000001</c:v>
                </c:pt>
                <c:pt idx="15">
                  <c:v>14.023000000000001</c:v>
                </c:pt>
                <c:pt idx="16">
                  <c:v>15.021999999999998</c:v>
                </c:pt>
                <c:pt idx="17">
                  <c:v>16.021000000000001</c:v>
                </c:pt>
                <c:pt idx="18">
                  <c:v>17.02</c:v>
                </c:pt>
                <c:pt idx="19">
                  <c:v>18.019000000000002</c:v>
                </c:pt>
                <c:pt idx="20">
                  <c:v>19.018000000000001</c:v>
                </c:pt>
                <c:pt idx="21">
                  <c:v>20.017000000000003</c:v>
                </c:pt>
                <c:pt idx="22">
                  <c:v>20.978999999999999</c:v>
                </c:pt>
                <c:pt idx="23">
                  <c:v>22.015000000000001</c:v>
                </c:pt>
                <c:pt idx="24">
                  <c:v>23.013999999999999</c:v>
                </c:pt>
                <c:pt idx="25">
                  <c:v>24.013000000000002</c:v>
                </c:pt>
                <c:pt idx="26">
                  <c:v>25.048999999999999</c:v>
                </c:pt>
                <c:pt idx="27">
                  <c:v>26.011000000000003</c:v>
                </c:pt>
                <c:pt idx="28">
                  <c:v>27.047000000000001</c:v>
                </c:pt>
                <c:pt idx="29">
                  <c:v>28.046000000000003</c:v>
                </c:pt>
                <c:pt idx="30">
                  <c:v>29.045000000000002</c:v>
                </c:pt>
                <c:pt idx="31">
                  <c:v>30.043999999999997</c:v>
                </c:pt>
                <c:pt idx="32">
                  <c:v>31.043000000000003</c:v>
                </c:pt>
                <c:pt idx="33">
                  <c:v>32.042000000000002</c:v>
                </c:pt>
                <c:pt idx="34">
                  <c:v>33.041000000000004</c:v>
                </c:pt>
                <c:pt idx="35">
                  <c:v>34.003</c:v>
                </c:pt>
                <c:pt idx="36">
                  <c:v>35.039000000000001</c:v>
                </c:pt>
                <c:pt idx="37">
                  <c:v>36.038000000000004</c:v>
                </c:pt>
                <c:pt idx="38">
                  <c:v>37.036999999999999</c:v>
                </c:pt>
                <c:pt idx="39">
                  <c:v>38.036000000000001</c:v>
                </c:pt>
                <c:pt idx="40">
                  <c:v>39.035000000000004</c:v>
                </c:pt>
                <c:pt idx="41">
                  <c:v>40.034000000000006</c:v>
                </c:pt>
                <c:pt idx="42">
                  <c:v>41.033000000000001</c:v>
                </c:pt>
                <c:pt idx="43">
                  <c:v>42.031999999999996</c:v>
                </c:pt>
                <c:pt idx="44">
                  <c:v>43.031000000000006</c:v>
                </c:pt>
                <c:pt idx="45">
                  <c:v>44.03</c:v>
                </c:pt>
                <c:pt idx="46">
                  <c:v>45.029000000000003</c:v>
                </c:pt>
                <c:pt idx="47">
                  <c:v>46.027999999999999</c:v>
                </c:pt>
                <c:pt idx="48">
                  <c:v>47.027000000000008</c:v>
                </c:pt>
                <c:pt idx="49">
                  <c:v>48.026000000000003</c:v>
                </c:pt>
                <c:pt idx="50">
                  <c:v>48.988000000000007</c:v>
                </c:pt>
                <c:pt idx="51">
                  <c:v>50.024000000000001</c:v>
                </c:pt>
                <c:pt idx="52">
                  <c:v>51.022999999999996</c:v>
                </c:pt>
                <c:pt idx="53">
                  <c:v>52.022000000000006</c:v>
                </c:pt>
                <c:pt idx="54">
                  <c:v>53.021000000000001</c:v>
                </c:pt>
                <c:pt idx="55">
                  <c:v>54.02</c:v>
                </c:pt>
                <c:pt idx="56">
                  <c:v>55.018999999999998</c:v>
                </c:pt>
                <c:pt idx="57">
                  <c:v>56.018000000000008</c:v>
                </c:pt>
                <c:pt idx="58">
                  <c:v>57.017000000000003</c:v>
                </c:pt>
                <c:pt idx="59">
                  <c:v>58.015999999999998</c:v>
                </c:pt>
                <c:pt idx="60">
                  <c:v>59.015000000000001</c:v>
                </c:pt>
                <c:pt idx="61">
                  <c:v>60.013999999999996</c:v>
                </c:pt>
                <c:pt idx="62">
                  <c:v>61.012999999999998</c:v>
                </c:pt>
                <c:pt idx="63">
                  <c:v>62.012000000000008</c:v>
                </c:pt>
                <c:pt idx="64">
                  <c:v>63.01100000000001</c:v>
                </c:pt>
                <c:pt idx="65">
                  <c:v>64.046999999999997</c:v>
                </c:pt>
                <c:pt idx="66">
                  <c:v>65.045999999999992</c:v>
                </c:pt>
                <c:pt idx="67">
                  <c:v>66.045000000000002</c:v>
                </c:pt>
                <c:pt idx="68">
                  <c:v>67.044000000000011</c:v>
                </c:pt>
                <c:pt idx="69">
                  <c:v>68.043000000000006</c:v>
                </c:pt>
                <c:pt idx="70">
                  <c:v>69.004999999999995</c:v>
                </c:pt>
                <c:pt idx="71">
                  <c:v>70.040999999999997</c:v>
                </c:pt>
                <c:pt idx="72">
                  <c:v>71.040000000000006</c:v>
                </c:pt>
                <c:pt idx="73">
                  <c:v>72.00200000000001</c:v>
                </c:pt>
                <c:pt idx="74">
                  <c:v>72.963999999999999</c:v>
                </c:pt>
                <c:pt idx="75">
                  <c:v>74.037000000000006</c:v>
                </c:pt>
                <c:pt idx="76">
                  <c:v>75.036000000000001</c:v>
                </c:pt>
                <c:pt idx="77">
                  <c:v>76.035000000000011</c:v>
                </c:pt>
                <c:pt idx="78">
                  <c:v>77.034000000000006</c:v>
                </c:pt>
                <c:pt idx="79">
                  <c:v>78.033000000000001</c:v>
                </c:pt>
                <c:pt idx="80">
                  <c:v>79.031999999999996</c:v>
                </c:pt>
                <c:pt idx="81">
                  <c:v>80.031000000000006</c:v>
                </c:pt>
                <c:pt idx="82">
                  <c:v>81.03</c:v>
                </c:pt>
                <c:pt idx="83">
                  <c:v>82.029000000000011</c:v>
                </c:pt>
                <c:pt idx="84">
                  <c:v>83.028000000000006</c:v>
                </c:pt>
                <c:pt idx="85">
                  <c:v>84.027000000000001</c:v>
                </c:pt>
                <c:pt idx="86">
                  <c:v>84.989000000000004</c:v>
                </c:pt>
                <c:pt idx="87">
                  <c:v>85.988</c:v>
                </c:pt>
                <c:pt idx="88">
                  <c:v>87.024000000000001</c:v>
                </c:pt>
                <c:pt idx="89">
                  <c:v>88.022999999999996</c:v>
                </c:pt>
                <c:pt idx="90">
                  <c:v>89.022000000000006</c:v>
                </c:pt>
                <c:pt idx="91">
                  <c:v>90.021000000000001</c:v>
                </c:pt>
                <c:pt idx="92">
                  <c:v>91.02000000000001</c:v>
                </c:pt>
                <c:pt idx="93">
                  <c:v>92.019000000000005</c:v>
                </c:pt>
                <c:pt idx="94">
                  <c:v>93.018000000000001</c:v>
                </c:pt>
                <c:pt idx="95">
                  <c:v>94.01700000000001</c:v>
                </c:pt>
                <c:pt idx="96">
                  <c:v>95.016000000000005</c:v>
                </c:pt>
                <c:pt idx="97">
                  <c:v>96.015000000000001</c:v>
                </c:pt>
                <c:pt idx="98">
                  <c:v>97.013999999999996</c:v>
                </c:pt>
                <c:pt idx="99">
                  <c:v>98.013000000000005</c:v>
                </c:pt>
                <c:pt idx="100">
                  <c:v>99.012000000000015</c:v>
                </c:pt>
                <c:pt idx="101">
                  <c:v>100.01100000000001</c:v>
                </c:pt>
                <c:pt idx="102">
                  <c:v>101.047</c:v>
                </c:pt>
                <c:pt idx="103">
                  <c:v>102.04599999999999</c:v>
                </c:pt>
                <c:pt idx="104">
                  <c:v>103.04500000000002</c:v>
                </c:pt>
                <c:pt idx="105">
                  <c:v>104.04400000000001</c:v>
                </c:pt>
                <c:pt idx="106">
                  <c:v>105.04300000000001</c:v>
                </c:pt>
                <c:pt idx="107">
                  <c:v>106.042</c:v>
                </c:pt>
                <c:pt idx="108">
                  <c:v>107.04100000000001</c:v>
                </c:pt>
                <c:pt idx="109">
                  <c:v>108.04</c:v>
                </c:pt>
                <c:pt idx="110">
                  <c:v>109.00200000000001</c:v>
                </c:pt>
                <c:pt idx="111">
                  <c:v>110.038</c:v>
                </c:pt>
                <c:pt idx="112">
                  <c:v>111.03700000000001</c:v>
                </c:pt>
                <c:pt idx="113">
                  <c:v>112.03600000000002</c:v>
                </c:pt>
                <c:pt idx="114">
                  <c:v>113.03500000000001</c:v>
                </c:pt>
                <c:pt idx="115">
                  <c:v>114.03400000000001</c:v>
                </c:pt>
                <c:pt idx="116">
                  <c:v>115.033</c:v>
                </c:pt>
                <c:pt idx="117">
                  <c:v>116.032</c:v>
                </c:pt>
                <c:pt idx="118">
                  <c:v>117.03100000000001</c:v>
                </c:pt>
                <c:pt idx="119">
                  <c:v>118.03</c:v>
                </c:pt>
                <c:pt idx="120">
                  <c:v>119.02900000000001</c:v>
                </c:pt>
                <c:pt idx="121">
                  <c:v>120.02799999999999</c:v>
                </c:pt>
                <c:pt idx="122">
                  <c:v>120.99000000000002</c:v>
                </c:pt>
                <c:pt idx="123">
                  <c:v>121.989</c:v>
                </c:pt>
                <c:pt idx="124">
                  <c:v>123.02500000000001</c:v>
                </c:pt>
                <c:pt idx="125">
                  <c:v>124.02400000000002</c:v>
                </c:pt>
                <c:pt idx="126">
                  <c:v>125.023</c:v>
                </c:pt>
                <c:pt idx="127">
                  <c:v>126.02200000000002</c:v>
                </c:pt>
                <c:pt idx="128">
                  <c:v>127.021</c:v>
                </c:pt>
                <c:pt idx="129">
                  <c:v>128.02000000000001</c:v>
                </c:pt>
                <c:pt idx="130">
                  <c:v>129.01900000000001</c:v>
                </c:pt>
                <c:pt idx="131">
                  <c:v>130.018</c:v>
                </c:pt>
                <c:pt idx="132">
                  <c:v>131.017</c:v>
                </c:pt>
                <c:pt idx="133">
                  <c:v>132.01599999999999</c:v>
                </c:pt>
                <c:pt idx="134">
                  <c:v>133.01500000000001</c:v>
                </c:pt>
                <c:pt idx="135">
                  <c:v>134.01400000000001</c:v>
                </c:pt>
                <c:pt idx="136">
                  <c:v>135.01300000000001</c:v>
                </c:pt>
                <c:pt idx="137">
                  <c:v>136.012</c:v>
                </c:pt>
                <c:pt idx="138">
                  <c:v>137.048</c:v>
                </c:pt>
                <c:pt idx="139">
                  <c:v>138.04700000000003</c:v>
                </c:pt>
                <c:pt idx="140">
                  <c:v>139.04599999999999</c:v>
                </c:pt>
                <c:pt idx="141">
                  <c:v>140.04500000000002</c:v>
                </c:pt>
                <c:pt idx="142">
                  <c:v>141.00700000000001</c:v>
                </c:pt>
                <c:pt idx="143">
                  <c:v>142.04300000000001</c:v>
                </c:pt>
                <c:pt idx="144">
                  <c:v>143.042</c:v>
                </c:pt>
                <c:pt idx="145">
                  <c:v>144.041</c:v>
                </c:pt>
                <c:pt idx="146">
                  <c:v>145.00299999999999</c:v>
                </c:pt>
                <c:pt idx="147">
                  <c:v>146.03900000000002</c:v>
                </c:pt>
                <c:pt idx="148">
                  <c:v>147.03800000000001</c:v>
                </c:pt>
                <c:pt idx="149">
                  <c:v>148.03700000000001</c:v>
                </c:pt>
                <c:pt idx="150">
                  <c:v>149.036</c:v>
                </c:pt>
                <c:pt idx="151">
                  <c:v>150.035</c:v>
                </c:pt>
                <c:pt idx="152">
                  <c:v>151.03400000000002</c:v>
                </c:pt>
                <c:pt idx="153">
                  <c:v>151.96270000000001</c:v>
                </c:pt>
              </c:numCache>
            </c:numRef>
          </c:xVal>
          <c:yVal>
            <c:numRef>
              <c:f>'[1]Main Data'!$AR$2:$AR$158</c:f>
              <c:numCache>
                <c:formatCode>General</c:formatCode>
                <c:ptCount val="157"/>
                <c:pt idx="1">
                  <c:v>2.5165695124493404</c:v>
                </c:pt>
                <c:pt idx="2">
                  <c:v>5.0399503845288018</c:v>
                </c:pt>
                <c:pt idx="3">
                  <c:v>7.5981053693765137</c:v>
                </c:pt>
                <c:pt idx="4">
                  <c:v>7.5981053693765137</c:v>
                </c:pt>
                <c:pt idx="5">
                  <c:v>7.5981053693765137</c:v>
                </c:pt>
                <c:pt idx="6">
                  <c:v>7.5981053693765137</c:v>
                </c:pt>
                <c:pt idx="7">
                  <c:v>7.5981053693765137</c:v>
                </c:pt>
                <c:pt idx="8">
                  <c:v>10.298284120037739</c:v>
                </c:pt>
                <c:pt idx="9">
                  <c:v>10.298284120037739</c:v>
                </c:pt>
                <c:pt idx="10">
                  <c:v>13.040446259236049</c:v>
                </c:pt>
                <c:pt idx="11">
                  <c:v>15.800504664917035</c:v>
                </c:pt>
                <c:pt idx="12">
                  <c:v>18.5644250407817</c:v>
                </c:pt>
                <c:pt idx="13">
                  <c:v>21.308276193946796</c:v>
                </c:pt>
                <c:pt idx="14">
                  <c:v>23.187996144915541</c:v>
                </c:pt>
                <c:pt idx="15">
                  <c:v>25.53705140133501</c:v>
                </c:pt>
                <c:pt idx="16">
                  <c:v>27.691484516190879</c:v>
                </c:pt>
                <c:pt idx="17">
                  <c:v>27.691484516190879</c:v>
                </c:pt>
                <c:pt idx="18">
                  <c:v>29.465207484283759</c:v>
                </c:pt>
                <c:pt idx="19">
                  <c:v>30.89466709923272</c:v>
                </c:pt>
                <c:pt idx="20">
                  <c:v>30.89466709923272</c:v>
                </c:pt>
                <c:pt idx="21">
                  <c:v>30.89466709923272</c:v>
                </c:pt>
                <c:pt idx="22">
                  <c:v>32.876147397524669</c:v>
                </c:pt>
                <c:pt idx="23">
                  <c:v>33.801511103032198</c:v>
                </c:pt>
                <c:pt idx="24">
                  <c:v>34.674086055870518</c:v>
                </c:pt>
                <c:pt idx="25">
                  <c:v>36.816359055027064</c:v>
                </c:pt>
                <c:pt idx="26">
                  <c:v>36.816359055027064</c:v>
                </c:pt>
                <c:pt idx="27">
                  <c:v>36.816359055027064</c:v>
                </c:pt>
                <c:pt idx="28">
                  <c:v>36.816359055027064</c:v>
                </c:pt>
                <c:pt idx="29">
                  <c:v>36.816359055027064</c:v>
                </c:pt>
                <c:pt idx="30">
                  <c:v>36.816359055027064</c:v>
                </c:pt>
                <c:pt idx="31">
                  <c:v>36.816359055027064</c:v>
                </c:pt>
                <c:pt idx="32">
                  <c:v>36.816359055027064</c:v>
                </c:pt>
                <c:pt idx="33">
                  <c:v>37.475891074918479</c:v>
                </c:pt>
                <c:pt idx="34">
                  <c:v>37.475891074918479</c:v>
                </c:pt>
                <c:pt idx="35">
                  <c:v>38.0933351894341</c:v>
                </c:pt>
                <c:pt idx="36">
                  <c:v>38.711637441325045</c:v>
                </c:pt>
                <c:pt idx="37">
                  <c:v>40.566472923157285</c:v>
                </c:pt>
                <c:pt idx="38">
                  <c:v>40.566472923157285</c:v>
                </c:pt>
                <c:pt idx="39">
                  <c:v>40.566472923157285</c:v>
                </c:pt>
                <c:pt idx="40">
                  <c:v>41.412215008602686</c:v>
                </c:pt>
                <c:pt idx="41">
                  <c:v>42.295099143626729</c:v>
                </c:pt>
                <c:pt idx="42">
                  <c:v>43.189678101533488</c:v>
                </c:pt>
                <c:pt idx="43">
                  <c:v>43.189678101533488</c:v>
                </c:pt>
                <c:pt idx="44">
                  <c:v>44.147063022830416</c:v>
                </c:pt>
                <c:pt idx="45">
                  <c:v>44.147063022830416</c:v>
                </c:pt>
                <c:pt idx="46">
                  <c:v>44.147063022830416</c:v>
                </c:pt>
                <c:pt idx="47">
                  <c:v>45.30834586519201</c:v>
                </c:pt>
                <c:pt idx="48">
                  <c:v>45.30834586519201</c:v>
                </c:pt>
                <c:pt idx="49">
                  <c:v>45.30834586519201</c:v>
                </c:pt>
                <c:pt idx="50">
                  <c:v>45.30834586519201</c:v>
                </c:pt>
                <c:pt idx="51">
                  <c:v>46.345422500216756</c:v>
                </c:pt>
                <c:pt idx="52">
                  <c:v>46.345422500216756</c:v>
                </c:pt>
                <c:pt idx="53">
                  <c:v>47.564322108195675</c:v>
                </c:pt>
                <c:pt idx="54">
                  <c:v>47.564322108195675</c:v>
                </c:pt>
                <c:pt idx="55">
                  <c:v>48.606963488505343</c:v>
                </c:pt>
                <c:pt idx="56">
                  <c:v>48.606963488505343</c:v>
                </c:pt>
                <c:pt idx="57">
                  <c:v>48.606963488505343</c:v>
                </c:pt>
                <c:pt idx="58">
                  <c:v>49.790684121691548</c:v>
                </c:pt>
                <c:pt idx="59">
                  <c:v>52.258284915139697</c:v>
                </c:pt>
                <c:pt idx="60">
                  <c:v>52.258284915139697</c:v>
                </c:pt>
                <c:pt idx="61">
                  <c:v>53.612610119584502</c:v>
                </c:pt>
                <c:pt idx="62">
                  <c:v>53.612610119584502</c:v>
                </c:pt>
                <c:pt idx="63">
                  <c:v>55.121528765027072</c:v>
                </c:pt>
                <c:pt idx="64">
                  <c:v>56.707888903228678</c:v>
                </c:pt>
                <c:pt idx="65">
                  <c:v>57.083634301417369</c:v>
                </c:pt>
                <c:pt idx="66">
                  <c:v>58.801361283216494</c:v>
                </c:pt>
                <c:pt idx="67">
                  <c:v>61.171312969295911</c:v>
                </c:pt>
                <c:pt idx="68">
                  <c:v>62.895928398120027</c:v>
                </c:pt>
                <c:pt idx="69">
                  <c:v>64.449574286082765</c:v>
                </c:pt>
                <c:pt idx="70">
                  <c:v>65.886582114020868</c:v>
                </c:pt>
                <c:pt idx="71">
                  <c:v>67.341870633789185</c:v>
                </c:pt>
                <c:pt idx="72">
                  <c:v>68.898192911321317</c:v>
                </c:pt>
                <c:pt idx="73">
                  <c:v>69.647113994109276</c:v>
                </c:pt>
                <c:pt idx="74">
                  <c:v>69.647113994109276</c:v>
                </c:pt>
                <c:pt idx="75">
                  <c:v>71.26460238323601</c:v>
                </c:pt>
                <c:pt idx="76">
                  <c:v>71.26460238323601</c:v>
                </c:pt>
                <c:pt idx="77">
                  <c:v>73.059851722709595</c:v>
                </c:pt>
                <c:pt idx="78">
                  <c:v>73.059851722709595</c:v>
                </c:pt>
                <c:pt idx="79">
                  <c:v>73.059851722709595</c:v>
                </c:pt>
                <c:pt idx="80">
                  <c:v>75.000560523515915</c:v>
                </c:pt>
                <c:pt idx="81">
                  <c:v>76.986036702656179</c:v>
                </c:pt>
                <c:pt idx="82">
                  <c:v>79.014082411845379</c:v>
                </c:pt>
                <c:pt idx="83">
                  <c:v>79.014082411845379</c:v>
                </c:pt>
                <c:pt idx="84">
                  <c:v>81.124535075114395</c:v>
                </c:pt>
                <c:pt idx="85">
                  <c:v>81.124535075114395</c:v>
                </c:pt>
                <c:pt idx="86">
                  <c:v>81.124535075114395</c:v>
                </c:pt>
                <c:pt idx="87">
                  <c:v>83.361988882449808</c:v>
                </c:pt>
                <c:pt idx="88">
                  <c:v>83.361988882449808</c:v>
                </c:pt>
                <c:pt idx="89">
                  <c:v>83.361988882449808</c:v>
                </c:pt>
                <c:pt idx="90">
                  <c:v>83.361988882449808</c:v>
                </c:pt>
                <c:pt idx="91">
                  <c:v>85.741896602269705</c:v>
                </c:pt>
                <c:pt idx="92">
                  <c:v>88.161228118228323</c:v>
                </c:pt>
                <c:pt idx="93">
                  <c:v>90.652498126450595</c:v>
                </c:pt>
                <c:pt idx="94">
                  <c:v>91.159140160595058</c:v>
                </c:pt>
                <c:pt idx="95">
                  <c:v>93.684316632311763</c:v>
                </c:pt>
                <c:pt idx="96">
                  <c:v>96.242613482772327</c:v>
                </c:pt>
                <c:pt idx="97">
                  <c:v>98.832741054075598</c:v>
                </c:pt>
                <c:pt idx="98">
                  <c:v>101.45309661253293</c:v>
                </c:pt>
                <c:pt idx="99">
                  <c:v>104.10190301249861</c:v>
                </c:pt>
                <c:pt idx="100">
                  <c:v>106.77715710749794</c:v>
                </c:pt>
                <c:pt idx="101">
                  <c:v>109.47660742552276</c:v>
                </c:pt>
                <c:pt idx="102">
                  <c:v>111.3502660787307</c:v>
                </c:pt>
                <c:pt idx="103">
                  <c:v>111.3502660787307</c:v>
                </c:pt>
                <c:pt idx="104">
                  <c:v>113.83086882975594</c:v>
                </c:pt>
                <c:pt idx="105">
                  <c:v>113.83086882975594</c:v>
                </c:pt>
                <c:pt idx="106">
                  <c:v>115.97964079098377</c:v>
                </c:pt>
                <c:pt idx="107">
                  <c:v>115.97964079098377</c:v>
                </c:pt>
                <c:pt idx="108">
                  <c:v>115.97964079098377</c:v>
                </c:pt>
                <c:pt idx="109">
                  <c:v>117.68370957818408</c:v>
                </c:pt>
                <c:pt idx="110">
                  <c:v>119.38822576950679</c:v>
                </c:pt>
                <c:pt idx="111">
                  <c:v>120.86298975974115</c:v>
                </c:pt>
                <c:pt idx="112">
                  <c:v>120.86298975974115</c:v>
                </c:pt>
                <c:pt idx="113">
                  <c:v>122.24037169865798</c:v>
                </c:pt>
                <c:pt idx="114">
                  <c:v>122.24037169865798</c:v>
                </c:pt>
                <c:pt idx="115">
                  <c:v>122.24037169865798</c:v>
                </c:pt>
                <c:pt idx="116">
                  <c:v>123.60304698459844</c:v>
                </c:pt>
                <c:pt idx="117">
                  <c:v>123.60304698459844</c:v>
                </c:pt>
                <c:pt idx="118">
                  <c:v>125.00854914906337</c:v>
                </c:pt>
                <c:pt idx="119">
                  <c:v>126.55437829693679</c:v>
                </c:pt>
                <c:pt idx="120">
                  <c:v>128.15964132139356</c:v>
                </c:pt>
                <c:pt idx="121">
                  <c:v>128.15964132139356</c:v>
                </c:pt>
                <c:pt idx="122">
                  <c:v>129.94166168931503</c:v>
                </c:pt>
                <c:pt idx="123">
                  <c:v>131.77592739697917</c:v>
                </c:pt>
                <c:pt idx="124">
                  <c:v>131.77592739697917</c:v>
                </c:pt>
                <c:pt idx="125">
                  <c:v>131.77592739697917</c:v>
                </c:pt>
                <c:pt idx="126">
                  <c:v>133.75605186528335</c:v>
                </c:pt>
                <c:pt idx="127">
                  <c:v>135.7760290698757</c:v>
                </c:pt>
                <c:pt idx="128">
                  <c:v>137.82466950427931</c:v>
                </c:pt>
                <c:pt idx="129">
                  <c:v>139.82472960817603</c:v>
                </c:pt>
                <c:pt idx="130">
                  <c:v>139.82472960817603</c:v>
                </c:pt>
                <c:pt idx="131">
                  <c:v>139.82472960817603</c:v>
                </c:pt>
                <c:pt idx="132">
                  <c:v>139.82472960817603</c:v>
                </c:pt>
                <c:pt idx="133">
                  <c:v>139.82472960817603</c:v>
                </c:pt>
                <c:pt idx="134">
                  <c:v>139.82472960817603</c:v>
                </c:pt>
                <c:pt idx="135">
                  <c:v>139.82472960817603</c:v>
                </c:pt>
                <c:pt idx="136">
                  <c:v>139.82472960817603</c:v>
                </c:pt>
                <c:pt idx="137">
                  <c:v>139.82472960817603</c:v>
                </c:pt>
                <c:pt idx="138">
                  <c:v>139.82472960817603</c:v>
                </c:pt>
                <c:pt idx="139">
                  <c:v>139.82472960817603</c:v>
                </c:pt>
                <c:pt idx="140">
                  <c:v>139.82472960817603</c:v>
                </c:pt>
                <c:pt idx="141">
                  <c:v>139.82472960817603</c:v>
                </c:pt>
                <c:pt idx="142">
                  <c:v>139.82472960817603</c:v>
                </c:pt>
                <c:pt idx="143">
                  <c:v>139.82472960817603</c:v>
                </c:pt>
                <c:pt idx="144">
                  <c:v>139.82472960817603</c:v>
                </c:pt>
                <c:pt idx="145">
                  <c:v>139.82472960817603</c:v>
                </c:pt>
                <c:pt idx="146">
                  <c:v>139.82472960817603</c:v>
                </c:pt>
                <c:pt idx="147">
                  <c:v>142.16495406424869</c:v>
                </c:pt>
                <c:pt idx="148">
                  <c:v>142.16495406424869</c:v>
                </c:pt>
                <c:pt idx="149">
                  <c:v>144.27966105380861</c:v>
                </c:pt>
                <c:pt idx="150">
                  <c:v>146.43792478993836</c:v>
                </c:pt>
                <c:pt idx="151">
                  <c:v>148.63876168999096</c:v>
                </c:pt>
                <c:pt idx="152">
                  <c:v>150.88103860719281</c:v>
                </c:pt>
                <c:pt idx="153">
                  <c:v>153.29606162134121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F1-421C-913E-10DD5A48644F}"/>
            </c:ext>
          </c:extLst>
        </c:ser>
        <c:ser>
          <c:idx val="1"/>
          <c:order val="1"/>
          <c:tx>
            <c:strRef>
              <c:f>'SH Duty Cycle'!$AQ$1</c:f>
              <c:strCache>
                <c:ptCount val="1"/>
                <c:pt idx="0">
                  <c:v>Cumulative Fuel Usage Series Hybrid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'SH Duty Cycle'!$G:$G</c:f>
              <c:strCache>
                <c:ptCount val="155"/>
                <c:pt idx="0">
                  <c:v>Time(s)</c:v>
                </c:pt>
                <c:pt idx="2">
                  <c:v>0.0</c:v>
                </c:pt>
                <c:pt idx="3">
                  <c:v>1.0</c:v>
                </c:pt>
                <c:pt idx="4">
                  <c:v>2.0</c:v>
                </c:pt>
                <c:pt idx="5">
                  <c:v>3.0</c:v>
                </c:pt>
                <c:pt idx="6">
                  <c:v>4.0</c:v>
                </c:pt>
                <c:pt idx="7">
                  <c:v>5.0</c:v>
                </c:pt>
                <c:pt idx="8">
                  <c:v>6.0</c:v>
                </c:pt>
                <c:pt idx="9">
                  <c:v>7.0</c:v>
                </c:pt>
                <c:pt idx="10">
                  <c:v>8.0</c:v>
                </c:pt>
                <c:pt idx="11">
                  <c:v>9.0</c:v>
                </c:pt>
                <c:pt idx="12">
                  <c:v>10.0</c:v>
                </c:pt>
                <c:pt idx="13">
                  <c:v>11.0</c:v>
                </c:pt>
                <c:pt idx="14">
                  <c:v>12.0</c:v>
                </c:pt>
                <c:pt idx="15">
                  <c:v>13.0</c:v>
                </c:pt>
                <c:pt idx="16">
                  <c:v>14.0</c:v>
                </c:pt>
                <c:pt idx="17">
                  <c:v>15.0</c:v>
                </c:pt>
                <c:pt idx="18">
                  <c:v>16.0</c:v>
                </c:pt>
                <c:pt idx="19">
                  <c:v>17.0</c:v>
                </c:pt>
                <c:pt idx="20">
                  <c:v>18.0</c:v>
                </c:pt>
                <c:pt idx="21">
                  <c:v>19.0</c:v>
                </c:pt>
                <c:pt idx="22">
                  <c:v>20.0</c:v>
                </c:pt>
                <c:pt idx="23">
                  <c:v>21.0</c:v>
                </c:pt>
                <c:pt idx="24">
                  <c:v>22.0</c:v>
                </c:pt>
                <c:pt idx="25">
                  <c:v>23.0</c:v>
                </c:pt>
                <c:pt idx="26">
                  <c:v>24.0</c:v>
                </c:pt>
                <c:pt idx="27">
                  <c:v>25.0</c:v>
                </c:pt>
                <c:pt idx="28">
                  <c:v>26.0</c:v>
                </c:pt>
                <c:pt idx="29">
                  <c:v>27.0</c:v>
                </c:pt>
                <c:pt idx="30">
                  <c:v>28.0</c:v>
                </c:pt>
                <c:pt idx="31">
                  <c:v>29.0</c:v>
                </c:pt>
                <c:pt idx="32">
                  <c:v>30.0</c:v>
                </c:pt>
                <c:pt idx="33">
                  <c:v>31.0</c:v>
                </c:pt>
                <c:pt idx="34">
                  <c:v>32.0</c:v>
                </c:pt>
                <c:pt idx="35">
                  <c:v>33.0</c:v>
                </c:pt>
                <c:pt idx="36">
                  <c:v>34.0</c:v>
                </c:pt>
                <c:pt idx="37">
                  <c:v>35.0</c:v>
                </c:pt>
                <c:pt idx="38">
                  <c:v>36.0</c:v>
                </c:pt>
                <c:pt idx="39">
                  <c:v>37.0</c:v>
                </c:pt>
                <c:pt idx="40">
                  <c:v>38.0</c:v>
                </c:pt>
                <c:pt idx="41">
                  <c:v>39.0</c:v>
                </c:pt>
                <c:pt idx="42">
                  <c:v>40.0</c:v>
                </c:pt>
                <c:pt idx="43">
                  <c:v>41.0</c:v>
                </c:pt>
                <c:pt idx="44">
                  <c:v>42.0</c:v>
                </c:pt>
                <c:pt idx="45">
                  <c:v>43.0</c:v>
                </c:pt>
                <c:pt idx="46">
                  <c:v>44.0</c:v>
                </c:pt>
                <c:pt idx="47">
                  <c:v>45.0</c:v>
                </c:pt>
                <c:pt idx="48">
                  <c:v>46.0</c:v>
                </c:pt>
                <c:pt idx="49">
                  <c:v>47.0</c:v>
                </c:pt>
                <c:pt idx="50">
                  <c:v>48.0</c:v>
                </c:pt>
                <c:pt idx="51">
                  <c:v>49.0</c:v>
                </c:pt>
                <c:pt idx="52">
                  <c:v>50.0</c:v>
                </c:pt>
                <c:pt idx="53">
                  <c:v>51.0</c:v>
                </c:pt>
                <c:pt idx="54">
                  <c:v>52.0</c:v>
                </c:pt>
                <c:pt idx="55">
                  <c:v>53.0</c:v>
                </c:pt>
                <c:pt idx="56">
                  <c:v>54.0</c:v>
                </c:pt>
                <c:pt idx="57">
                  <c:v>55.0</c:v>
                </c:pt>
                <c:pt idx="58">
                  <c:v>56.0</c:v>
                </c:pt>
                <c:pt idx="59">
                  <c:v>57.0</c:v>
                </c:pt>
                <c:pt idx="60">
                  <c:v>58.0</c:v>
                </c:pt>
                <c:pt idx="61">
                  <c:v>59.0</c:v>
                </c:pt>
                <c:pt idx="62">
                  <c:v>60.0</c:v>
                </c:pt>
                <c:pt idx="63">
                  <c:v>61.0</c:v>
                </c:pt>
                <c:pt idx="64">
                  <c:v>62.0</c:v>
                </c:pt>
                <c:pt idx="65">
                  <c:v>63.0</c:v>
                </c:pt>
                <c:pt idx="66">
                  <c:v>64.0</c:v>
                </c:pt>
                <c:pt idx="67">
                  <c:v>65.0</c:v>
                </c:pt>
                <c:pt idx="68">
                  <c:v>66.0</c:v>
                </c:pt>
                <c:pt idx="69">
                  <c:v>67.0</c:v>
                </c:pt>
                <c:pt idx="70">
                  <c:v>68.0</c:v>
                </c:pt>
                <c:pt idx="71">
                  <c:v>69.0</c:v>
                </c:pt>
                <c:pt idx="72">
                  <c:v>70.0</c:v>
                </c:pt>
                <c:pt idx="73">
                  <c:v>71.0</c:v>
                </c:pt>
                <c:pt idx="74">
                  <c:v>72.0</c:v>
                </c:pt>
                <c:pt idx="75">
                  <c:v>73.0</c:v>
                </c:pt>
                <c:pt idx="76">
                  <c:v>74.0</c:v>
                </c:pt>
                <c:pt idx="77">
                  <c:v>75.0</c:v>
                </c:pt>
                <c:pt idx="78">
                  <c:v>76.0</c:v>
                </c:pt>
                <c:pt idx="79">
                  <c:v>77.0</c:v>
                </c:pt>
                <c:pt idx="80">
                  <c:v>78.0</c:v>
                </c:pt>
                <c:pt idx="81">
                  <c:v>79.0</c:v>
                </c:pt>
                <c:pt idx="82">
                  <c:v>80.0</c:v>
                </c:pt>
                <c:pt idx="83">
                  <c:v>81.0</c:v>
                </c:pt>
                <c:pt idx="84">
                  <c:v>82.0</c:v>
                </c:pt>
                <c:pt idx="85">
                  <c:v>83.0</c:v>
                </c:pt>
                <c:pt idx="86">
                  <c:v>84.0</c:v>
                </c:pt>
                <c:pt idx="87">
                  <c:v>85.0</c:v>
                </c:pt>
                <c:pt idx="88">
                  <c:v>86.0</c:v>
                </c:pt>
                <c:pt idx="89">
                  <c:v>87.0</c:v>
                </c:pt>
                <c:pt idx="90">
                  <c:v>88.0</c:v>
                </c:pt>
                <c:pt idx="91">
                  <c:v>89.0</c:v>
                </c:pt>
                <c:pt idx="92">
                  <c:v>90.0</c:v>
                </c:pt>
                <c:pt idx="93">
                  <c:v>91.0</c:v>
                </c:pt>
                <c:pt idx="94">
                  <c:v>92.0</c:v>
                </c:pt>
                <c:pt idx="95">
                  <c:v>93.0</c:v>
                </c:pt>
                <c:pt idx="96">
                  <c:v>94.0</c:v>
                </c:pt>
                <c:pt idx="97">
                  <c:v>95.0</c:v>
                </c:pt>
                <c:pt idx="98">
                  <c:v>96.0</c:v>
                </c:pt>
                <c:pt idx="99">
                  <c:v>97.0</c:v>
                </c:pt>
                <c:pt idx="100">
                  <c:v>98.0</c:v>
                </c:pt>
                <c:pt idx="101">
                  <c:v>99.0</c:v>
                </c:pt>
                <c:pt idx="102">
                  <c:v>100.0</c:v>
                </c:pt>
                <c:pt idx="103">
                  <c:v>101.0</c:v>
                </c:pt>
                <c:pt idx="104">
                  <c:v>102.0</c:v>
                </c:pt>
                <c:pt idx="105">
                  <c:v>103.0</c:v>
                </c:pt>
                <c:pt idx="106">
                  <c:v>104.0</c:v>
                </c:pt>
                <c:pt idx="107">
                  <c:v>105.0</c:v>
                </c:pt>
                <c:pt idx="108">
                  <c:v>106.0</c:v>
                </c:pt>
                <c:pt idx="109">
                  <c:v>107.0</c:v>
                </c:pt>
                <c:pt idx="110">
                  <c:v>108.0</c:v>
                </c:pt>
                <c:pt idx="111">
                  <c:v>109.0</c:v>
                </c:pt>
                <c:pt idx="112">
                  <c:v>110.0</c:v>
                </c:pt>
                <c:pt idx="113">
                  <c:v>111.0</c:v>
                </c:pt>
                <c:pt idx="114">
                  <c:v>112.0</c:v>
                </c:pt>
                <c:pt idx="115">
                  <c:v>113.0</c:v>
                </c:pt>
                <c:pt idx="116">
                  <c:v>114.0</c:v>
                </c:pt>
                <c:pt idx="117">
                  <c:v>115.0</c:v>
                </c:pt>
                <c:pt idx="118">
                  <c:v>116.0</c:v>
                </c:pt>
                <c:pt idx="119">
                  <c:v>117.0</c:v>
                </c:pt>
                <c:pt idx="120">
                  <c:v>118.0</c:v>
                </c:pt>
                <c:pt idx="121">
                  <c:v>119.0</c:v>
                </c:pt>
                <c:pt idx="122">
                  <c:v>120.0</c:v>
                </c:pt>
                <c:pt idx="123">
                  <c:v>121.0</c:v>
                </c:pt>
                <c:pt idx="124">
                  <c:v>122.0</c:v>
                </c:pt>
                <c:pt idx="125">
                  <c:v>123.0</c:v>
                </c:pt>
                <c:pt idx="126">
                  <c:v>124.0</c:v>
                </c:pt>
                <c:pt idx="127">
                  <c:v>125.0</c:v>
                </c:pt>
                <c:pt idx="128">
                  <c:v>126.0</c:v>
                </c:pt>
                <c:pt idx="129">
                  <c:v>127.0</c:v>
                </c:pt>
                <c:pt idx="130">
                  <c:v>128.0</c:v>
                </c:pt>
                <c:pt idx="131">
                  <c:v>129.0</c:v>
                </c:pt>
                <c:pt idx="132">
                  <c:v>130.0</c:v>
                </c:pt>
                <c:pt idx="133">
                  <c:v>131.0</c:v>
                </c:pt>
                <c:pt idx="134">
                  <c:v>132.0</c:v>
                </c:pt>
                <c:pt idx="135">
                  <c:v>133.0</c:v>
                </c:pt>
                <c:pt idx="136">
                  <c:v>134.0</c:v>
                </c:pt>
                <c:pt idx="137">
                  <c:v>135.0</c:v>
                </c:pt>
                <c:pt idx="138">
                  <c:v>136.0</c:v>
                </c:pt>
                <c:pt idx="139">
                  <c:v>137.0</c:v>
                </c:pt>
                <c:pt idx="140">
                  <c:v>138.0</c:v>
                </c:pt>
                <c:pt idx="141">
                  <c:v>139.0</c:v>
                </c:pt>
                <c:pt idx="142">
                  <c:v>140.0</c:v>
                </c:pt>
                <c:pt idx="143">
                  <c:v>141.0</c:v>
                </c:pt>
                <c:pt idx="144">
                  <c:v>142.0</c:v>
                </c:pt>
                <c:pt idx="145">
                  <c:v>143.0</c:v>
                </c:pt>
                <c:pt idx="146">
                  <c:v>144.0</c:v>
                </c:pt>
                <c:pt idx="147">
                  <c:v>145.0</c:v>
                </c:pt>
                <c:pt idx="148">
                  <c:v>146.0</c:v>
                </c:pt>
                <c:pt idx="149">
                  <c:v>147.0</c:v>
                </c:pt>
                <c:pt idx="150">
                  <c:v>148.0</c:v>
                </c:pt>
                <c:pt idx="151">
                  <c:v>149.0</c:v>
                </c:pt>
                <c:pt idx="152">
                  <c:v>150.0</c:v>
                </c:pt>
                <c:pt idx="153">
                  <c:v>151.0</c:v>
                </c:pt>
                <c:pt idx="154">
                  <c:v>152.0</c:v>
                </c:pt>
              </c:strCache>
            </c:strRef>
          </c:xVal>
          <c:yVal>
            <c:numRef>
              <c:f>'SH Duty Cycle'!$AQ$3:$AQ$155</c:f>
              <c:numCache>
                <c:formatCode>0.00</c:formatCode>
                <c:ptCount val="153"/>
                <c:pt idx="0">
                  <c:v>1.596536735596745</c:v>
                </c:pt>
                <c:pt idx="1">
                  <c:v>3.1973946655078347</c:v>
                </c:pt>
                <c:pt idx="2">
                  <c:v>4.8203136385205161</c:v>
                </c:pt>
                <c:pt idx="3">
                  <c:v>4.8203136385205161</c:v>
                </c:pt>
                <c:pt idx="4">
                  <c:v>4.8203136385205161</c:v>
                </c:pt>
                <c:pt idx="5">
                  <c:v>4.8203136385205161</c:v>
                </c:pt>
                <c:pt idx="6">
                  <c:v>4.8203136385205161</c:v>
                </c:pt>
                <c:pt idx="7">
                  <c:v>6.5333339015342728</c:v>
                </c:pt>
                <c:pt idx="8">
                  <c:v>6.5333339015342728</c:v>
                </c:pt>
                <c:pt idx="9">
                  <c:v>8.2729888439211603</c:v>
                </c:pt>
                <c:pt idx="10">
                  <c:v>10.023997355811405</c:v>
                </c:pt>
                <c:pt idx="11">
                  <c:v>11.777455940008224</c:v>
                </c:pt>
                <c:pt idx="12">
                  <c:v>13.518182409659339</c:v>
                </c:pt>
                <c:pt idx="13">
                  <c:v>15.133188483175632</c:v>
                </c:pt>
                <c:pt idx="14">
                  <c:v>16.623452508177728</c:v>
                </c:pt>
                <c:pt idx="15">
                  <c:v>17.990246310311083</c:v>
                </c:pt>
                <c:pt idx="16">
                  <c:v>17.990246310311083</c:v>
                </c:pt>
                <c:pt idx="17">
                  <c:v>19.115513807721005</c:v>
                </c:pt>
                <c:pt idx="18">
                  <c:v>20.12313980901105</c:v>
                </c:pt>
                <c:pt idx="19">
                  <c:v>20.12313980901105</c:v>
                </c:pt>
                <c:pt idx="20">
                  <c:v>20.12313980901105</c:v>
                </c:pt>
                <c:pt idx="21">
                  <c:v>20.805544472846613</c:v>
                </c:pt>
                <c:pt idx="22">
                  <c:v>21.40765723289951</c:v>
                </c:pt>
                <c:pt idx="23">
                  <c:v>21.947725751116476</c:v>
                </c:pt>
                <c:pt idx="24">
                  <c:v>22.451155931376416</c:v>
                </c:pt>
                <c:pt idx="25">
                  <c:v>22.451155931376416</c:v>
                </c:pt>
                <c:pt idx="26">
                  <c:v>22.451155931376416</c:v>
                </c:pt>
                <c:pt idx="27">
                  <c:v>22.451155931376416</c:v>
                </c:pt>
                <c:pt idx="28">
                  <c:v>22.451155931376416</c:v>
                </c:pt>
                <c:pt idx="29">
                  <c:v>22.451155931376416</c:v>
                </c:pt>
                <c:pt idx="30">
                  <c:v>22.451155931376416</c:v>
                </c:pt>
                <c:pt idx="31">
                  <c:v>22.451155931376416</c:v>
                </c:pt>
                <c:pt idx="32">
                  <c:v>22.85936439477635</c:v>
                </c:pt>
                <c:pt idx="33">
                  <c:v>22.85936439477635</c:v>
                </c:pt>
                <c:pt idx="34">
                  <c:v>23.223748291603798</c:v>
                </c:pt>
                <c:pt idx="35">
                  <c:v>23.588638617164602</c:v>
                </c:pt>
                <c:pt idx="36">
                  <c:v>23.975176480772141</c:v>
                </c:pt>
                <c:pt idx="37">
                  <c:v>23.975176480772141</c:v>
                </c:pt>
                <c:pt idx="38">
                  <c:v>23.975176480772141</c:v>
                </c:pt>
                <c:pt idx="39">
                  <c:v>24.498637157009153</c:v>
                </c:pt>
                <c:pt idx="40">
                  <c:v>25.073109443076042</c:v>
                </c:pt>
                <c:pt idx="41">
                  <c:v>25.655191279898311</c:v>
                </c:pt>
                <c:pt idx="42">
                  <c:v>25.655191279898311</c:v>
                </c:pt>
                <c:pt idx="43">
                  <c:v>26.278139504433391</c:v>
                </c:pt>
                <c:pt idx="44">
                  <c:v>26.278139504433391</c:v>
                </c:pt>
                <c:pt idx="45">
                  <c:v>26.278139504433391</c:v>
                </c:pt>
                <c:pt idx="46">
                  <c:v>27.053644124000744</c:v>
                </c:pt>
                <c:pt idx="47">
                  <c:v>27.053644124000744</c:v>
                </c:pt>
                <c:pt idx="48">
                  <c:v>27.053644124000744</c:v>
                </c:pt>
                <c:pt idx="49">
                  <c:v>27.053644124000744</c:v>
                </c:pt>
                <c:pt idx="50">
                  <c:v>27.746203844999908</c:v>
                </c:pt>
                <c:pt idx="51">
                  <c:v>27.746203844999908</c:v>
                </c:pt>
                <c:pt idx="52">
                  <c:v>28.436661302612649</c:v>
                </c:pt>
                <c:pt idx="53">
                  <c:v>28.436661302612649</c:v>
                </c:pt>
                <c:pt idx="54">
                  <c:v>29.132937160213288</c:v>
                </c:pt>
                <c:pt idx="55">
                  <c:v>29.132937160213288</c:v>
                </c:pt>
                <c:pt idx="56">
                  <c:v>29.132937160213288</c:v>
                </c:pt>
                <c:pt idx="57">
                  <c:v>29.923425735284528</c:v>
                </c:pt>
                <c:pt idx="58">
                  <c:v>30.749455968636884</c:v>
                </c:pt>
                <c:pt idx="59">
                  <c:v>30.749455968636884</c:v>
                </c:pt>
                <c:pt idx="60">
                  <c:v>31.653874267203648</c:v>
                </c:pt>
                <c:pt idx="61">
                  <c:v>31.653874267203648</c:v>
                </c:pt>
                <c:pt idx="62">
                  <c:v>32.635692729388097</c:v>
                </c:pt>
                <c:pt idx="63">
                  <c:v>33.653183765464327</c:v>
                </c:pt>
                <c:pt idx="64">
                  <c:v>34.707218640384163</c:v>
                </c:pt>
                <c:pt idx="65">
                  <c:v>35.796961726995299</c:v>
                </c:pt>
                <c:pt idx="66">
                  <c:v>36.921728253817278</c:v>
                </c:pt>
                <c:pt idx="67">
                  <c:v>38.01584143975299</c:v>
                </c:pt>
                <c:pt idx="68">
                  <c:v>39.042558531698774</c:v>
                </c:pt>
                <c:pt idx="69">
                  <c:v>40.055505267895626</c:v>
                </c:pt>
                <c:pt idx="70">
                  <c:v>41.081338062724051</c:v>
                </c:pt>
                <c:pt idx="71">
                  <c:v>42.109823829846647</c:v>
                </c:pt>
                <c:pt idx="72">
                  <c:v>43.142132697671336</c:v>
                </c:pt>
                <c:pt idx="73">
                  <c:v>43.142132697671336</c:v>
                </c:pt>
                <c:pt idx="74">
                  <c:v>44.211039704092151</c:v>
                </c:pt>
                <c:pt idx="75">
                  <c:v>44.211039704092151</c:v>
                </c:pt>
                <c:pt idx="76">
                  <c:v>45.349963745667999</c:v>
                </c:pt>
                <c:pt idx="77">
                  <c:v>45.349963745667999</c:v>
                </c:pt>
                <c:pt idx="78">
                  <c:v>45.349963745667999</c:v>
                </c:pt>
                <c:pt idx="79">
                  <c:v>46.581168716663434</c:v>
                </c:pt>
                <c:pt idx="80">
                  <c:v>47.840774557856555</c:v>
                </c:pt>
                <c:pt idx="81">
                  <c:v>49.127386932429339</c:v>
                </c:pt>
                <c:pt idx="82">
                  <c:v>49.127386932429339</c:v>
                </c:pt>
                <c:pt idx="83">
                  <c:v>50.466279098522371</c:v>
                </c:pt>
                <c:pt idx="84">
                  <c:v>50.466279098522371</c:v>
                </c:pt>
                <c:pt idx="85">
                  <c:v>50.466279098522371</c:v>
                </c:pt>
                <c:pt idx="86">
                  <c:v>51.885742053922733</c:v>
                </c:pt>
                <c:pt idx="87">
                  <c:v>51.885742053922733</c:v>
                </c:pt>
                <c:pt idx="88">
                  <c:v>51.885742053922733</c:v>
                </c:pt>
                <c:pt idx="89">
                  <c:v>51.885742053922733</c:v>
                </c:pt>
                <c:pt idx="90">
                  <c:v>53.395579188651688</c:v>
                </c:pt>
                <c:pt idx="91">
                  <c:v>54.93042717187133</c:v>
                </c:pt>
                <c:pt idx="92">
                  <c:v>56.488245902691773</c:v>
                </c:pt>
                <c:pt idx="93">
                  <c:v>58.068512211060579</c:v>
                </c:pt>
                <c:pt idx="94">
                  <c:v>59.670509287245636</c:v>
                </c:pt>
                <c:pt idx="95">
                  <c:v>61.293518261214501</c:v>
                </c:pt>
                <c:pt idx="96">
                  <c:v>62.936720961164113</c:v>
                </c:pt>
                <c:pt idx="97">
                  <c:v>64.599100596897088</c:v>
                </c:pt>
                <c:pt idx="98">
                  <c:v>66.279529729535284</c:v>
                </c:pt>
                <c:pt idx="99">
                  <c:v>67.976737543026204</c:v>
                </c:pt>
                <c:pt idx="100">
                  <c:v>69.689295681128371</c:v>
                </c:pt>
                <c:pt idx="101">
                  <c:v>71.416093621590434</c:v>
                </c:pt>
                <c:pt idx="102">
                  <c:v>71.416093621590434</c:v>
                </c:pt>
                <c:pt idx="103">
                  <c:v>72.989812685912881</c:v>
                </c:pt>
                <c:pt idx="104">
                  <c:v>72.989812685912881</c:v>
                </c:pt>
                <c:pt idx="105">
                  <c:v>74.353014995862807</c:v>
                </c:pt>
                <c:pt idx="106">
                  <c:v>74.353014995862807</c:v>
                </c:pt>
                <c:pt idx="107">
                  <c:v>74.353014995862807</c:v>
                </c:pt>
                <c:pt idx="108">
                  <c:v>75.43409318793752</c:v>
                </c:pt>
                <c:pt idx="109">
                  <c:v>76.515455217638632</c:v>
                </c:pt>
                <c:pt idx="110">
                  <c:v>77.490043704687807</c:v>
                </c:pt>
                <c:pt idx="111">
                  <c:v>77.490043704687807</c:v>
                </c:pt>
                <c:pt idx="112">
                  <c:v>78.409859289292854</c:v>
                </c:pt>
                <c:pt idx="113">
                  <c:v>78.409859289292854</c:v>
                </c:pt>
                <c:pt idx="114">
                  <c:v>78.409859289292854</c:v>
                </c:pt>
                <c:pt idx="115">
                  <c:v>79.370409020862553</c:v>
                </c:pt>
                <c:pt idx="116">
                  <c:v>79.370409020862553</c:v>
                </c:pt>
                <c:pt idx="117">
                  <c:v>80.361147416668771</c:v>
                </c:pt>
                <c:pt idx="118">
                  <c:v>81.382698865197867</c:v>
                </c:pt>
                <c:pt idx="119">
                  <c:v>82.44352681643683</c:v>
                </c:pt>
                <c:pt idx="120">
                  <c:v>82.44352681643683</c:v>
                </c:pt>
                <c:pt idx="121">
                  <c:v>83.574058266847359</c:v>
                </c:pt>
                <c:pt idx="122">
                  <c:v>84.737734680570142</c:v>
                </c:pt>
                <c:pt idx="123">
                  <c:v>84.737734680570142</c:v>
                </c:pt>
                <c:pt idx="124">
                  <c:v>84.737734680570142</c:v>
                </c:pt>
                <c:pt idx="125">
                  <c:v>85.993945343165635</c:v>
                </c:pt>
                <c:pt idx="126">
                  <c:v>87.275438978150078</c:v>
                </c:pt>
                <c:pt idx="127">
                  <c:v>88.575116851292108</c:v>
                </c:pt>
                <c:pt idx="128">
                  <c:v>89.843974879443564</c:v>
                </c:pt>
                <c:pt idx="129">
                  <c:v>89.843974879443564</c:v>
                </c:pt>
                <c:pt idx="130">
                  <c:v>89.843974879443564</c:v>
                </c:pt>
                <c:pt idx="131">
                  <c:v>89.843974879443564</c:v>
                </c:pt>
                <c:pt idx="132">
                  <c:v>89.843974879443564</c:v>
                </c:pt>
                <c:pt idx="133">
                  <c:v>89.843974879443564</c:v>
                </c:pt>
                <c:pt idx="134">
                  <c:v>89.843974879443564</c:v>
                </c:pt>
                <c:pt idx="135">
                  <c:v>89.843974879443564</c:v>
                </c:pt>
                <c:pt idx="136">
                  <c:v>89.843974879443564</c:v>
                </c:pt>
                <c:pt idx="137">
                  <c:v>89.843974879443564</c:v>
                </c:pt>
                <c:pt idx="138">
                  <c:v>89.843974879443564</c:v>
                </c:pt>
                <c:pt idx="139">
                  <c:v>89.843974879443564</c:v>
                </c:pt>
                <c:pt idx="140">
                  <c:v>89.843974879443564</c:v>
                </c:pt>
                <c:pt idx="141">
                  <c:v>89.843974879443564</c:v>
                </c:pt>
                <c:pt idx="142">
                  <c:v>89.843974879443564</c:v>
                </c:pt>
                <c:pt idx="143">
                  <c:v>89.843974879443564</c:v>
                </c:pt>
                <c:pt idx="144">
                  <c:v>89.843974879443564</c:v>
                </c:pt>
                <c:pt idx="145">
                  <c:v>89.843974879443564</c:v>
                </c:pt>
                <c:pt idx="146">
                  <c:v>91.128949500422834</c:v>
                </c:pt>
                <c:pt idx="147">
                  <c:v>91.128949500422834</c:v>
                </c:pt>
                <c:pt idx="148">
                  <c:v>92.470540653440352</c:v>
                </c:pt>
                <c:pt idx="149">
                  <c:v>93.839764639820032</c:v>
                </c:pt>
                <c:pt idx="150">
                  <c:v>95.235997464945129</c:v>
                </c:pt>
                <c:pt idx="151">
                  <c:v>96.658520249229014</c:v>
                </c:pt>
                <c:pt idx="152">
                  <c:v>98.104686448714745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7F1-421C-913E-10DD5A4864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8040943"/>
        <c:axId val="1788038447"/>
      </c:scatterChart>
      <c:valAx>
        <c:axId val="1788040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38447"/>
        <c:crosses val="autoZero"/>
        <c:crossBetween val="midCat"/>
      </c:valAx>
      <c:valAx>
        <c:axId val="1788038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Used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0409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6826560913462461"/>
          <c:y val="0.2753819408937519"/>
          <c:w val="0.17438471391076113"/>
          <c:h val="9.74032791355626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chart" Target="../charts/chart2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image" Target="../media/image2.png"/><Relationship Id="rId10" Type="http://schemas.openxmlformats.org/officeDocument/2006/relationships/image" Target="../media/image3.png"/><Relationship Id="rId4" Type="http://schemas.openxmlformats.org/officeDocument/2006/relationships/chart" Target="../charts/chart3.xml"/><Relationship Id="rId9" Type="http://schemas.openxmlformats.org/officeDocument/2006/relationships/chart" Target="../charts/chart7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131</xdr:col>
      <xdr:colOff>466697</xdr:colOff>
      <xdr:row>113</xdr:row>
      <xdr:rowOff>98002</xdr:rowOff>
    </xdr:from>
    <xdr:to>
      <xdr:col>180</xdr:col>
      <xdr:colOff>140820</xdr:colOff>
      <xdr:row>150</xdr:row>
      <xdr:rowOff>123402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7A183A8-96A6-41C6-8E23-96CC3CB4D3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58</xdr:col>
      <xdr:colOff>364217</xdr:colOff>
      <xdr:row>27</xdr:row>
      <xdr:rowOff>26609</xdr:rowOff>
    </xdr:from>
    <xdr:to>
      <xdr:col>69</xdr:col>
      <xdr:colOff>289200</xdr:colOff>
      <xdr:row>47</xdr:row>
      <xdr:rowOff>35597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E7405F9-F29F-44D0-AC44-1E77FB06A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981067" y="5170109"/>
          <a:ext cx="6954433" cy="3818988"/>
        </a:xfrm>
        <a:prstGeom prst="rect">
          <a:avLst/>
        </a:prstGeom>
      </xdr:spPr>
    </xdr:pic>
    <xdr:clientData/>
  </xdr:twoCellAnchor>
  <xdr:twoCellAnchor>
    <xdr:from>
      <xdr:col>164</xdr:col>
      <xdr:colOff>355600</xdr:colOff>
      <xdr:row>45</xdr:row>
      <xdr:rowOff>30480</xdr:rowOff>
    </xdr:from>
    <xdr:to>
      <xdr:col>176</xdr:col>
      <xdr:colOff>63501</xdr:colOff>
      <xdr:row>64</xdr:row>
      <xdr:rowOff>44239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E187819-00E1-4C0F-A31B-0CA4BF7C3F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164</xdr:col>
      <xdr:colOff>355600</xdr:colOff>
      <xdr:row>65</xdr:row>
      <xdr:rowOff>69427</xdr:rowOff>
    </xdr:from>
    <xdr:to>
      <xdr:col>176</xdr:col>
      <xdr:colOff>76200</xdr:colOff>
      <xdr:row>81</xdr:row>
      <xdr:rowOff>141394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4773415-9660-4604-A18C-A767A00C35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47</xdr:col>
      <xdr:colOff>772885</xdr:colOff>
      <xdr:row>30</xdr:row>
      <xdr:rowOff>85268</xdr:rowOff>
    </xdr:from>
    <xdr:to>
      <xdr:col>54</xdr:col>
      <xdr:colOff>400958</xdr:colOff>
      <xdr:row>51</xdr:row>
      <xdr:rowOff>57425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249D91D-AA43-423F-AD79-783B46225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693285" y="5800268"/>
          <a:ext cx="6886123" cy="3972657"/>
        </a:xfrm>
        <a:prstGeom prst="rect">
          <a:avLst/>
        </a:prstGeom>
      </xdr:spPr>
    </xdr:pic>
    <xdr:clientData/>
  </xdr:twoCellAnchor>
  <xdr:twoCellAnchor>
    <xdr:from>
      <xdr:col>142</xdr:col>
      <xdr:colOff>374650</xdr:colOff>
      <xdr:row>80</xdr:row>
      <xdr:rowOff>30480</xdr:rowOff>
    </xdr:from>
    <xdr:to>
      <xdr:col>163</xdr:col>
      <xdr:colOff>546100</xdr:colOff>
      <xdr:row>111</xdr:row>
      <xdr:rowOff>175260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6984995-EB57-45B6-9C58-FB8A91DEE3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134</xdr:col>
      <xdr:colOff>412115</xdr:colOff>
      <xdr:row>74</xdr:row>
      <xdr:rowOff>126046</xdr:rowOff>
    </xdr:from>
    <xdr:to>
      <xdr:col>157</xdr:col>
      <xdr:colOff>400050</xdr:colOff>
      <xdr:row>113</xdr:row>
      <xdr:rowOff>92709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C995525-5E7A-4A5A-BF95-9601C2F6A6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136</xdr:col>
      <xdr:colOff>603250</xdr:colOff>
      <xdr:row>34</xdr:row>
      <xdr:rowOff>51116</xdr:rowOff>
    </xdr:from>
    <xdr:to>
      <xdr:col>154</xdr:col>
      <xdr:colOff>379095</xdr:colOff>
      <xdr:row>65</xdr:row>
      <xdr:rowOff>149859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DA02857-79B3-4AC5-B68C-851AD9A756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130</xdr:col>
      <xdr:colOff>329881</xdr:colOff>
      <xdr:row>76</xdr:row>
      <xdr:rowOff>124460</xdr:rowOff>
    </xdr:from>
    <xdr:to>
      <xdr:col>151</xdr:col>
      <xdr:colOff>447040</xdr:colOff>
      <xdr:row>119</xdr:row>
      <xdr:rowOff>52704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141FB03-64F2-4574-8824-CDAA93B4C3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47</xdr:col>
      <xdr:colOff>1294823</xdr:colOff>
      <xdr:row>53</xdr:row>
      <xdr:rowOff>47914</xdr:rowOff>
    </xdr:from>
    <xdr:to>
      <xdr:col>52</xdr:col>
      <xdr:colOff>896798</xdr:colOff>
      <xdr:row>87</xdr:row>
      <xdr:rowOff>114638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913630F-FBA9-48B5-9A86-659466573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0215223" y="10144414"/>
          <a:ext cx="4593075" cy="6543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9525</xdr:rowOff>
    </xdr:from>
    <xdr:to>
      <xdr:col>15</xdr:col>
      <xdr:colOff>314325</xdr:colOff>
      <xdr:row>37</xdr:row>
      <xdr:rowOff>28575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C739564-DD46-42BC-885D-B54E59BEC6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W1%20-%20Owain%20Philli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ck Data"/>
      <sheetName val="Engine Data"/>
      <sheetName val="Main Data"/>
      <sheetName val="BSFC"/>
      <sheetName val="Graphs"/>
    </sheetNames>
    <sheetDataSet>
      <sheetData sheetId="0">
        <row r="2">
          <cell r="A2">
            <v>51.049260185999998</v>
          </cell>
          <cell r="B2">
            <v>-1.2326290600000001</v>
          </cell>
        </row>
        <row r="3">
          <cell r="A3">
            <v>51.048953103999999</v>
          </cell>
          <cell r="B3">
            <v>-1.2327683659999999</v>
          </cell>
        </row>
        <row r="4">
          <cell r="A4">
            <v>51.048657136000003</v>
          </cell>
          <cell r="B4">
            <v>-1.2328438399999999</v>
          </cell>
        </row>
        <row r="5">
          <cell r="A5">
            <v>51.048298801000001</v>
          </cell>
          <cell r="B5">
            <v>-1.23271609</v>
          </cell>
        </row>
        <row r="6">
          <cell r="A6">
            <v>51.048041206999997</v>
          </cell>
          <cell r="B6">
            <v>-1.2325765630000001</v>
          </cell>
        </row>
        <row r="7">
          <cell r="A7">
            <v>51.047895873999998</v>
          </cell>
          <cell r="B7">
            <v>-1.232400433</v>
          </cell>
        </row>
        <row r="8">
          <cell r="A8">
            <v>51.047881353999998</v>
          </cell>
          <cell r="B8">
            <v>-1.232168446</v>
          </cell>
        </row>
        <row r="9">
          <cell r="A9">
            <v>51.048004313</v>
          </cell>
          <cell r="B9">
            <v>-1.2320103490000001</v>
          </cell>
        </row>
        <row r="10">
          <cell r="A10">
            <v>51.048305442</v>
          </cell>
          <cell r="B10">
            <v>-1.23200317</v>
          </cell>
        </row>
        <row r="11">
          <cell r="A11">
            <v>51.048283216999998</v>
          </cell>
          <cell r="B11">
            <v>-1.2317377789999999</v>
          </cell>
        </row>
        <row r="12">
          <cell r="A12">
            <v>51.048049370999998</v>
          </cell>
          <cell r="B12">
            <v>-1.23053474</v>
          </cell>
        </row>
        <row r="13">
          <cell r="A13">
            <v>51.047975618000002</v>
          </cell>
          <cell r="B13">
            <v>-1.230439646</v>
          </cell>
        </row>
        <row r="14">
          <cell r="A14">
            <v>51.047819490000002</v>
          </cell>
          <cell r="B14">
            <v>-1.230703927</v>
          </cell>
        </row>
        <row r="15">
          <cell r="A15">
            <v>51.047801018999998</v>
          </cell>
          <cell r="B15">
            <v>-1.231062662</v>
          </cell>
        </row>
        <row r="16">
          <cell r="A16">
            <v>51.047787812000003</v>
          </cell>
          <cell r="B16">
            <v>-1.231558844</v>
          </cell>
        </row>
        <row r="17">
          <cell r="A17">
            <v>51.047756608</v>
          </cell>
          <cell r="B17">
            <v>-1.2318114849999999</v>
          </cell>
        </row>
        <row r="18">
          <cell r="A18">
            <v>51.047651059000003</v>
          </cell>
          <cell r="B18">
            <v>-1.2318775689999999</v>
          </cell>
        </row>
        <row r="19">
          <cell r="A19">
            <v>51.047076539000003</v>
          </cell>
          <cell r="B19">
            <v>-1.2312948749999999</v>
          </cell>
        </row>
        <row r="20">
          <cell r="A20">
            <v>51.046919023000001</v>
          </cell>
          <cell r="B20">
            <v>-1.2312348129999999</v>
          </cell>
        </row>
        <row r="21">
          <cell r="A21">
            <v>51.046814705000003</v>
          </cell>
          <cell r="B21">
            <v>-1.2313976689999999</v>
          </cell>
        </row>
        <row r="22">
          <cell r="A22">
            <v>51.046826115000002</v>
          </cell>
          <cell r="B22">
            <v>-1.2316637070000001</v>
          </cell>
        </row>
        <row r="23">
          <cell r="A23">
            <v>51.046938949000001</v>
          </cell>
          <cell r="B23">
            <v>-1.2319043119999999</v>
          </cell>
        </row>
        <row r="24">
          <cell r="A24">
            <v>51.046940620000001</v>
          </cell>
          <cell r="B24">
            <v>-1.232225508</v>
          </cell>
        </row>
        <row r="25">
          <cell r="A25">
            <v>51.046785217</v>
          </cell>
          <cell r="B25">
            <v>-1.232353086</v>
          </cell>
        </row>
        <row r="26">
          <cell r="A26">
            <v>51.046626130999996</v>
          </cell>
          <cell r="B26">
            <v>-1.232245926</v>
          </cell>
        </row>
        <row r="27">
          <cell r="A27">
            <v>51.046555368999996</v>
          </cell>
          <cell r="B27">
            <v>-1.2318546930000001</v>
          </cell>
        </row>
        <row r="28">
          <cell r="A28">
            <v>51.046616925000002</v>
          </cell>
          <cell r="B28">
            <v>-1.231286994</v>
          </cell>
        </row>
        <row r="29">
          <cell r="A29">
            <v>51.046770330999998</v>
          </cell>
          <cell r="B29">
            <v>-1.230732857</v>
          </cell>
        </row>
        <row r="30">
          <cell r="A30">
            <v>51.046948645000001</v>
          </cell>
          <cell r="B30">
            <v>-1.230646744</v>
          </cell>
        </row>
        <row r="31">
          <cell r="A31">
            <v>51.047142018000002</v>
          </cell>
          <cell r="B31">
            <v>-1.230877462</v>
          </cell>
        </row>
        <row r="32">
          <cell r="A32">
            <v>51.047320353000003</v>
          </cell>
          <cell r="B32">
            <v>-1.231168279</v>
          </cell>
        </row>
        <row r="33">
          <cell r="A33">
            <v>51.047478169000001</v>
          </cell>
          <cell r="B33">
            <v>-1.2311332180000001</v>
          </cell>
        </row>
        <row r="34">
          <cell r="A34">
            <v>51.047728837999998</v>
          </cell>
          <cell r="B34">
            <v>-1.229974793</v>
          </cell>
        </row>
        <row r="35">
          <cell r="A35">
            <v>51.047614991000003</v>
          </cell>
          <cell r="B35">
            <v>-1.2300414930000001</v>
          </cell>
        </row>
        <row r="36">
          <cell r="A36">
            <v>51.047523888000001</v>
          </cell>
          <cell r="B36">
            <v>-1.2302093329999999</v>
          </cell>
        </row>
        <row r="37">
          <cell r="A37">
            <v>51.047416286999997</v>
          </cell>
          <cell r="B37">
            <v>-1.2301384390000001</v>
          </cell>
        </row>
        <row r="38">
          <cell r="A38">
            <v>51.047408931</v>
          </cell>
          <cell r="B38">
            <v>-1.229879545</v>
          </cell>
        </row>
        <row r="39">
          <cell r="A39">
            <v>51.047504697000001</v>
          </cell>
          <cell r="B39">
            <v>-1.229648592</v>
          </cell>
        </row>
        <row r="40">
          <cell r="A40">
            <v>51.047685403000003</v>
          </cell>
          <cell r="B40">
            <v>-1.2295949589999999</v>
          </cell>
        </row>
        <row r="41">
          <cell r="A41">
            <v>51.047953442999997</v>
          </cell>
          <cell r="B41">
            <v>-1.22979964</v>
          </cell>
        </row>
        <row r="42">
          <cell r="A42">
            <v>51.048225137999999</v>
          </cell>
          <cell r="B42">
            <v>-1.230350611</v>
          </cell>
        </row>
        <row r="43">
          <cell r="A43">
            <v>51.048446398999999</v>
          </cell>
          <cell r="B43">
            <v>-1.23104163</v>
          </cell>
        </row>
        <row r="44">
          <cell r="A44">
            <v>51.048665552000003</v>
          </cell>
          <cell r="B44">
            <v>-1.2313254309999999</v>
          </cell>
        </row>
        <row r="45">
          <cell r="A45">
            <v>51.048861530000003</v>
          </cell>
          <cell r="B45">
            <v>-1.2309754509999999</v>
          </cell>
        </row>
        <row r="46">
          <cell r="A46">
            <v>51.049039833999998</v>
          </cell>
          <cell r="B46">
            <v>-1.2304226110000001</v>
          </cell>
        </row>
        <row r="47">
          <cell r="A47">
            <v>51.049027944999999</v>
          </cell>
          <cell r="B47">
            <v>-1.23011793</v>
          </cell>
        </row>
        <row r="48">
          <cell r="A48">
            <v>51.048862124999999</v>
          </cell>
          <cell r="B48">
            <v>-1.2293964079999999</v>
          </cell>
        </row>
        <row r="49">
          <cell r="A49">
            <v>51.048707518999997</v>
          </cell>
          <cell r="B49">
            <v>-1.22924016</v>
          </cell>
        </row>
        <row r="50">
          <cell r="A50">
            <v>51.048601884999997</v>
          </cell>
          <cell r="B50">
            <v>-1.229378723</v>
          </cell>
        </row>
        <row r="51">
          <cell r="A51">
            <v>51.048650780000003</v>
          </cell>
          <cell r="B51">
            <v>-1.229820726</v>
          </cell>
        </row>
        <row r="52">
          <cell r="A52">
            <v>51.048807652000001</v>
          </cell>
          <cell r="B52">
            <v>-1.2303484250000001</v>
          </cell>
        </row>
        <row r="53">
          <cell r="A53">
            <v>51.048758890999999</v>
          </cell>
          <cell r="B53">
            <v>-1.230607894</v>
          </cell>
        </row>
        <row r="54">
          <cell r="A54">
            <v>51.048602193999997</v>
          </cell>
          <cell r="B54">
            <v>-1.230422854</v>
          </cell>
        </row>
        <row r="55">
          <cell r="A55">
            <v>51.048418693999999</v>
          </cell>
          <cell r="B55">
            <v>-1.2298742170000001</v>
          </cell>
        </row>
        <row r="56">
          <cell r="A56">
            <v>51.048342462000001</v>
          </cell>
          <cell r="B56">
            <v>-1.229263993</v>
          </cell>
        </row>
        <row r="57">
          <cell r="A57">
            <v>51.048551875000001</v>
          </cell>
          <cell r="B57">
            <v>-1.228976504</v>
          </cell>
        </row>
        <row r="58">
          <cell r="A58">
            <v>51.048966595000003</v>
          </cell>
          <cell r="B58">
            <v>-1.2288225559999999</v>
          </cell>
        </row>
        <row r="59">
          <cell r="A59">
            <v>51.049085363000003</v>
          </cell>
          <cell r="B59">
            <v>-1.2289976520000001</v>
          </cell>
        </row>
        <row r="60">
          <cell r="A60">
            <v>51.049226842000003</v>
          </cell>
          <cell r="B60">
            <v>-1.2296818430000001</v>
          </cell>
        </row>
        <row r="61">
          <cell r="A61">
            <v>51.049231878000001</v>
          </cell>
          <cell r="B61">
            <v>-1.230251886</v>
          </cell>
        </row>
        <row r="62">
          <cell r="A62">
            <v>51.049266684999999</v>
          </cell>
          <cell r="B62">
            <v>-1.230770108</v>
          </cell>
        </row>
        <row r="63">
          <cell r="A63">
            <v>51.049357428</v>
          </cell>
          <cell r="B63">
            <v>-1.2308141480000001</v>
          </cell>
        </row>
        <row r="64">
          <cell r="A64">
            <v>51.049419098000001</v>
          </cell>
          <cell r="B64">
            <v>-1.2304230869999999</v>
          </cell>
        </row>
        <row r="65">
          <cell r="A65">
            <v>51.049432007999997</v>
          </cell>
          <cell r="B65">
            <v>-1.22975229</v>
          </cell>
        </row>
        <row r="66">
          <cell r="A66">
            <v>51.049497475000003</v>
          </cell>
          <cell r="B66">
            <v>-1.2296704890000001</v>
          </cell>
        </row>
        <row r="67">
          <cell r="A67">
            <v>51.049574124999999</v>
          </cell>
          <cell r="B67">
            <v>-1.2298403339999999</v>
          </cell>
        </row>
        <row r="68">
          <cell r="A68">
            <v>51.049631511000001</v>
          </cell>
          <cell r="B68">
            <v>-1.230259545</v>
          </cell>
        </row>
        <row r="69">
          <cell r="A69">
            <v>51.049613006999998</v>
          </cell>
          <cell r="B69">
            <v>-1.2306964890000001</v>
          </cell>
        </row>
        <row r="70">
          <cell r="A70">
            <v>51.049503743999999</v>
          </cell>
          <cell r="B70">
            <v>-1.2310845749999999</v>
          </cell>
        </row>
        <row r="71">
          <cell r="A71">
            <v>51.048990846000002</v>
          </cell>
          <cell r="B71">
            <v>-1.231521903</v>
          </cell>
        </row>
        <row r="72">
          <cell r="A72">
            <v>51.048703639999999</v>
          </cell>
          <cell r="B72">
            <v>-1.231882181</v>
          </cell>
        </row>
        <row r="73">
          <cell r="A73">
            <v>51.048661264000003</v>
          </cell>
          <cell r="B73">
            <v>-1.2321336679999999</v>
          </cell>
        </row>
        <row r="74">
          <cell r="A74">
            <v>51.048805975000001</v>
          </cell>
          <cell r="B74">
            <v>-1.2323701970000001</v>
          </cell>
        </row>
        <row r="75">
          <cell r="A75">
            <v>51.049074398999998</v>
          </cell>
          <cell r="B75">
            <v>-1.2324566729999999</v>
          </cell>
        </row>
        <row r="76">
          <cell r="A76">
            <v>51.049603247999997</v>
          </cell>
          <cell r="B76">
            <v>-1.2321938859999999</v>
          </cell>
        </row>
        <row r="77">
          <cell r="A77">
            <v>51.049260185999998</v>
          </cell>
          <cell r="B77">
            <v>-1.2326290600000001</v>
          </cell>
        </row>
      </sheetData>
      <sheetData sheetId="1" refreshError="1"/>
      <sheetData sheetId="2">
        <row r="1">
          <cell r="A1" t="str">
            <v>Distance (m)</v>
          </cell>
          <cell r="E1" t="str">
            <v>Speed (Kph)</v>
          </cell>
          <cell r="L1" t="str">
            <v>Aero Force (N)</v>
          </cell>
          <cell r="N1" t="str">
            <v>Accel Resistance (N)</v>
          </cell>
          <cell r="Q1" t="str">
            <v>Corrected Elevation (m)</v>
          </cell>
          <cell r="X1" t="str">
            <v>Gradient Resistance (N)</v>
          </cell>
          <cell r="Y1" t="str">
            <v>Rolling Resistance (N)</v>
          </cell>
          <cell r="AD1" t="str">
            <v>Within Limit Power</v>
          </cell>
          <cell r="AH1" t="str">
            <v>CUM. Tractive Energy</v>
          </cell>
          <cell r="AI1" t="str">
            <v>CUM. Brake Energy</v>
          </cell>
          <cell r="AO1" t="str">
            <v>BSFC (g/Kwh)</v>
          </cell>
          <cell r="AR1" t="str">
            <v>Cumulative Fuel Usage ICE only</v>
          </cell>
        </row>
        <row r="2">
          <cell r="A2">
            <v>0</v>
          </cell>
        </row>
        <row r="3">
          <cell r="A3">
            <v>8.875</v>
          </cell>
          <cell r="E3">
            <v>46.146182301270002</v>
          </cell>
          <cell r="G3">
            <v>0</v>
          </cell>
          <cell r="L3">
            <v>80.782830010282282</v>
          </cell>
          <cell r="Q3">
            <v>2.0400000000000009</v>
          </cell>
          <cell r="X3">
            <v>5722.5076191971211</v>
          </cell>
          <cell r="Y3">
            <v>706.31999999999994</v>
          </cell>
          <cell r="AD3">
            <v>11.818383972575001</v>
          </cell>
          <cell r="AH3">
            <v>11.818383972575001</v>
          </cell>
          <cell r="AI3">
            <v>0</v>
          </cell>
          <cell r="AO3">
            <v>200</v>
          </cell>
          <cell r="AR3">
            <v>2.5165695124493404</v>
          </cell>
        </row>
        <row r="4">
          <cell r="A4">
            <v>17.75</v>
          </cell>
          <cell r="E4">
            <v>46.261338011100001</v>
          </cell>
          <cell r="G4">
            <v>0.96200000000000008</v>
          </cell>
          <cell r="L4">
            <v>81.186512862525049</v>
          </cell>
          <cell r="N4">
            <v>27.754965037039494</v>
          </cell>
          <cell r="Q4">
            <v>2.3200000000000021</v>
          </cell>
          <cell r="X4">
            <v>4117.0832565423798</v>
          </cell>
          <cell r="Y4">
            <v>706.31999999999994</v>
          </cell>
          <cell r="AD4">
            <v>11.85037166975</v>
          </cell>
          <cell r="AH4">
            <v>23.668755642325003</v>
          </cell>
          <cell r="AI4">
            <v>0</v>
          </cell>
          <cell r="AO4">
            <v>200</v>
          </cell>
          <cell r="AR4">
            <v>5.0399503845288018</v>
          </cell>
        </row>
        <row r="5">
          <cell r="A5">
            <v>26.625</v>
          </cell>
          <cell r="E5">
            <v>46.849243782780007</v>
          </cell>
          <cell r="G5">
            <v>1.9980000000000002</v>
          </cell>
          <cell r="L5">
            <v>62.136656467857492</v>
          </cell>
          <cell r="N5">
            <v>142.77581753026996</v>
          </cell>
          <cell r="Q5">
            <v>2.4400000000000013</v>
          </cell>
          <cell r="X5">
            <v>1867.1182117774956</v>
          </cell>
          <cell r="Y5">
            <v>706.31999999999994</v>
          </cell>
          <cell r="AD5">
            <v>12.013678828550002</v>
          </cell>
          <cell r="AH5">
            <v>35.682434470875009</v>
          </cell>
          <cell r="AI5">
            <v>0</v>
          </cell>
          <cell r="AO5">
            <v>200</v>
          </cell>
          <cell r="AR5">
            <v>7.5981053693765137</v>
          </cell>
        </row>
        <row r="6">
          <cell r="A6">
            <v>35.5</v>
          </cell>
          <cell r="E6">
            <v>47.388398963850001</v>
          </cell>
          <cell r="G6">
            <v>2.9970000000000003</v>
          </cell>
          <cell r="L6">
            <v>63.575060551496179</v>
          </cell>
          <cell r="N6">
            <v>132.52142237524311</v>
          </cell>
          <cell r="Q6">
            <v>2.4900000000000002</v>
          </cell>
          <cell r="X6">
            <v>-4117.0832565423316</v>
          </cell>
          <cell r="Y6">
            <v>706.31999999999994</v>
          </cell>
          <cell r="AD6">
            <v>-42.316086556646709</v>
          </cell>
          <cell r="AH6">
            <v>35.682434470875009</v>
          </cell>
          <cell r="AI6">
            <v>42.316086556646709</v>
          </cell>
          <cell r="AO6">
            <v>310</v>
          </cell>
          <cell r="AR6">
            <v>7.5981053693765137</v>
          </cell>
        </row>
        <row r="7">
          <cell r="A7">
            <v>44.375</v>
          </cell>
          <cell r="E7">
            <v>47.915793351270004</v>
          </cell>
          <cell r="G7">
            <v>4.0330000000000004</v>
          </cell>
          <cell r="L7">
            <v>64.998012448727067</v>
          </cell>
          <cell r="N7">
            <v>131.09779896867769</v>
          </cell>
          <cell r="Q7">
            <v>2.3700000000000028</v>
          </cell>
          <cell r="X7">
            <v>-5054.6054391832613</v>
          </cell>
          <cell r="Y7">
            <v>706.31999999999994</v>
          </cell>
          <cell r="AD7">
            <v>-55.265405599809867</v>
          </cell>
          <cell r="AH7">
            <v>35.682434470875009</v>
          </cell>
          <cell r="AI7">
            <v>97.581492156456576</v>
          </cell>
          <cell r="AO7">
            <v>310</v>
          </cell>
          <cell r="AR7">
            <v>7.5981053693765137</v>
          </cell>
        </row>
        <row r="8">
          <cell r="A8">
            <v>53.25</v>
          </cell>
          <cell r="E8">
            <v>48.394814133689998</v>
          </cell>
          <cell r="G8">
            <v>5.0320000000000009</v>
          </cell>
          <cell r="L8">
            <v>66.304096686274832</v>
          </cell>
          <cell r="N8">
            <v>120.33067958474386</v>
          </cell>
          <cell r="Q8">
            <v>2.2100000000000026</v>
          </cell>
          <cell r="X8">
            <v>-5722.5076191971211</v>
          </cell>
          <cell r="Y8">
            <v>706.31999999999994</v>
          </cell>
          <cell r="AD8">
            <v>-64.923697828400805</v>
          </cell>
          <cell r="AH8">
            <v>35.682434470875009</v>
          </cell>
          <cell r="AI8">
            <v>162.5051899848574</v>
          </cell>
          <cell r="AO8">
            <v>310</v>
          </cell>
          <cell r="AR8">
            <v>7.5981053693765137</v>
          </cell>
        </row>
        <row r="9">
          <cell r="A9">
            <v>62.125</v>
          </cell>
          <cell r="E9">
            <v>48.840770807369999</v>
          </cell>
          <cell r="G9">
            <v>6.0309999999999997</v>
          </cell>
          <cell r="L9">
            <v>67.531707227083075</v>
          </cell>
          <cell r="N9">
            <v>113.10082948263894</v>
          </cell>
          <cell r="Q9">
            <v>1.9300000000000015</v>
          </cell>
          <cell r="X9">
            <v>-4117.0832565423798</v>
          </cell>
          <cell r="Y9">
            <v>706.31999999999994</v>
          </cell>
          <cell r="AD9">
            <v>-43.822798379219968</v>
          </cell>
          <cell r="AH9">
            <v>35.682434470875009</v>
          </cell>
          <cell r="AI9">
            <v>206.32798836407736</v>
          </cell>
          <cell r="AO9">
            <v>310</v>
          </cell>
          <cell r="AR9">
            <v>7.5981053693765137</v>
          </cell>
        </row>
        <row r="10">
          <cell r="A10">
            <v>71</v>
          </cell>
          <cell r="E10">
            <v>49.250357283330004</v>
          </cell>
          <cell r="G10">
            <v>7.03</v>
          </cell>
          <cell r="L10">
            <v>68.669119860442322</v>
          </cell>
          <cell r="N10">
            <v>104.79081762548728</v>
          </cell>
          <cell r="Q10">
            <v>1.8100000000000023</v>
          </cell>
          <cell r="X10">
            <v>379.72800394685243</v>
          </cell>
          <cell r="Y10">
            <v>706.31999999999994</v>
          </cell>
          <cell r="AD10">
            <v>12.680654800925002</v>
          </cell>
          <cell r="AH10">
            <v>48.363089271800007</v>
          </cell>
          <cell r="AI10">
            <v>206.32798836407736</v>
          </cell>
          <cell r="AO10">
            <v>200</v>
          </cell>
          <cell r="AR10">
            <v>10.298284120037739</v>
          </cell>
        </row>
        <row r="11">
          <cell r="A11">
            <v>79.875</v>
          </cell>
          <cell r="E11">
            <v>49.623252547500009</v>
          </cell>
          <cell r="G11">
            <v>8.0289999999999999</v>
          </cell>
          <cell r="L11">
            <v>69.712902257398099</v>
          </cell>
          <cell r="N11">
            <v>96.164582309101036</v>
          </cell>
          <cell r="Q11">
            <v>1.8200000000000021</v>
          </cell>
          <cell r="X11">
            <v>-4624.3348933683783</v>
          </cell>
          <cell r="Y11">
            <v>706.31999999999994</v>
          </cell>
          <cell r="AD11">
            <v>-51.720350619416095</v>
          </cell>
          <cell r="AH11">
            <v>48.363089271800007</v>
          </cell>
          <cell r="AI11">
            <v>258.04833898349347</v>
          </cell>
          <cell r="AO11">
            <v>310</v>
          </cell>
          <cell r="AR11">
            <v>10.298284120037739</v>
          </cell>
        </row>
        <row r="12">
          <cell r="A12">
            <v>88.75</v>
          </cell>
          <cell r="E12">
            <v>49.960146102390006</v>
          </cell>
          <cell r="G12">
            <v>9.0280000000000005</v>
          </cell>
          <cell r="L12">
            <v>70.662680806799656</v>
          </cell>
          <cell r="N12">
            <v>87.503925871644981</v>
          </cell>
          <cell r="Q12">
            <v>1.6800000000000015</v>
          </cell>
          <cell r="X12">
            <v>5604.9354920021015</v>
          </cell>
          <cell r="Y12">
            <v>706.31999999999994</v>
          </cell>
          <cell r="AD12">
            <v>12.877818361775001</v>
          </cell>
          <cell r="AH12">
            <v>61.240907633575006</v>
          </cell>
          <cell r="AI12">
            <v>258.04833898349347</v>
          </cell>
          <cell r="AO12">
            <v>200</v>
          </cell>
          <cell r="AR12">
            <v>13.040446259236049</v>
          </cell>
        </row>
        <row r="13">
          <cell r="A13">
            <v>97.625</v>
          </cell>
          <cell r="E13">
            <v>50.262707908260005</v>
          </cell>
          <cell r="G13">
            <v>10.027000000000001</v>
          </cell>
          <cell r="L13">
            <v>71.521147756238648</v>
          </cell>
          <cell r="N13">
            <v>79.091308552184969</v>
          </cell>
          <cell r="Q13">
            <v>0.90000000000000036</v>
          </cell>
          <cell r="X13">
            <v>4624.3348933683783</v>
          </cell>
          <cell r="Y13">
            <v>706.31999999999994</v>
          </cell>
          <cell r="AD13">
            <v>12.961863307850001</v>
          </cell>
          <cell r="AH13">
            <v>74.202770941425001</v>
          </cell>
          <cell r="AI13">
            <v>258.04833898349347</v>
          </cell>
          <cell r="AO13">
            <v>200</v>
          </cell>
          <cell r="AR13">
            <v>15.800504664917035</v>
          </cell>
        </row>
        <row r="14">
          <cell r="A14">
            <v>106.5</v>
          </cell>
          <cell r="E14">
            <v>50.533458306300005</v>
          </cell>
          <cell r="G14">
            <v>11.026</v>
          </cell>
          <cell r="L14">
            <v>72.293749756170087</v>
          </cell>
          <cell r="N14">
            <v>71.180495888100936</v>
          </cell>
          <cell r="Q14">
            <v>1.0400000000000009</v>
          </cell>
          <cell r="X14">
            <v>4379.8333340683657</v>
          </cell>
          <cell r="Y14">
            <v>706.31999999999994</v>
          </cell>
          <cell r="AD14">
            <v>12.98</v>
          </cell>
          <cell r="AH14">
            <v>87.182770941425005</v>
          </cell>
          <cell r="AI14">
            <v>258.04833898349347</v>
          </cell>
          <cell r="AO14">
            <v>200</v>
          </cell>
          <cell r="AR14">
            <v>18.5644250407817</v>
          </cell>
        </row>
        <row r="15">
          <cell r="A15">
            <v>115.375</v>
          </cell>
          <cell r="E15">
            <v>49.988701282680005</v>
          </cell>
          <cell r="G15">
            <v>12.025</v>
          </cell>
          <cell r="L15">
            <v>70.743479699101457</v>
          </cell>
          <cell r="N15">
            <v>-142.82773204368047</v>
          </cell>
          <cell r="Q15">
            <v>1.1700000000000017</v>
          </cell>
          <cell r="X15">
            <v>2906.5104052282959</v>
          </cell>
          <cell r="Y15">
            <v>706.31999999999994</v>
          </cell>
          <cell r="AD15">
            <v>12.885750356300001</v>
          </cell>
          <cell r="AH15">
            <v>100.068521297725</v>
          </cell>
          <cell r="AI15">
            <v>258.04833898349347</v>
          </cell>
          <cell r="AO15">
            <v>200</v>
          </cell>
          <cell r="AR15">
            <v>21.308276193946796</v>
          </cell>
        </row>
        <row r="16">
          <cell r="A16">
            <v>124.25</v>
          </cell>
          <cell r="E16">
            <v>46.638372553200007</v>
          </cell>
          <cell r="G16">
            <v>13.024000000000001</v>
          </cell>
          <cell r="L16">
            <v>61.578553763072939</v>
          </cell>
          <cell r="N16">
            <v>-844.37261741766724</v>
          </cell>
          <cell r="Q16">
            <v>1.25</v>
          </cell>
          <cell r="X16">
            <v>757.87296553725605</v>
          </cell>
          <cell r="Y16">
            <v>706.31999999999994</v>
          </cell>
          <cell r="AD16">
            <v>8.8275932898180436</v>
          </cell>
          <cell r="AH16">
            <v>108.89611458754304</v>
          </cell>
          <cell r="AI16">
            <v>258.04833898349347</v>
          </cell>
          <cell r="AO16">
            <v>200</v>
          </cell>
          <cell r="AR16">
            <v>23.187996144915541</v>
          </cell>
        </row>
        <row r="17">
          <cell r="A17">
            <v>133.125</v>
          </cell>
          <cell r="E17">
            <v>43.314115855320004</v>
          </cell>
          <cell r="G17">
            <v>14.023000000000001</v>
          </cell>
          <cell r="L17">
            <v>53.113096049473299</v>
          </cell>
          <cell r="N17">
            <v>-779.93000021647435</v>
          </cell>
          <cell r="Q17">
            <v>1.2700000000000014</v>
          </cell>
          <cell r="X17">
            <v>5722.5076191971366</v>
          </cell>
          <cell r="Y17">
            <v>706.31999999999994</v>
          </cell>
          <cell r="AD17">
            <v>11.031698848700001</v>
          </cell>
          <cell r="AH17">
            <v>119.92781343624304</v>
          </cell>
          <cell r="AI17">
            <v>258.04833898349347</v>
          </cell>
          <cell r="AO17">
            <v>200</v>
          </cell>
          <cell r="AR17">
            <v>25.53705140133501</v>
          </cell>
        </row>
        <row r="18">
          <cell r="A18">
            <v>142</v>
          </cell>
          <cell r="E18">
            <v>40.023752098680006</v>
          </cell>
          <cell r="G18">
            <v>15.021999999999998</v>
          </cell>
          <cell r="L18">
            <v>45.35010637280584</v>
          </cell>
          <cell r="N18">
            <v>-715.2110074895462</v>
          </cell>
          <cell r="Q18">
            <v>1.5500000000000007</v>
          </cell>
          <cell r="X18">
            <v>3230.6286195626244</v>
          </cell>
          <cell r="Y18">
            <v>706.31999999999994</v>
          </cell>
          <cell r="AD18">
            <v>10.117708916300002</v>
          </cell>
          <cell r="AH18">
            <v>130.04552235254303</v>
          </cell>
          <cell r="AI18">
            <v>258.04833898349347</v>
          </cell>
          <cell r="AO18">
            <v>200</v>
          </cell>
          <cell r="AR18">
            <v>27.691484516190879</v>
          </cell>
        </row>
        <row r="19">
          <cell r="A19">
            <v>150.875</v>
          </cell>
          <cell r="E19">
            <v>36.771723180720002</v>
          </cell>
          <cell r="G19">
            <v>16.021000000000001</v>
          </cell>
          <cell r="L19">
            <v>38.279889402917341</v>
          </cell>
          <cell r="N19">
            <v>-651.38525398302443</v>
          </cell>
          <cell r="Q19">
            <v>1.6400000000000006</v>
          </cell>
          <cell r="X19">
            <v>-3907.7933842064126</v>
          </cell>
          <cell r="Y19">
            <v>706.31999999999994</v>
          </cell>
          <cell r="AD19">
            <v>-38.963509389287552</v>
          </cell>
          <cell r="AH19">
            <v>130.04552235254303</v>
          </cell>
          <cell r="AI19">
            <v>297.011848372781</v>
          </cell>
          <cell r="AO19">
            <v>285</v>
          </cell>
          <cell r="AR19">
            <v>27.691484516190879</v>
          </cell>
        </row>
        <row r="20">
          <cell r="A20">
            <v>159.75</v>
          </cell>
          <cell r="E20">
            <v>33.587306283060002</v>
          </cell>
          <cell r="G20">
            <v>17.02</v>
          </cell>
          <cell r="L20">
            <v>31.936922137027697</v>
          </cell>
          <cell r="N20">
            <v>-584.38310466202017</v>
          </cell>
          <cell r="Q20">
            <v>2.2400000000000002</v>
          </cell>
          <cell r="X20">
            <v>5621.8255389440837</v>
          </cell>
          <cell r="Y20">
            <v>706.31999999999994</v>
          </cell>
          <cell r="AD20">
            <v>8.3298073008500015</v>
          </cell>
          <cell r="AH20">
            <v>138.37532965339304</v>
          </cell>
          <cell r="AI20">
            <v>297.011848372781</v>
          </cell>
          <cell r="AO20">
            <v>200</v>
          </cell>
          <cell r="AR20">
            <v>29.465207484283759</v>
          </cell>
        </row>
        <row r="21">
          <cell r="A21">
            <v>168.625</v>
          </cell>
          <cell r="E21">
            <v>30.452272538760003</v>
          </cell>
          <cell r="G21">
            <v>18.019000000000002</v>
          </cell>
          <cell r="L21">
            <v>26.253192687354701</v>
          </cell>
          <cell r="N21">
            <v>-523.64694986219513</v>
          </cell>
          <cell r="Q21">
            <v>2.5300000000000011</v>
          </cell>
          <cell r="X21">
            <v>5864.1050738476824</v>
          </cell>
          <cell r="Y21">
            <v>706.31999999999994</v>
          </cell>
          <cell r="AD21">
            <v>7.4589645941000011</v>
          </cell>
          <cell r="AH21">
            <v>145.83429424749303</v>
          </cell>
          <cell r="AI21">
            <v>297.011848372781</v>
          </cell>
          <cell r="AO21">
            <v>180</v>
          </cell>
          <cell r="AR21">
            <v>30.89466709923272</v>
          </cell>
        </row>
        <row r="22">
          <cell r="A22">
            <v>177.5</v>
          </cell>
          <cell r="E22">
            <v>27.378278645400002</v>
          </cell>
          <cell r="G22">
            <v>19.018000000000001</v>
          </cell>
          <cell r="L22">
            <v>21.220469517561519</v>
          </cell>
          <cell r="N22">
            <v>-463.66917368218816</v>
          </cell>
          <cell r="Q22">
            <v>2.7600000000000033</v>
          </cell>
          <cell r="X22">
            <v>-4117.0832565424753</v>
          </cell>
          <cell r="Y22">
            <v>706.31999999999994</v>
          </cell>
          <cell r="AD22">
            <v>-29.303975205563084</v>
          </cell>
          <cell r="AH22">
            <v>145.83429424749303</v>
          </cell>
          <cell r="AI22">
            <v>326.31582357834407</v>
          </cell>
          <cell r="AO22">
            <v>310</v>
          </cell>
          <cell r="AR22">
            <v>30.89466709923272</v>
          </cell>
        </row>
        <row r="23">
          <cell r="A23">
            <v>186.375</v>
          </cell>
          <cell r="E23">
            <v>24.399559780911002</v>
          </cell>
          <cell r="G23">
            <v>20.017000000000003</v>
          </cell>
          <cell r="L23">
            <v>16.854143678362298</v>
          </cell>
          <cell r="N23">
            <v>-402.27340658037514</v>
          </cell>
          <cell r="Q23">
            <v>2.6400000000000006</v>
          </cell>
          <cell r="X23">
            <v>-2906.5104052282959</v>
          </cell>
          <cell r="Y23">
            <v>706.31999999999994</v>
          </cell>
          <cell r="AD23">
            <v>-17.524371574346365</v>
          </cell>
          <cell r="AH23">
            <v>145.83429424749303</v>
          </cell>
          <cell r="AI23">
            <v>343.84019515269046</v>
          </cell>
          <cell r="AO23">
            <v>285</v>
          </cell>
          <cell r="AR23">
            <v>30.89466709923272</v>
          </cell>
        </row>
        <row r="24">
          <cell r="A24">
            <v>195.25</v>
          </cell>
          <cell r="E24">
            <v>21.785433872858999</v>
          </cell>
          <cell r="G24">
            <v>20.978999999999999</v>
          </cell>
          <cell r="L24">
            <v>13.43615909264155</v>
          </cell>
          <cell r="N24">
            <v>-314.9019000353091</v>
          </cell>
          <cell r="Q24">
            <v>2.5600000000000023</v>
          </cell>
          <cell r="X24">
            <v>1132.8584740071299</v>
          </cell>
          <cell r="Y24">
            <v>706.31999999999994</v>
          </cell>
          <cell r="AD24">
            <v>9.3054830726747575</v>
          </cell>
          <cell r="AH24">
            <v>155.13977732016778</v>
          </cell>
          <cell r="AI24">
            <v>343.84019515269046</v>
          </cell>
          <cell r="AO24">
            <v>200</v>
          </cell>
          <cell r="AR24">
            <v>32.876147397524669</v>
          </cell>
        </row>
        <row r="25">
          <cell r="A25">
            <v>204.125</v>
          </cell>
          <cell r="E25">
            <v>19.645731165438001</v>
          </cell>
          <cell r="G25">
            <v>22.015000000000001</v>
          </cell>
          <cell r="L25">
            <v>10.926450531230588</v>
          </cell>
          <cell r="N25">
            <v>-231.22163798656845</v>
          </cell>
          <cell r="Q25">
            <v>2.5900000000000016</v>
          </cell>
          <cell r="X25">
            <v>4548.5880569168976</v>
          </cell>
          <cell r="Y25">
            <v>706.31999999999994</v>
          </cell>
          <cell r="AD25">
            <v>4.4571475459549994</v>
          </cell>
          <cell r="AH25">
            <v>159.59692486612278</v>
          </cell>
          <cell r="AI25">
            <v>343.84019515269046</v>
          </cell>
          <cell r="AO25">
            <v>195</v>
          </cell>
          <cell r="AR25">
            <v>33.801511103032198</v>
          </cell>
        </row>
        <row r="26">
          <cell r="A26">
            <v>213</v>
          </cell>
          <cell r="E26">
            <v>17.992311256556999</v>
          </cell>
          <cell r="G26">
            <v>23.013999999999999</v>
          </cell>
          <cell r="L26">
            <v>9.1646655625812077</v>
          </cell>
          <cell r="N26">
            <v>-162.31478526821633</v>
          </cell>
          <cell r="Q26">
            <v>2.9400000000000013</v>
          </cell>
          <cell r="X26">
            <v>5350.889346672705</v>
          </cell>
          <cell r="Y26">
            <v>706.31999999999994</v>
          </cell>
          <cell r="AD26">
            <v>3.9978642379324993</v>
          </cell>
          <cell r="AH26">
            <v>163.59478910405528</v>
          </cell>
          <cell r="AI26">
            <v>343.84019515269046</v>
          </cell>
          <cell r="AO26">
            <v>205</v>
          </cell>
          <cell r="AR26">
            <v>34.674086055870518</v>
          </cell>
        </row>
        <row r="27">
          <cell r="A27">
            <v>221.875</v>
          </cell>
          <cell r="E27">
            <v>17.015934470994001</v>
          </cell>
          <cell r="G27">
            <v>24.013000000000002</v>
          </cell>
          <cell r="L27">
            <v>8.1969883727217834</v>
          </cell>
          <cell r="N27">
            <v>-89.152943222915155</v>
          </cell>
          <cell r="Q27">
            <v>3.25</v>
          </cell>
          <cell r="X27">
            <v>1503.1213537291146</v>
          </cell>
          <cell r="Y27">
            <v>706.31999999999994</v>
          </cell>
          <cell r="AD27">
            <v>10.060602241608681</v>
          </cell>
          <cell r="AH27">
            <v>173.65539134566396</v>
          </cell>
          <cell r="AI27">
            <v>343.84019515269046</v>
          </cell>
          <cell r="AO27">
            <v>200</v>
          </cell>
          <cell r="AR27">
            <v>36.816359055027064</v>
          </cell>
        </row>
        <row r="28">
          <cell r="A28">
            <v>230.75</v>
          </cell>
          <cell r="E28">
            <v>17.122271564322002</v>
          </cell>
          <cell r="G28">
            <v>25.048999999999999</v>
          </cell>
          <cell r="L28">
            <v>8.2997588066639523</v>
          </cell>
          <cell r="N28">
            <v>9.4683296849971601</v>
          </cell>
          <cell r="Q28">
            <v>3.2900000000000009</v>
          </cell>
          <cell r="X28">
            <v>-4117.0832565423798</v>
          </cell>
          <cell r="Y28">
            <v>706.31999999999994</v>
          </cell>
          <cell r="AD28">
            <v>-16.137717967721329</v>
          </cell>
          <cell r="AH28">
            <v>173.65539134566396</v>
          </cell>
          <cell r="AI28">
            <v>359.97791312041181</v>
          </cell>
          <cell r="AO28">
            <v>300</v>
          </cell>
          <cell r="AR28">
            <v>36.816359055027064</v>
          </cell>
        </row>
        <row r="29">
          <cell r="A29">
            <v>239.625</v>
          </cell>
          <cell r="E29">
            <v>17.581045354839002</v>
          </cell>
          <cell r="G29">
            <v>26.011000000000003</v>
          </cell>
          <cell r="L29">
            <v>8.750484479291023</v>
          </cell>
          <cell r="N29">
            <v>41.525749208440921</v>
          </cell>
          <cell r="Q29">
            <v>3.1700000000000017</v>
          </cell>
          <cell r="X29">
            <v>-4548.5880569168976</v>
          </cell>
          <cell r="Y29">
            <v>706.31999999999994</v>
          </cell>
          <cell r="AD29">
            <v>-18.518661174825169</v>
          </cell>
          <cell r="AH29">
            <v>173.65539134566396</v>
          </cell>
          <cell r="AI29">
            <v>378.496574295237</v>
          </cell>
          <cell r="AO29">
            <v>300</v>
          </cell>
          <cell r="AR29">
            <v>36.816359055027064</v>
          </cell>
        </row>
        <row r="30">
          <cell r="A30">
            <v>248.5</v>
          </cell>
          <cell r="E30">
            <v>18.691562078784003</v>
          </cell>
          <cell r="G30">
            <v>27.047000000000001</v>
          </cell>
          <cell r="L30">
            <v>9.8908565942541475</v>
          </cell>
          <cell r="N30">
            <v>105.06347724603562</v>
          </cell>
          <cell r="Q30">
            <v>2.8200000000000021</v>
          </cell>
          <cell r="X30">
            <v>-4548.5880569168976</v>
          </cell>
          <cell r="Y30">
            <v>706.31999999999994</v>
          </cell>
          <cell r="AD30">
            <v>-19.352587733886097</v>
          </cell>
          <cell r="AH30">
            <v>173.65539134566396</v>
          </cell>
          <cell r="AI30">
            <v>397.84916202912308</v>
          </cell>
          <cell r="AO30">
            <v>285</v>
          </cell>
          <cell r="AR30">
            <v>36.816359055027064</v>
          </cell>
        </row>
        <row r="31">
          <cell r="A31">
            <v>257.375</v>
          </cell>
          <cell r="E31">
            <v>19.674084560148</v>
          </cell>
          <cell r="G31">
            <v>28.046000000000003</v>
          </cell>
          <cell r="L31">
            <v>10.958012148408827</v>
          </cell>
          <cell r="N31">
            <v>98.317971660975019</v>
          </cell>
          <cell r="Q31">
            <v>2.4700000000000024</v>
          </cell>
          <cell r="X31">
            <v>-4548.5880569168976</v>
          </cell>
          <cell r="Y31">
            <v>706.31999999999994</v>
          </cell>
          <cell r="AD31">
            <v>-20.400889363522062</v>
          </cell>
          <cell r="AH31">
            <v>173.65539134566396</v>
          </cell>
          <cell r="AI31">
            <v>418.25005139264516</v>
          </cell>
          <cell r="AO31">
            <v>285</v>
          </cell>
          <cell r="AR31">
            <v>36.816359055027064</v>
          </cell>
        </row>
        <row r="32">
          <cell r="A32">
            <v>266.25</v>
          </cell>
          <cell r="E32">
            <v>18.115480163952</v>
          </cell>
          <cell r="G32">
            <v>29.045000000000002</v>
          </cell>
          <cell r="L32">
            <v>9.2905710689992684</v>
          </cell>
          <cell r="N32">
            <v>-153.62280049378091</v>
          </cell>
          <cell r="Q32">
            <v>2.1200000000000028</v>
          </cell>
          <cell r="X32">
            <v>-5722.5076191971211</v>
          </cell>
          <cell r="Y32">
            <v>706.31999999999994</v>
          </cell>
          <cell r="AD32">
            <v>-25.968137487052964</v>
          </cell>
          <cell r="AH32">
            <v>173.65539134566396</v>
          </cell>
          <cell r="AI32">
            <v>444.21818887969812</v>
          </cell>
          <cell r="AO32">
            <v>285</v>
          </cell>
          <cell r="AR32">
            <v>36.816359055027064</v>
          </cell>
        </row>
        <row r="33">
          <cell r="A33">
            <v>275.125</v>
          </cell>
          <cell r="E33">
            <v>17.079310726892999</v>
          </cell>
          <cell r="G33">
            <v>30.043999999999997</v>
          </cell>
          <cell r="L33">
            <v>8.2581618414293363</v>
          </cell>
          <cell r="N33">
            <v>-95.116762297277248</v>
          </cell>
          <cell r="Q33">
            <v>1.8400000000000016</v>
          </cell>
          <cell r="X33">
            <v>-5864.1050738476706</v>
          </cell>
          <cell r="Y33">
            <v>706.31999999999994</v>
          </cell>
          <cell r="AD33">
            <v>-24.881916379239893</v>
          </cell>
          <cell r="AH33">
            <v>173.65539134566396</v>
          </cell>
          <cell r="AI33">
            <v>469.10010525893802</v>
          </cell>
          <cell r="AO33">
            <v>300</v>
          </cell>
          <cell r="AR33">
            <v>36.816359055027064</v>
          </cell>
        </row>
        <row r="34">
          <cell r="A34">
            <v>284</v>
          </cell>
          <cell r="E34">
            <v>15.772406296914001</v>
          </cell>
          <cell r="G34">
            <v>31.043000000000003</v>
          </cell>
          <cell r="L34">
            <v>7.042690807476907</v>
          </cell>
          <cell r="N34">
            <v>-111.98240613153325</v>
          </cell>
          <cell r="Q34">
            <v>1.610000000000003</v>
          </cell>
          <cell r="X34">
            <v>-2223.3319018289862</v>
          </cell>
          <cell r="Y34">
            <v>706.31999999999994</v>
          </cell>
          <cell r="AD34">
            <v>-7.1061333054651392</v>
          </cell>
          <cell r="AH34">
            <v>173.65539134566396</v>
          </cell>
          <cell r="AI34">
            <v>476.20623856440318</v>
          </cell>
          <cell r="AO34">
            <v>300</v>
          </cell>
          <cell r="AR34">
            <v>36.816359055027064</v>
          </cell>
        </row>
        <row r="35">
          <cell r="A35">
            <v>292.875</v>
          </cell>
          <cell r="E35">
            <v>14.478366475071002</v>
          </cell>
          <cell r="G35">
            <v>32.042000000000002</v>
          </cell>
          <cell r="L35">
            <v>5.9344686608064929</v>
          </cell>
          <cell r="N35">
            <v>-102.10147263555697</v>
          </cell>
          <cell r="Q35">
            <v>1.5500000000000007</v>
          </cell>
          <cell r="X35">
            <v>2906.510405228355</v>
          </cell>
          <cell r="Y35">
            <v>706.31999999999994</v>
          </cell>
          <cell r="AD35">
            <v>3.0217684652975008</v>
          </cell>
          <cell r="AH35">
            <v>176.67715981096146</v>
          </cell>
          <cell r="AI35">
            <v>476.20623856440318</v>
          </cell>
          <cell r="AO35">
            <v>205</v>
          </cell>
          <cell r="AR35">
            <v>37.475891074918479</v>
          </cell>
        </row>
        <row r="36">
          <cell r="A36">
            <v>301.75</v>
          </cell>
          <cell r="E36">
            <v>13.794365549763</v>
          </cell>
          <cell r="G36">
            <v>33.041000000000004</v>
          </cell>
          <cell r="L36">
            <v>5.386990025133267</v>
          </cell>
          <cell r="N36">
            <v>-50.439684053134236</v>
          </cell>
          <cell r="Q36">
            <v>1.6300000000000008</v>
          </cell>
          <cell r="X36">
            <v>-1132.8584740071963</v>
          </cell>
          <cell r="Y36">
            <v>706.31999999999994</v>
          </cell>
          <cell r="AD36">
            <v>-1.8070280449770058</v>
          </cell>
          <cell r="AH36">
            <v>176.67715981096146</v>
          </cell>
          <cell r="AI36">
            <v>478.0132666093802</v>
          </cell>
          <cell r="AO36">
            <v>310</v>
          </cell>
          <cell r="AR36">
            <v>37.475891074918479</v>
          </cell>
        </row>
        <row r="37">
          <cell r="A37">
            <v>310.625</v>
          </cell>
          <cell r="E37">
            <v>13.310483546295002</v>
          </cell>
          <cell r="G37">
            <v>34.003</v>
          </cell>
          <cell r="L37">
            <v>5.0156864130754704</v>
          </cell>
          <cell r="N37">
            <v>-34.208525519818259</v>
          </cell>
          <cell r="Q37">
            <v>1.5999999999999996</v>
          </cell>
          <cell r="X37">
            <v>5657.0287069786191</v>
          </cell>
          <cell r="Y37">
            <v>706.31999999999994</v>
          </cell>
          <cell r="AD37">
            <v>2.6973565406375002</v>
          </cell>
          <cell r="AH37">
            <v>179.37451635159897</v>
          </cell>
          <cell r="AI37">
            <v>478.0132666093802</v>
          </cell>
          <cell r="AO37">
            <v>215</v>
          </cell>
          <cell r="AR37">
            <v>38.0933351894341</v>
          </cell>
        </row>
        <row r="38">
          <cell r="A38">
            <v>319.5</v>
          </cell>
          <cell r="E38">
            <v>13.323979389348001</v>
          </cell>
          <cell r="G38">
            <v>35.039000000000001</v>
          </cell>
          <cell r="L38">
            <v>5.0258626374301638</v>
          </cell>
          <cell r="N38">
            <v>0.93754442248401215</v>
          </cell>
          <cell r="Q38">
            <v>1.8000000000000007</v>
          </cell>
          <cell r="X38">
            <v>5750.0832561566003</v>
          </cell>
          <cell r="Y38">
            <v>706.31999999999994</v>
          </cell>
          <cell r="AD38">
            <v>2.70110538593</v>
          </cell>
          <cell r="AH38">
            <v>182.07562173752896</v>
          </cell>
          <cell r="AI38">
            <v>478.0132666093802</v>
          </cell>
          <cell r="AO38">
            <v>215</v>
          </cell>
          <cell r="AR38">
            <v>38.711637441325045</v>
          </cell>
        </row>
        <row r="39">
          <cell r="A39">
            <v>328.375</v>
          </cell>
          <cell r="E39">
            <v>13.900865645439001</v>
          </cell>
          <cell r="G39">
            <v>36.038000000000004</v>
          </cell>
          <cell r="L39">
            <v>5.4704921838422242</v>
          </cell>
          <cell r="N39">
            <v>40.964107785018221</v>
          </cell>
          <cell r="Q39">
            <v>2.0100000000000033</v>
          </cell>
          <cell r="X39">
            <v>1503.1213537289843</v>
          </cell>
          <cell r="Y39">
            <v>706.31999999999994</v>
          </cell>
          <cell r="AD39">
            <v>8.7107301514250892</v>
          </cell>
          <cell r="AH39">
            <v>190.78635188895404</v>
          </cell>
          <cell r="AI39">
            <v>478.0132666093802</v>
          </cell>
          <cell r="AO39">
            <v>200</v>
          </cell>
          <cell r="AR39">
            <v>40.566472923157285</v>
          </cell>
        </row>
        <row r="40">
          <cell r="A40">
            <v>337.25</v>
          </cell>
          <cell r="E40">
            <v>14.916338607744001</v>
          </cell>
          <cell r="G40">
            <v>37.036999999999999</v>
          </cell>
          <cell r="L40">
            <v>6.2989357308946579</v>
          </cell>
          <cell r="N40">
            <v>76.325226312801149</v>
          </cell>
          <cell r="Q40">
            <v>2.0500000000000007</v>
          </cell>
          <cell r="X40">
            <v>-4379.8333340683203</v>
          </cell>
          <cell r="Y40">
            <v>706.31999999999994</v>
          </cell>
          <cell r="AD40">
            <v>-14.878588553555778</v>
          </cell>
          <cell r="AH40">
            <v>190.78635188895404</v>
          </cell>
          <cell r="AI40">
            <v>492.891855162936</v>
          </cell>
          <cell r="AO40">
            <v>300</v>
          </cell>
          <cell r="AR40">
            <v>40.566472923157285</v>
          </cell>
        </row>
        <row r="41">
          <cell r="A41">
            <v>346.125</v>
          </cell>
          <cell r="E41">
            <v>16.311629814633001</v>
          </cell>
          <cell r="G41">
            <v>38.036000000000001</v>
          </cell>
          <cell r="L41">
            <v>7.5324702267909833</v>
          </cell>
          <cell r="N41">
            <v>113.64660863002098</v>
          </cell>
          <cell r="Q41">
            <v>1.9200000000000017</v>
          </cell>
          <cell r="X41">
            <v>-2465.208638471353</v>
          </cell>
          <cell r="Y41">
            <v>706.31999999999994</v>
          </cell>
          <cell r="AD41">
            <v>-7.42047557786612</v>
          </cell>
          <cell r="AH41">
            <v>190.78635188895404</v>
          </cell>
          <cell r="AI41">
            <v>500.31233074080211</v>
          </cell>
          <cell r="AO41">
            <v>300</v>
          </cell>
          <cell r="AR41">
            <v>40.566472923157285</v>
          </cell>
        </row>
        <row r="42">
          <cell r="A42">
            <v>355</v>
          </cell>
          <cell r="E42">
            <v>17.549728097175002</v>
          </cell>
          <cell r="G42">
            <v>39.035000000000004</v>
          </cell>
          <cell r="L42">
            <v>8.7193376281545856</v>
          </cell>
          <cell r="N42">
            <v>109.34712852151635</v>
          </cell>
          <cell r="Q42">
            <v>1.5</v>
          </cell>
          <cell r="X42">
            <v>4182.3805087950059</v>
          </cell>
          <cell r="Y42">
            <v>706.31999999999994</v>
          </cell>
          <cell r="AD42">
            <v>3.8749244714374997</v>
          </cell>
          <cell r="AH42">
            <v>194.66127636039155</v>
          </cell>
          <cell r="AI42">
            <v>500.31233074080211</v>
          </cell>
          <cell r="AO42">
            <v>205</v>
          </cell>
          <cell r="AR42">
            <v>41.412215008602686</v>
          </cell>
        </row>
        <row r="43">
          <cell r="A43">
            <v>363.875</v>
          </cell>
          <cell r="E43">
            <v>18.909138878595002</v>
          </cell>
          <cell r="G43">
            <v>40.034000000000006</v>
          </cell>
          <cell r="L43">
            <v>10.122463356897718</v>
          </cell>
          <cell r="N43">
            <v>129.27119677939339</v>
          </cell>
          <cell r="Q43">
            <v>0.89000000000000057</v>
          </cell>
          <cell r="X43">
            <v>3837.177920449029</v>
          </cell>
          <cell r="Y43">
            <v>706.31999999999994</v>
          </cell>
          <cell r="AD43">
            <v>4.2525385773875</v>
          </cell>
          <cell r="AH43">
            <v>198.91381493777905</v>
          </cell>
          <cell r="AI43">
            <v>500.31233074080211</v>
          </cell>
          <cell r="AO43">
            <v>195</v>
          </cell>
          <cell r="AR43">
            <v>42.295099143626729</v>
          </cell>
        </row>
        <row r="44">
          <cell r="A44">
            <v>372.75</v>
          </cell>
          <cell r="E44">
            <v>19.111926153357004</v>
          </cell>
          <cell r="G44">
            <v>41.033000000000001</v>
          </cell>
          <cell r="L44">
            <v>10.340740211558963</v>
          </cell>
          <cell r="N44">
            <v>20.110036936302571</v>
          </cell>
          <cell r="Q44">
            <v>1</v>
          </cell>
          <cell r="X44">
            <v>5880.6241624210834</v>
          </cell>
          <cell r="Y44">
            <v>706.31999999999994</v>
          </cell>
          <cell r="AD44">
            <v>4.3088683759325006</v>
          </cell>
          <cell r="AH44">
            <v>203.22268331371154</v>
          </cell>
          <cell r="AI44">
            <v>500.31233074080211</v>
          </cell>
          <cell r="AO44">
            <v>195</v>
          </cell>
          <cell r="AR44">
            <v>43.189678101533488</v>
          </cell>
        </row>
        <row r="45">
          <cell r="A45">
            <v>381.625</v>
          </cell>
          <cell r="E45">
            <v>19.440516173742001</v>
          </cell>
          <cell r="G45">
            <v>42.031999999999996</v>
          </cell>
          <cell r="L45">
            <v>10.699372159980657</v>
          </cell>
          <cell r="N45">
            <v>33.041074100555669</v>
          </cell>
          <cell r="Q45">
            <v>1.25</v>
          </cell>
          <cell r="X45">
            <v>-5852.1816728692511</v>
          </cell>
          <cell r="Y45">
            <v>706.31999999999994</v>
          </cell>
          <cell r="AD45">
            <v>-27.552186173966422</v>
          </cell>
          <cell r="AH45">
            <v>203.22268331371154</v>
          </cell>
          <cell r="AI45">
            <v>527.8645169147685</v>
          </cell>
          <cell r="AO45">
            <v>285</v>
          </cell>
          <cell r="AR45">
            <v>43.189678101533488</v>
          </cell>
        </row>
        <row r="46">
          <cell r="A46">
            <v>390.5</v>
          </cell>
          <cell r="E46">
            <v>20.200976435043</v>
          </cell>
          <cell r="G46">
            <v>43.031000000000006</v>
          </cell>
          <cell r="L46">
            <v>11.552804769452916</v>
          </cell>
          <cell r="N46">
            <v>78.627490421591588</v>
          </cell>
          <cell r="Q46">
            <v>0.99000000000000021</v>
          </cell>
          <cell r="X46">
            <v>2317.0120582058639</v>
          </cell>
          <cell r="Y46">
            <v>706.31999999999994</v>
          </cell>
          <cell r="AD46">
            <v>4.6113823430675005</v>
          </cell>
          <cell r="AH46">
            <v>207.83406565677905</v>
          </cell>
          <cell r="AI46">
            <v>527.8645169147685</v>
          </cell>
          <cell r="AO46">
            <v>195</v>
          </cell>
          <cell r="AR46">
            <v>44.147063022830416</v>
          </cell>
        </row>
        <row r="47">
          <cell r="A47">
            <v>399.375</v>
          </cell>
          <cell r="E47">
            <v>21.412588869351001</v>
          </cell>
          <cell r="G47">
            <v>44.03</v>
          </cell>
          <cell r="L47">
            <v>12.980190523922362</v>
          </cell>
          <cell r="N47">
            <v>131.5062941019608</v>
          </cell>
          <cell r="Q47">
            <v>0.44000000000000128</v>
          </cell>
          <cell r="X47">
            <v>-5819.2033380460698</v>
          </cell>
          <cell r="Y47">
            <v>706.31999999999994</v>
          </cell>
          <cell r="AD47">
            <v>-29.55173310057323</v>
          </cell>
          <cell r="AH47">
            <v>207.83406565677905</v>
          </cell>
          <cell r="AI47">
            <v>557.41625001534169</v>
          </cell>
          <cell r="AO47">
            <v>285</v>
          </cell>
          <cell r="AR47">
            <v>44.147063022830416</v>
          </cell>
        </row>
        <row r="48">
          <cell r="A48">
            <v>408.25</v>
          </cell>
          <cell r="E48">
            <v>23.019033175938002</v>
          </cell>
          <cell r="G48">
            <v>45.029000000000003</v>
          </cell>
          <cell r="L48">
            <v>15.000884524492701</v>
          </cell>
          <cell r="N48">
            <v>186.16830012279581</v>
          </cell>
          <cell r="Q48">
            <v>0.22000000000000242</v>
          </cell>
          <cell r="X48">
            <v>-4898.1852777209178</v>
          </cell>
          <cell r="Y48">
            <v>706.31999999999994</v>
          </cell>
          <cell r="AD48">
            <v>-25.517212711541124</v>
          </cell>
          <cell r="AH48">
            <v>207.83406565677905</v>
          </cell>
          <cell r="AI48">
            <v>582.93346272688279</v>
          </cell>
          <cell r="AO48">
            <v>285</v>
          </cell>
          <cell r="AR48">
            <v>44.147063022830416</v>
          </cell>
        </row>
        <row r="49">
          <cell r="A49">
            <v>417.125</v>
          </cell>
          <cell r="E49">
            <v>24.266458957023001</v>
          </cell>
          <cell r="G49">
            <v>46.027999999999999</v>
          </cell>
          <cell r="L49">
            <v>16.670764816496632</v>
          </cell>
          <cell r="N49">
            <v>153.84752727685844</v>
          </cell>
          <cell r="Q49">
            <v>0.86000000000000298</v>
          </cell>
          <cell r="X49">
            <v>4779.7811136467171</v>
          </cell>
          <cell r="Y49">
            <v>706.31999999999994</v>
          </cell>
          <cell r="AD49">
            <v>5.7406830436175005</v>
          </cell>
          <cell r="AH49">
            <v>213.57474870039655</v>
          </cell>
          <cell r="AI49">
            <v>582.93346272688279</v>
          </cell>
          <cell r="AO49">
            <v>190</v>
          </cell>
          <cell r="AR49">
            <v>45.30834586519201</v>
          </cell>
        </row>
        <row r="50">
          <cell r="A50">
            <v>426</v>
          </cell>
          <cell r="E50">
            <v>25.219495791036003</v>
          </cell>
          <cell r="G50">
            <v>47.027000000000008</v>
          </cell>
          <cell r="L50">
            <v>18.005928004811182</v>
          </cell>
          <cell r="N50">
            <v>123.00974867292892</v>
          </cell>
          <cell r="Q50">
            <v>1.2000000000000011</v>
          </cell>
          <cell r="X50">
            <v>-1503.1213537290496</v>
          </cell>
          <cell r="Y50">
            <v>353.15999999999997</v>
          </cell>
          <cell r="AD50">
            <v>-7.0680836821609647</v>
          </cell>
          <cell r="AH50">
            <v>213.57474870039655</v>
          </cell>
          <cell r="AI50">
            <v>590.00154640904373</v>
          </cell>
          <cell r="AO50">
            <v>310</v>
          </cell>
          <cell r="AR50">
            <v>45.30834586519201</v>
          </cell>
        </row>
        <row r="51">
          <cell r="A51">
            <v>434.875</v>
          </cell>
          <cell r="E51">
            <v>23.792530114539002</v>
          </cell>
          <cell r="G51">
            <v>48.026000000000003</v>
          </cell>
          <cell r="L51">
            <v>16.025956721163723</v>
          </cell>
          <cell r="N51">
            <v>-182.41648070640923</v>
          </cell>
          <cell r="Q51">
            <v>1.1600000000000019</v>
          </cell>
          <cell r="X51">
            <v>-1393.0584199028613</v>
          </cell>
          <cell r="Y51">
            <v>353.15999999999997</v>
          </cell>
          <cell r="AD51">
            <v>-7.9724072289703418</v>
          </cell>
          <cell r="AH51">
            <v>213.57474870039655</v>
          </cell>
          <cell r="AI51">
            <v>597.97395363801411</v>
          </cell>
          <cell r="AO51">
            <v>285</v>
          </cell>
          <cell r="AR51">
            <v>45.30834586519201</v>
          </cell>
        </row>
        <row r="52">
          <cell r="A52">
            <v>443.75</v>
          </cell>
          <cell r="E52">
            <v>22.595591896758002</v>
          </cell>
          <cell r="G52">
            <v>48.988000000000007</v>
          </cell>
          <cell r="L52">
            <v>14.454070036587826</v>
          </cell>
          <cell r="N52">
            <v>-144.81929078354014</v>
          </cell>
          <cell r="Q52">
            <v>0.71000000000000263</v>
          </cell>
          <cell r="X52">
            <v>-5181.7725662366174</v>
          </cell>
          <cell r="Y52">
            <v>353.15999999999997</v>
          </cell>
          <cell r="AD52">
            <v>-31.125288416602462</v>
          </cell>
          <cell r="AH52">
            <v>213.57474870039655</v>
          </cell>
          <cell r="AI52">
            <v>629.09924205461652</v>
          </cell>
          <cell r="AO52">
            <v>285</v>
          </cell>
          <cell r="AR52">
            <v>45.30834586519201</v>
          </cell>
        </row>
        <row r="53">
          <cell r="A53">
            <v>452.625</v>
          </cell>
          <cell r="E53">
            <v>22.056056467209</v>
          </cell>
          <cell r="G53">
            <v>50.024000000000001</v>
          </cell>
          <cell r="L53">
            <v>13.772045224074137</v>
          </cell>
          <cell r="N53">
            <v>-62.835540636734116</v>
          </cell>
          <cell r="Q53">
            <v>0.39000000000000057</v>
          </cell>
          <cell r="X53">
            <v>5819.2033380460798</v>
          </cell>
          <cell r="Y53">
            <v>353.15999999999997</v>
          </cell>
          <cell r="AD53">
            <v>5.1266823520024998</v>
          </cell>
          <cell r="AH53">
            <v>218.70143105239904</v>
          </cell>
          <cell r="AI53">
            <v>629.09924205461652</v>
          </cell>
          <cell r="AO53">
            <v>190</v>
          </cell>
          <cell r="AR53">
            <v>46.345422500216756</v>
          </cell>
        </row>
        <row r="54">
          <cell r="A54">
            <v>461.5</v>
          </cell>
          <cell r="E54">
            <v>22.011947039115</v>
          </cell>
          <cell r="G54">
            <v>51.022999999999996</v>
          </cell>
          <cell r="L54">
            <v>13.717015477541175</v>
          </cell>
          <cell r="N54">
            <v>-5.0699385287125347</v>
          </cell>
          <cell r="Q54">
            <v>0.61000000000000121</v>
          </cell>
          <cell r="X54">
            <v>-4117.0832565424271</v>
          </cell>
          <cell r="Y54">
            <v>353.15999999999997</v>
          </cell>
          <cell r="AD54">
            <v>-22.961372328462332</v>
          </cell>
          <cell r="AH54">
            <v>218.70143105239904</v>
          </cell>
          <cell r="AI54">
            <v>652.06061438307881</v>
          </cell>
          <cell r="AO54">
            <v>285</v>
          </cell>
          <cell r="AR54">
            <v>46.345422500216756</v>
          </cell>
        </row>
        <row r="55">
          <cell r="A55">
            <v>470.375</v>
          </cell>
          <cell r="E55">
            <v>22.000033151684999</v>
          </cell>
          <cell r="G55">
            <v>52.022000000000006</v>
          </cell>
          <cell r="L55">
            <v>13.702170924995771</v>
          </cell>
          <cell r="N55">
            <v>-1.3676415690259383</v>
          </cell>
          <cell r="Q55">
            <v>0.49000000000000021</v>
          </cell>
          <cell r="X55">
            <v>647.144203888471</v>
          </cell>
          <cell r="Y55">
            <v>353.15999999999997</v>
          </cell>
          <cell r="AD55">
            <v>6.1883571394605559</v>
          </cell>
          <cell r="AH55">
            <v>224.88978819185959</v>
          </cell>
          <cell r="AI55">
            <v>652.06061438307881</v>
          </cell>
          <cell r="AO55">
            <v>185</v>
          </cell>
          <cell r="AR55">
            <v>47.564322108195675</v>
          </cell>
        </row>
        <row r="56">
          <cell r="A56">
            <v>479.25</v>
          </cell>
          <cell r="E56">
            <v>22.032091242693003</v>
          </cell>
          <cell r="G56">
            <v>53.021000000000001</v>
          </cell>
          <cell r="L56">
            <v>13.742133181845503</v>
          </cell>
          <cell r="N56">
            <v>3.6817575667991713</v>
          </cell>
          <cell r="Q56">
            <v>0.96000000000000263</v>
          </cell>
          <cell r="X56">
            <v>-5432.4173485363972</v>
          </cell>
          <cell r="Y56">
            <v>353.15999999999997</v>
          </cell>
          <cell r="AD56">
            <v>-30.97854905480445</v>
          </cell>
          <cell r="AH56">
            <v>224.88978819185959</v>
          </cell>
          <cell r="AI56">
            <v>683.0391634378833</v>
          </cell>
          <cell r="AO56">
            <v>285</v>
          </cell>
          <cell r="AR56">
            <v>47.564322108195675</v>
          </cell>
        </row>
        <row r="57">
          <cell r="A57">
            <v>488.125</v>
          </cell>
          <cell r="E57">
            <v>22.155087965688001</v>
          </cell>
          <cell r="G57">
            <v>54.02</v>
          </cell>
          <cell r="L57">
            <v>13.895995591307814</v>
          </cell>
          <cell r="N57">
            <v>14.175477936941896</v>
          </cell>
          <cell r="Q57">
            <v>1.6300000000000008</v>
          </cell>
          <cell r="X57">
            <v>3230.6286195626799</v>
          </cell>
          <cell r="Y57">
            <v>353.15999999999997</v>
          </cell>
          <cell r="AD57">
            <v>5.1541911015800004</v>
          </cell>
          <cell r="AH57">
            <v>230.04397929343961</v>
          </cell>
          <cell r="AI57">
            <v>683.0391634378833</v>
          </cell>
          <cell r="AO57">
            <v>190</v>
          </cell>
          <cell r="AR57">
            <v>48.606963488505343</v>
          </cell>
        </row>
        <row r="58">
          <cell r="A58">
            <v>497</v>
          </cell>
          <cell r="E58">
            <v>22.558955567733001</v>
          </cell>
          <cell r="G58">
            <v>55.018999999999998</v>
          </cell>
          <cell r="L58">
            <v>14.40723658618986</v>
          </cell>
          <cell r="N58">
            <v>47.101078611315629</v>
          </cell>
          <cell r="Q58">
            <v>1.7200000000000024</v>
          </cell>
          <cell r="X58">
            <v>-5497.7790547942359</v>
          </cell>
          <cell r="Y58">
            <v>353.15999999999997</v>
          </cell>
          <cell r="AD58">
            <v>-31.852685922341408</v>
          </cell>
          <cell r="AH58">
            <v>230.04397929343961</v>
          </cell>
          <cell r="AI58">
            <v>714.89184936022468</v>
          </cell>
          <cell r="AO58">
            <v>285</v>
          </cell>
          <cell r="AR58">
            <v>48.606963488505343</v>
          </cell>
        </row>
        <row r="59">
          <cell r="A59">
            <v>505.875</v>
          </cell>
          <cell r="E59">
            <v>23.418467551512002</v>
          </cell>
          <cell r="G59">
            <v>56.018000000000008</v>
          </cell>
          <cell r="L59">
            <v>15.526002621992424</v>
          </cell>
          <cell r="N59">
            <v>103.07289033455628</v>
          </cell>
          <cell r="Q59">
            <v>1.4200000000000017</v>
          </cell>
          <cell r="X59">
            <v>-5497.7790547942604</v>
          </cell>
          <cell r="Y59">
            <v>353.15999999999997</v>
          </cell>
          <cell r="AD59">
            <v>-32.694913909233769</v>
          </cell>
          <cell r="AH59">
            <v>230.04397929343961</v>
          </cell>
          <cell r="AI59">
            <v>747.5867632694584</v>
          </cell>
          <cell r="AO59">
            <v>285</v>
          </cell>
          <cell r="AR59">
            <v>48.606963488505343</v>
          </cell>
        </row>
        <row r="60">
          <cell r="A60">
            <v>514.75</v>
          </cell>
          <cell r="E60">
            <v>24.665767089588002</v>
          </cell>
          <cell r="G60">
            <v>57.017000000000003</v>
          </cell>
          <cell r="L60">
            <v>17.2239185384739</v>
          </cell>
          <cell r="N60">
            <v>156.43047380433492</v>
          </cell>
          <cell r="Q60">
            <v>1.1200000000000028</v>
          </cell>
          <cell r="X60">
            <v>3721.5100641520457</v>
          </cell>
          <cell r="Y60">
            <v>353.15999999999997</v>
          </cell>
          <cell r="AD60">
            <v>5.8516019693299999</v>
          </cell>
          <cell r="AH60">
            <v>235.89558126276961</v>
          </cell>
          <cell r="AI60">
            <v>747.5867632694584</v>
          </cell>
          <cell r="AO60">
            <v>190</v>
          </cell>
          <cell r="AR60">
            <v>49.790684121691548</v>
          </cell>
        </row>
        <row r="61">
          <cell r="A61">
            <v>523.625</v>
          </cell>
          <cell r="E61">
            <v>25.612918407063002</v>
          </cell>
          <cell r="G61">
            <v>58.015999999999998</v>
          </cell>
          <cell r="L61">
            <v>18.572092679323106</v>
          </cell>
          <cell r="N61">
            <v>124.20845907424281</v>
          </cell>
          <cell r="Q61">
            <v>0.25000000000000178</v>
          </cell>
          <cell r="X61">
            <v>1132.8584740071299</v>
          </cell>
          <cell r="Y61">
            <v>353.15999999999997</v>
          </cell>
          <cell r="AD61">
            <v>11.588415707864559</v>
          </cell>
          <cell r="AH61">
            <v>247.48399697063417</v>
          </cell>
          <cell r="AI61">
            <v>747.5867632694584</v>
          </cell>
          <cell r="AO61">
            <v>200</v>
          </cell>
          <cell r="AR61">
            <v>52.258284915139697</v>
          </cell>
        </row>
        <row r="62">
          <cell r="A62">
            <v>532.5</v>
          </cell>
          <cell r="E62">
            <v>26.542420525971004</v>
          </cell>
          <cell r="G62">
            <v>59.015000000000001</v>
          </cell>
          <cell r="L62">
            <v>19.944527936635797</v>
          </cell>
          <cell r="N62">
            <v>126.44365688737638</v>
          </cell>
          <cell r="Q62">
            <v>0.28000000000000114</v>
          </cell>
          <cell r="X62">
            <v>-2991.8142073440208</v>
          </cell>
          <cell r="Y62">
            <v>353.15999999999997</v>
          </cell>
          <cell r="AD62">
            <v>-18.375214675643111</v>
          </cell>
          <cell r="AH62">
            <v>247.48399697063417</v>
          </cell>
          <cell r="AI62">
            <v>765.96197794510147</v>
          </cell>
          <cell r="AO62">
            <v>310</v>
          </cell>
          <cell r="AR62">
            <v>52.258284915139697</v>
          </cell>
        </row>
        <row r="63">
          <cell r="A63">
            <v>541.375</v>
          </cell>
          <cell r="E63">
            <v>27.701885631240003</v>
          </cell>
          <cell r="G63">
            <v>60.013999999999996</v>
          </cell>
          <cell r="L63">
            <v>21.725079485756169</v>
          </cell>
          <cell r="N63">
            <v>164.04376668965713</v>
          </cell>
          <cell r="Q63">
            <v>0.84999999999999964</v>
          </cell>
          <cell r="X63">
            <v>2906.5104052284132</v>
          </cell>
          <cell r="Y63">
            <v>353.15999999999997</v>
          </cell>
          <cell r="AD63">
            <v>6.6949682309000007</v>
          </cell>
          <cell r="AH63">
            <v>254.17896520153417</v>
          </cell>
          <cell r="AI63">
            <v>765.96197794510147</v>
          </cell>
          <cell r="AO63">
            <v>190</v>
          </cell>
          <cell r="AR63">
            <v>53.612610119584502</v>
          </cell>
        </row>
        <row r="64">
          <cell r="A64">
            <v>550.25</v>
          </cell>
          <cell r="E64">
            <v>28.755341298900003</v>
          </cell>
          <cell r="G64">
            <v>61.012999999999998</v>
          </cell>
          <cell r="L64">
            <v>23.40883300656116</v>
          </cell>
          <cell r="N64">
            <v>155.12567994241721</v>
          </cell>
          <cell r="Q64">
            <v>0.93000000000000149</v>
          </cell>
          <cell r="X64">
            <v>-3131.5178172638866</v>
          </cell>
          <cell r="Y64">
            <v>353.15999999999997</v>
          </cell>
          <cell r="AD64">
            <v>-20.766335120113656</v>
          </cell>
          <cell r="AH64">
            <v>254.17896520153417</v>
          </cell>
          <cell r="AI64">
            <v>786.72831306521516</v>
          </cell>
          <cell r="AO64">
            <v>310</v>
          </cell>
          <cell r="AR64">
            <v>53.612610119584502</v>
          </cell>
        </row>
        <row r="65">
          <cell r="A65">
            <v>559.125</v>
          </cell>
          <cell r="E65">
            <v>29.764526219460002</v>
          </cell>
          <cell r="G65">
            <v>62.012000000000008</v>
          </cell>
          <cell r="L65">
            <v>25.080758027020639</v>
          </cell>
          <cell r="N65">
            <v>154.03590989227442</v>
          </cell>
          <cell r="Q65">
            <v>0.53000000000000114</v>
          </cell>
          <cell r="X65">
            <v>1603.7382901369492</v>
          </cell>
          <cell r="Y65">
            <v>353.15999999999997</v>
          </cell>
          <cell r="AD65">
            <v>7.267923949850001</v>
          </cell>
          <cell r="AH65">
            <v>261.4468891513842</v>
          </cell>
          <cell r="AI65">
            <v>786.72831306521516</v>
          </cell>
          <cell r="AO65">
            <v>195</v>
          </cell>
          <cell r="AR65">
            <v>55.121528765027072</v>
          </cell>
        </row>
        <row r="66">
          <cell r="A66">
            <v>568</v>
          </cell>
          <cell r="E66">
            <v>30.715166313180003</v>
          </cell>
          <cell r="G66">
            <v>63.01100000000001</v>
          </cell>
          <cell r="L66">
            <v>26.708435720681351</v>
          </cell>
          <cell r="N66">
            <v>149.95936509490346</v>
          </cell>
          <cell r="Q66">
            <v>0</v>
          </cell>
          <cell r="X66">
            <v>379.72800394691984</v>
          </cell>
          <cell r="Y66">
            <v>353.15999999999997</v>
          </cell>
          <cell r="AD66">
            <v>7.7603216151107253</v>
          </cell>
          <cell r="AH66">
            <v>269.20721076649494</v>
          </cell>
          <cell r="AI66">
            <v>786.72831306521516</v>
          </cell>
          <cell r="AO66">
            <v>192</v>
          </cell>
          <cell r="AR66">
            <v>56.707888903228678</v>
          </cell>
        </row>
        <row r="67">
          <cell r="A67">
            <v>576.875</v>
          </cell>
          <cell r="E67">
            <v>31.689024787440001</v>
          </cell>
          <cell r="G67">
            <v>64.046999999999997</v>
          </cell>
          <cell r="L67">
            <v>28.428926367831032</v>
          </cell>
          <cell r="N67">
            <v>158.51030342378482</v>
          </cell>
          <cell r="Q67">
            <v>1.0000000000001563E-2</v>
          </cell>
          <cell r="X67">
            <v>-379.72800394691984</v>
          </cell>
          <cell r="Y67">
            <v>353.15999999999997</v>
          </cell>
          <cell r="AD67">
            <v>1.4116688197179745</v>
          </cell>
          <cell r="AH67">
            <v>270.61887958621293</v>
          </cell>
          <cell r="AI67">
            <v>786.72831306521516</v>
          </cell>
          <cell r="AO67">
            <v>250</v>
          </cell>
          <cell r="AR67">
            <v>57.083634301417369</v>
          </cell>
        </row>
        <row r="68">
          <cell r="A68">
            <v>585.75</v>
          </cell>
          <cell r="E68">
            <v>32.640614594550001</v>
          </cell>
          <cell r="G68">
            <v>65.045999999999992</v>
          </cell>
          <cell r="L68">
            <v>30.161946502719207</v>
          </cell>
          <cell r="N68">
            <v>159.66465605363544</v>
          </cell>
          <cell r="Q68">
            <v>0</v>
          </cell>
          <cell r="X68">
            <v>4298.5240330921633</v>
          </cell>
          <cell r="Y68">
            <v>353.15999999999997</v>
          </cell>
          <cell r="AD68">
            <v>8.066837387375001</v>
          </cell>
          <cell r="AH68">
            <v>278.68571697358794</v>
          </cell>
          <cell r="AI68">
            <v>786.72831306521516</v>
          </cell>
          <cell r="AO68">
            <v>200</v>
          </cell>
          <cell r="AR68">
            <v>58.801361283216494</v>
          </cell>
        </row>
        <row r="69">
          <cell r="A69">
            <v>594.625</v>
          </cell>
          <cell r="E69">
            <v>33.573955894379999</v>
          </cell>
          <cell r="G69">
            <v>66.045000000000002</v>
          </cell>
          <cell r="L69">
            <v>31.911538405288827</v>
          </cell>
          <cell r="N69">
            <v>161.19142745910975</v>
          </cell>
          <cell r="Q69">
            <v>0.36000000000000121</v>
          </cell>
          <cell r="X69">
            <v>647.14420388853591</v>
          </cell>
          <cell r="Y69">
            <v>353.15999999999997</v>
          </cell>
          <cell r="AD69">
            <v>11.129833244811634</v>
          </cell>
          <cell r="AH69">
            <v>289.81555021839955</v>
          </cell>
          <cell r="AI69">
            <v>786.72831306521516</v>
          </cell>
          <cell r="AO69">
            <v>200</v>
          </cell>
          <cell r="AR69">
            <v>61.171312969295911</v>
          </cell>
        </row>
        <row r="70">
          <cell r="A70">
            <v>603.5</v>
          </cell>
          <cell r="E70">
            <v>32.757073576290004</v>
          </cell>
          <cell r="G70">
            <v>67.044000000000011</v>
          </cell>
          <cell r="L70">
            <v>30.377561067881224</v>
          </cell>
          <cell r="N70">
            <v>-141.32666957563177</v>
          </cell>
          <cell r="Q70">
            <v>0.83000000000000185</v>
          </cell>
          <cell r="X70">
            <v>2465.2086384714767</v>
          </cell>
          <cell r="Y70">
            <v>353.15999999999997</v>
          </cell>
          <cell r="AD70">
            <v>8.0991871045250008</v>
          </cell>
          <cell r="AH70">
            <v>297.91473732292457</v>
          </cell>
          <cell r="AI70">
            <v>786.72831306521516</v>
          </cell>
          <cell r="AO70">
            <v>200</v>
          </cell>
          <cell r="AR70">
            <v>62.895928398120027</v>
          </cell>
        </row>
        <row r="71">
          <cell r="A71">
            <v>612.375</v>
          </cell>
          <cell r="E71">
            <v>30.961031908500001</v>
          </cell>
          <cell r="G71">
            <v>68.043000000000006</v>
          </cell>
          <cell r="L71">
            <v>27.137732931349227</v>
          </cell>
          <cell r="N71">
            <v>-298.48819103631126</v>
          </cell>
          <cell r="Q71">
            <v>1.25</v>
          </cell>
          <cell r="X71">
            <v>4624.3348933683783</v>
          </cell>
          <cell r="Y71">
            <v>353.15999999999997</v>
          </cell>
          <cell r="AD71">
            <v>7.6002866412499994</v>
          </cell>
          <cell r="AH71">
            <v>305.51502396417459</v>
          </cell>
          <cell r="AI71">
            <v>786.72831306521516</v>
          </cell>
          <cell r="AO71">
            <v>192</v>
          </cell>
          <cell r="AR71">
            <v>64.449574286082765</v>
          </cell>
        </row>
        <row r="72">
          <cell r="A72">
            <v>621.25</v>
          </cell>
          <cell r="E72">
            <v>30.594065052690002</v>
          </cell>
          <cell r="G72">
            <v>69.004999999999995</v>
          </cell>
          <cell r="L72">
            <v>26.498243206393116</v>
          </cell>
          <cell r="N72">
            <v>-58.916745933560783</v>
          </cell>
          <cell r="Q72">
            <v>1.3900000000000006</v>
          </cell>
          <cell r="X72">
            <v>5819.2033380460898</v>
          </cell>
          <cell r="Y72">
            <v>353.15999999999997</v>
          </cell>
          <cell r="AD72">
            <v>7.4983514035250014</v>
          </cell>
          <cell r="AH72">
            <v>313.01337536769961</v>
          </cell>
          <cell r="AI72">
            <v>786.72831306521516</v>
          </cell>
          <cell r="AO72">
            <v>180</v>
          </cell>
          <cell r="AR72">
            <v>65.886582114020868</v>
          </cell>
        </row>
        <row r="73">
          <cell r="A73">
            <v>630.125</v>
          </cell>
          <cell r="E73">
            <v>30.937466233170003</v>
          </cell>
          <cell r="G73">
            <v>70.040999999999997</v>
          </cell>
          <cell r="L73">
            <v>27.096437432953639</v>
          </cell>
          <cell r="N73">
            <v>55.112155660683563</v>
          </cell>
          <cell r="Q73">
            <v>1.610000000000003</v>
          </cell>
          <cell r="X73">
            <v>5884.6056739907799</v>
          </cell>
          <cell r="Y73">
            <v>353.15999999999997</v>
          </cell>
          <cell r="AD73">
            <v>7.5937406203250006</v>
          </cell>
          <cell r="AH73">
            <v>320.60711598802459</v>
          </cell>
          <cell r="AI73">
            <v>786.72831306521516</v>
          </cell>
          <cell r="AO73">
            <v>180</v>
          </cell>
          <cell r="AR73">
            <v>67.341870633789185</v>
          </cell>
        </row>
        <row r="74">
          <cell r="A74">
            <v>639</v>
          </cell>
          <cell r="E74">
            <v>31.00816541619</v>
          </cell>
          <cell r="G74">
            <v>71.040000000000006</v>
          </cell>
          <cell r="L74">
            <v>27.220422046072947</v>
          </cell>
          <cell r="N74">
            <v>11.422810509304714</v>
          </cell>
          <cell r="Q74">
            <v>1.8499999999999996</v>
          </cell>
          <cell r="X74">
            <v>3541.2823800866458</v>
          </cell>
          <cell r="Y74">
            <v>353.15999999999997</v>
          </cell>
          <cell r="AD74">
            <v>7.6133792822749999</v>
          </cell>
          <cell r="AH74">
            <v>328.22049527029958</v>
          </cell>
          <cell r="AI74">
            <v>786.72831306521516</v>
          </cell>
          <cell r="AO74">
            <v>192</v>
          </cell>
          <cell r="AR74">
            <v>68.898192911321317</v>
          </cell>
        </row>
        <row r="75">
          <cell r="A75">
            <v>647.875</v>
          </cell>
          <cell r="E75">
            <v>31.110047406</v>
          </cell>
          <cell r="G75">
            <v>72.00200000000001</v>
          </cell>
          <cell r="L75">
            <v>27.399589482989878</v>
          </cell>
          <cell r="N75">
            <v>16.506852179879345</v>
          </cell>
          <cell r="Q75">
            <v>1.9500000000000011</v>
          </cell>
          <cell r="X75">
            <v>0</v>
          </cell>
          <cell r="Y75">
            <v>353.15999999999997</v>
          </cell>
          <cell r="AD75">
            <v>3.4313210620732204</v>
          </cell>
          <cell r="AH75">
            <v>331.65181633237279</v>
          </cell>
          <cell r="AI75">
            <v>786.72831306521516</v>
          </cell>
          <cell r="AO75">
            <v>205</v>
          </cell>
          <cell r="AR75">
            <v>69.647113994109276</v>
          </cell>
        </row>
        <row r="76">
          <cell r="A76">
            <v>656.75</v>
          </cell>
          <cell r="E76">
            <v>31.41513811746</v>
          </cell>
          <cell r="G76">
            <v>72.963999999999999</v>
          </cell>
          <cell r="L76">
            <v>27.939630423483909</v>
          </cell>
          <cell r="N76">
            <v>49.754442711322277</v>
          </cell>
          <cell r="Q76">
            <v>1.9500000000000011</v>
          </cell>
          <cell r="X76">
            <v>-5657.0287069786191</v>
          </cell>
          <cell r="Y76">
            <v>353.15999999999997</v>
          </cell>
          <cell r="AD76">
            <v>-45.60583276338037</v>
          </cell>
          <cell r="AH76">
            <v>331.65181633237279</v>
          </cell>
          <cell r="AI76">
            <v>832.33414582859552</v>
          </cell>
          <cell r="AO76">
            <v>300</v>
          </cell>
          <cell r="AR76">
            <v>69.647113994109276</v>
          </cell>
        </row>
        <row r="77">
          <cell r="A77">
            <v>665.625</v>
          </cell>
          <cell r="E77">
            <v>32.085352916910004</v>
          </cell>
          <cell r="G77">
            <v>74.037000000000006</v>
          </cell>
          <cell r="L77">
            <v>29.144482713302306</v>
          </cell>
          <cell r="N77">
            <v>111.00409197594378</v>
          </cell>
          <cell r="Q77">
            <v>1.75</v>
          </cell>
          <cell r="X77">
            <v>5621.8255389440837</v>
          </cell>
          <cell r="Y77">
            <v>353.15999999999997</v>
          </cell>
          <cell r="AD77">
            <v>7.9125980324750014</v>
          </cell>
          <cell r="AH77">
            <v>339.56441436484778</v>
          </cell>
          <cell r="AI77">
            <v>832.33414582859552</v>
          </cell>
          <cell r="AO77">
            <v>192</v>
          </cell>
          <cell r="AR77">
            <v>71.26460238323601</v>
          </cell>
        </row>
        <row r="78">
          <cell r="A78">
            <v>674.5</v>
          </cell>
          <cell r="E78">
            <v>32.967331828380004</v>
          </cell>
          <cell r="G78">
            <v>75.036000000000001</v>
          </cell>
          <cell r="L78">
            <v>30.7687823083407</v>
          </cell>
          <cell r="N78">
            <v>149.64813792345345</v>
          </cell>
          <cell r="Q78">
            <v>2.0400000000000009</v>
          </cell>
          <cell r="X78">
            <v>-1132.8584740070639</v>
          </cell>
          <cell r="Y78">
            <v>353.15999999999997</v>
          </cell>
          <cell r="AD78">
            <v>-5.4879760672045759</v>
          </cell>
          <cell r="AH78">
            <v>339.56441436484778</v>
          </cell>
          <cell r="AI78">
            <v>837.82212189580014</v>
          </cell>
          <cell r="AO78">
            <v>285</v>
          </cell>
          <cell r="AR78">
            <v>71.26460238323601</v>
          </cell>
        </row>
        <row r="79">
          <cell r="A79">
            <v>683.375</v>
          </cell>
          <cell r="E79">
            <v>33.95124016866</v>
          </cell>
          <cell r="G79">
            <v>76.035000000000011</v>
          </cell>
          <cell r="L79">
            <v>32.632774192009471</v>
          </cell>
          <cell r="N79">
            <v>171.73119746352245</v>
          </cell>
          <cell r="Q79">
            <v>2.0100000000000033</v>
          </cell>
          <cell r="X79">
            <v>1503.1213537289843</v>
          </cell>
          <cell r="Y79">
            <v>353.15999999999997</v>
          </cell>
          <cell r="AD79">
            <v>8.4309000468499988</v>
          </cell>
          <cell r="AH79">
            <v>347.99531441169779</v>
          </cell>
          <cell r="AI79">
            <v>837.82212189580014</v>
          </cell>
          <cell r="AO79">
            <v>200</v>
          </cell>
          <cell r="AR79">
            <v>73.059851722709595</v>
          </cell>
        </row>
        <row r="80">
          <cell r="A80">
            <v>692.25</v>
          </cell>
          <cell r="E80">
            <v>34.807832887949999</v>
          </cell>
          <cell r="G80">
            <v>77.034000000000006</v>
          </cell>
          <cell r="L80">
            <v>34.300202238998139</v>
          </cell>
          <cell r="N80">
            <v>153.62159980548142</v>
          </cell>
          <cell r="Q80">
            <v>2.0500000000000007</v>
          </cell>
          <cell r="X80">
            <v>-4379.8333340683203</v>
          </cell>
          <cell r="Y80">
            <v>353.15999999999997</v>
          </cell>
          <cell r="AD80">
            <v>-37.116283840291075</v>
          </cell>
          <cell r="AH80">
            <v>347.99531441169779</v>
          </cell>
          <cell r="AI80">
            <v>874.93840573609123</v>
          </cell>
          <cell r="AO80">
            <v>285</v>
          </cell>
          <cell r="AR80">
            <v>73.059851722709595</v>
          </cell>
        </row>
        <row r="81">
          <cell r="A81">
            <v>701.125</v>
          </cell>
          <cell r="E81">
            <v>35.624909535299999</v>
          </cell>
          <cell r="G81">
            <v>78.033000000000001</v>
          </cell>
          <cell r="L81">
            <v>35.929423643614165</v>
          </cell>
          <cell r="N81">
            <v>150.10158853118244</v>
          </cell>
          <cell r="Q81">
            <v>1.9200000000000017</v>
          </cell>
          <cell r="X81">
            <v>-2465.208638471353</v>
          </cell>
          <cell r="Y81">
            <v>353.15999999999997</v>
          </cell>
          <cell r="AD81">
            <v>-19.059501027835577</v>
          </cell>
          <cell r="AH81">
            <v>347.99531441169779</v>
          </cell>
          <cell r="AI81">
            <v>893.99790676392684</v>
          </cell>
          <cell r="AO81">
            <v>285</v>
          </cell>
          <cell r="AR81">
            <v>73.059851722709595</v>
          </cell>
        </row>
        <row r="82">
          <cell r="A82">
            <v>710</v>
          </cell>
          <cell r="E82">
            <v>36.410438982240002</v>
          </cell>
          <cell r="G82">
            <v>79.031999999999996</v>
          </cell>
          <cell r="L82">
            <v>37.531380597072541</v>
          </cell>
          <cell r="N82">
            <v>147.58969087405805</v>
          </cell>
          <cell r="Q82">
            <v>1.5</v>
          </cell>
          <cell r="X82">
            <v>4182.3805087950059</v>
          </cell>
          <cell r="Y82">
            <v>353.15999999999997</v>
          </cell>
          <cell r="AD82">
            <v>9.1140108284000014</v>
          </cell>
          <cell r="AH82">
            <v>357.1093252400978</v>
          </cell>
          <cell r="AI82">
            <v>893.99790676392684</v>
          </cell>
          <cell r="AO82">
            <v>200</v>
          </cell>
          <cell r="AR82">
            <v>75.000560523515915</v>
          </cell>
        </row>
        <row r="83">
          <cell r="A83">
            <v>718.875</v>
          </cell>
          <cell r="E83">
            <v>37.167295103370002</v>
          </cell>
          <cell r="G83">
            <v>80.031000000000006</v>
          </cell>
          <cell r="L83">
            <v>39.107911350535019</v>
          </cell>
          <cell r="N83">
            <v>145.24715289924242</v>
          </cell>
          <cell r="Q83">
            <v>0.89000000000000057</v>
          </cell>
          <cell r="X83">
            <v>3837.177920449029</v>
          </cell>
          <cell r="Y83">
            <v>353.15999999999997</v>
          </cell>
          <cell r="AD83">
            <v>9.3242486398250009</v>
          </cell>
          <cell r="AH83">
            <v>366.43357387992279</v>
          </cell>
          <cell r="AI83">
            <v>893.99790676392684</v>
          </cell>
          <cell r="AO83">
            <v>200</v>
          </cell>
          <cell r="AR83">
            <v>76.986036702656179</v>
          </cell>
        </row>
        <row r="84">
          <cell r="A84">
            <v>727.75</v>
          </cell>
          <cell r="E84">
            <v>37.886993477280001</v>
          </cell>
          <cell r="G84">
            <v>81.03</v>
          </cell>
          <cell r="L84">
            <v>40.637127037410657</v>
          </cell>
          <cell r="N84">
            <v>140.88797456042042</v>
          </cell>
          <cell r="Q84">
            <v>1</v>
          </cell>
          <cell r="X84">
            <v>5880.6241624210834</v>
          </cell>
          <cell r="Y84">
            <v>353.15999999999997</v>
          </cell>
          <cell r="AD84">
            <v>9.5241648548000004</v>
          </cell>
          <cell r="AH84">
            <v>375.9577387347228</v>
          </cell>
          <cell r="AI84">
            <v>893.99790676392684</v>
          </cell>
          <cell r="AO84">
            <v>200</v>
          </cell>
          <cell r="AR84">
            <v>79.014082411845379</v>
          </cell>
        </row>
        <row r="85">
          <cell r="A85">
            <v>736.625</v>
          </cell>
          <cell r="E85">
            <v>38.499563152800008</v>
          </cell>
          <cell r="G85">
            <v>82.029000000000011</v>
          </cell>
          <cell r="L85">
            <v>41.961819719808361</v>
          </cell>
          <cell r="N85">
            <v>122.04509183353895</v>
          </cell>
          <cell r="Q85">
            <v>1.25</v>
          </cell>
          <cell r="X85">
            <v>-5852.1816728692511</v>
          </cell>
          <cell r="Y85">
            <v>353.15999999999997</v>
          </cell>
          <cell r="AD85">
            <v>-57.054371590111643</v>
          </cell>
          <cell r="AH85">
            <v>375.9577387347228</v>
          </cell>
          <cell r="AI85">
            <v>951.05227835403844</v>
          </cell>
          <cell r="AO85">
            <v>285</v>
          </cell>
          <cell r="AR85">
            <v>79.014082411845379</v>
          </cell>
        </row>
        <row r="86">
          <cell r="A86">
            <v>745.5</v>
          </cell>
          <cell r="E86">
            <v>39.280200092009999</v>
          </cell>
          <cell r="G86">
            <v>83.028000000000006</v>
          </cell>
          <cell r="L86">
            <v>43.680750645027366</v>
          </cell>
          <cell r="N86">
            <v>158.3666048823855</v>
          </cell>
          <cell r="Q86">
            <v>0.99000000000000021</v>
          </cell>
          <cell r="X86">
            <v>2317.0120582058639</v>
          </cell>
          <cell r="Y86">
            <v>353.15999999999997</v>
          </cell>
          <cell r="AD86">
            <v>9.9111666922249988</v>
          </cell>
          <cell r="AH86">
            <v>385.86890542694778</v>
          </cell>
          <cell r="AI86">
            <v>951.05227835403844</v>
          </cell>
          <cell r="AO86">
            <v>200</v>
          </cell>
          <cell r="AR86">
            <v>81.124535075114395</v>
          </cell>
        </row>
        <row r="87">
          <cell r="A87">
            <v>754.375</v>
          </cell>
          <cell r="E87">
            <v>40.025067825690002</v>
          </cell>
          <cell r="G87">
            <v>84.027000000000001</v>
          </cell>
          <cell r="L87">
            <v>45.353088069298074</v>
          </cell>
          <cell r="N87">
            <v>154.0739050149794</v>
          </cell>
          <cell r="Q87">
            <v>0.44000000000000128</v>
          </cell>
          <cell r="X87">
            <v>-5819.2033380460698</v>
          </cell>
          <cell r="Y87">
            <v>353.15999999999997</v>
          </cell>
          <cell r="AD87">
            <v>-58.554632338606467</v>
          </cell>
          <cell r="AH87">
            <v>385.86890542694778</v>
          </cell>
          <cell r="AI87">
            <v>1009.6069106926449</v>
          </cell>
          <cell r="AO87">
            <v>285</v>
          </cell>
          <cell r="AR87">
            <v>81.124535075114395</v>
          </cell>
        </row>
        <row r="88">
          <cell r="A88">
            <v>763.25</v>
          </cell>
          <cell r="E88">
            <v>40.722937457760004</v>
          </cell>
          <cell r="G88">
            <v>84.989000000000004</v>
          </cell>
          <cell r="L88">
            <v>46.948411755455972</v>
          </cell>
          <cell r="N88">
            <v>146.97856217409549</v>
          </cell>
          <cell r="Q88">
            <v>0.22000000000000242</v>
          </cell>
          <cell r="X88">
            <v>-4898.1852777209178</v>
          </cell>
          <cell r="Y88">
            <v>353.15999999999997</v>
          </cell>
          <cell r="AD88">
            <v>-49.219306693850406</v>
          </cell>
          <cell r="AH88">
            <v>385.86890542694778</v>
          </cell>
          <cell r="AI88">
            <v>1058.8262173864953</v>
          </cell>
          <cell r="AO88">
            <v>285</v>
          </cell>
          <cell r="AR88">
            <v>81.124535075114395</v>
          </cell>
        </row>
        <row r="89">
          <cell r="A89">
            <v>772.125</v>
          </cell>
          <cell r="E89">
            <v>41.427334832850001</v>
          </cell>
          <cell r="G89">
            <v>85.988</v>
          </cell>
          <cell r="L89">
            <v>48.586621279277786</v>
          </cell>
          <cell r="N89">
            <v>150.92967179038658</v>
          </cell>
          <cell r="Q89">
            <v>0.86000000000000298</v>
          </cell>
          <cell r="X89">
            <v>4779.7811136467171</v>
          </cell>
          <cell r="Y89">
            <v>353.15999999999997</v>
          </cell>
          <cell r="AD89">
            <v>10.507593009124999</v>
          </cell>
          <cell r="AH89">
            <v>396.37649843607278</v>
          </cell>
          <cell r="AI89">
            <v>1058.8262173864953</v>
          </cell>
          <cell r="AO89">
            <v>200</v>
          </cell>
          <cell r="AR89">
            <v>83.361988882449808</v>
          </cell>
        </row>
        <row r="90">
          <cell r="A90">
            <v>781</v>
          </cell>
          <cell r="E90">
            <v>42.132572879400001</v>
          </cell>
          <cell r="G90">
            <v>87.024000000000001</v>
          </cell>
          <cell r="L90">
            <v>50.254929906634629</v>
          </cell>
          <cell r="N90">
            <v>153.70272844258017</v>
          </cell>
          <cell r="Q90">
            <v>1.2000000000000011</v>
          </cell>
          <cell r="X90">
            <v>-1503.1213537290496</v>
          </cell>
          <cell r="Y90">
            <v>353.15999999999997</v>
          </cell>
          <cell r="AD90">
            <v>-11.071547122159057</v>
          </cell>
          <cell r="AH90">
            <v>396.37649843607278</v>
          </cell>
          <cell r="AI90">
            <v>1069.8977645086543</v>
          </cell>
          <cell r="AO90">
            <v>285</v>
          </cell>
          <cell r="AR90">
            <v>83.361988882449808</v>
          </cell>
        </row>
        <row r="91">
          <cell r="A91">
            <v>789.875</v>
          </cell>
          <cell r="E91">
            <v>42.780371090850004</v>
          </cell>
          <cell r="G91">
            <v>88.022999999999996</v>
          </cell>
          <cell r="L91">
            <v>51.812172784037763</v>
          </cell>
          <cell r="N91">
            <v>143.47014406072739</v>
          </cell>
          <cell r="Q91">
            <v>1.1600000000000019</v>
          </cell>
          <cell r="X91">
            <v>-1393.0584199028613</v>
          </cell>
          <cell r="Y91">
            <v>353.15999999999997</v>
          </cell>
          <cell r="AD91">
            <v>-10.036941755036937</v>
          </cell>
          <cell r="AH91">
            <v>396.37649843607278</v>
          </cell>
          <cell r="AI91">
            <v>1079.9347062636912</v>
          </cell>
          <cell r="AO91">
            <v>285</v>
          </cell>
          <cell r="AR91">
            <v>83.361988882449808</v>
          </cell>
        </row>
        <row r="92">
          <cell r="A92">
            <v>798.75</v>
          </cell>
          <cell r="E92">
            <v>43.389811047060007</v>
          </cell>
          <cell r="G92">
            <v>89.022000000000006</v>
          </cell>
          <cell r="L92">
            <v>53.2988977870735</v>
          </cell>
          <cell r="N92">
            <v>136.97327081047388</v>
          </cell>
          <cell r="Q92">
            <v>0.71000000000000263</v>
          </cell>
          <cell r="X92">
            <v>-5181.7725662366174</v>
          </cell>
          <cell r="Y92">
            <v>353.15999999999997</v>
          </cell>
          <cell r="AD92">
            <v>-55.90464261819568</v>
          </cell>
          <cell r="AH92">
            <v>396.37649843607278</v>
          </cell>
          <cell r="AI92">
            <v>1135.839348881887</v>
          </cell>
          <cell r="AO92">
            <v>310</v>
          </cell>
          <cell r="AR92">
            <v>83.361988882449808</v>
          </cell>
        </row>
        <row r="93">
          <cell r="A93">
            <v>807.625</v>
          </cell>
          <cell r="E93">
            <v>43.835720573880003</v>
          </cell>
          <cell r="G93">
            <v>90.021000000000001</v>
          </cell>
          <cell r="L93">
            <v>54.400013820297765</v>
          </cell>
          <cell r="N93">
            <v>101.44678020791837</v>
          </cell>
          <cell r="Q93">
            <v>0.39000000000000057</v>
          </cell>
          <cell r="X93">
            <v>4624.3348933683783</v>
          </cell>
          <cell r="Y93">
            <v>353.15999999999997</v>
          </cell>
          <cell r="AD93">
            <v>11.1765890483</v>
          </cell>
          <cell r="AH93">
            <v>407.55308748437278</v>
          </cell>
          <cell r="AI93">
            <v>1135.839348881887</v>
          </cell>
          <cell r="AO93">
            <v>200</v>
          </cell>
          <cell r="AR93">
            <v>85.741896602269705</v>
          </cell>
        </row>
        <row r="94">
          <cell r="A94">
            <v>816.5</v>
          </cell>
          <cell r="E94">
            <v>44.502235847640009</v>
          </cell>
          <cell r="G94">
            <v>91.02000000000001</v>
          </cell>
          <cell r="L94">
            <v>56.066877810691366</v>
          </cell>
          <cell r="N94">
            <v>153.56963277957522</v>
          </cell>
          <cell r="Q94">
            <v>0.53000000000000114</v>
          </cell>
          <cell r="X94">
            <v>1603.7382901369492</v>
          </cell>
          <cell r="Y94">
            <v>353.15999999999997</v>
          </cell>
          <cell r="AD94">
            <v>11.361732179900002</v>
          </cell>
          <cell r="AH94">
            <v>418.91481966427278</v>
          </cell>
          <cell r="AI94">
            <v>1135.839348881887</v>
          </cell>
          <cell r="AO94">
            <v>200</v>
          </cell>
          <cell r="AR94">
            <v>88.161228118228323</v>
          </cell>
        </row>
        <row r="95">
          <cell r="A95">
            <v>825.375</v>
          </cell>
          <cell r="E95">
            <v>45.114384377160007</v>
          </cell>
          <cell r="G95">
            <v>92.019000000000005</v>
          </cell>
          <cell r="L95">
            <v>57.619937265369437</v>
          </cell>
          <cell r="N95">
            <v>143.08472167752649</v>
          </cell>
          <cell r="Q95">
            <v>0</v>
          </cell>
          <cell r="X95">
            <v>379.72800394691984</v>
          </cell>
          <cell r="Y95">
            <v>353.15999999999997</v>
          </cell>
          <cell r="AD95">
            <v>11.699571734807643</v>
          </cell>
          <cell r="AH95">
            <v>430.61439139908043</v>
          </cell>
          <cell r="AI95">
            <v>1135.839348881887</v>
          </cell>
          <cell r="AO95">
            <v>200</v>
          </cell>
          <cell r="AR95">
            <v>90.652498126450595</v>
          </cell>
        </row>
        <row r="96">
          <cell r="A96">
            <v>834.25</v>
          </cell>
          <cell r="E96">
            <v>45.712590923430007</v>
          </cell>
          <cell r="G96">
            <v>93.018000000000001</v>
          </cell>
          <cell r="L96">
            <v>59.158122801038935</v>
          </cell>
          <cell r="N96">
            <v>141.71437455064139</v>
          </cell>
          <cell r="Q96">
            <v>1.0000000000001563E-2</v>
          </cell>
          <cell r="X96">
            <v>-379.72800394691984</v>
          </cell>
          <cell r="Y96">
            <v>353.15999999999997</v>
          </cell>
          <cell r="AD96">
            <v>2.2133083342020883</v>
          </cell>
          <cell r="AH96">
            <v>432.82769973328254</v>
          </cell>
          <cell r="AI96">
            <v>1135.839348881887</v>
          </cell>
          <cell r="AO96">
            <v>215</v>
          </cell>
          <cell r="AR96">
            <v>91.159140160595058</v>
          </cell>
        </row>
        <row r="97">
          <cell r="A97">
            <v>843.125</v>
          </cell>
          <cell r="E97">
            <v>46.291695173550004</v>
          </cell>
          <cell r="G97">
            <v>94.01700000000001</v>
          </cell>
          <cell r="L97">
            <v>60.666491537407104</v>
          </cell>
          <cell r="N97">
            <v>138.96732683363922</v>
          </cell>
          <cell r="Q97">
            <v>0</v>
          </cell>
          <cell r="X97">
            <v>4298.5240330921633</v>
          </cell>
          <cell r="Y97">
            <v>353.15999999999997</v>
          </cell>
          <cell r="AD97">
            <v>11.858804214875001</v>
          </cell>
          <cell r="AH97">
            <v>444.68650394815756</v>
          </cell>
          <cell r="AI97">
            <v>1135.839348881887</v>
          </cell>
          <cell r="AO97">
            <v>200</v>
          </cell>
          <cell r="AR97">
            <v>93.684316632311763</v>
          </cell>
        </row>
        <row r="98">
          <cell r="A98">
            <v>852</v>
          </cell>
          <cell r="E98">
            <v>46.851642222480002</v>
          </cell>
          <cell r="G98">
            <v>95.016000000000005</v>
          </cell>
          <cell r="L98">
            <v>62.143018783509746</v>
          </cell>
          <cell r="N98">
            <v>136.03374257276775</v>
          </cell>
          <cell r="Q98">
            <v>0.36000000000000121</v>
          </cell>
          <cell r="X98">
            <v>647.14420388853591</v>
          </cell>
          <cell r="Y98">
            <v>353.15999999999997</v>
          </cell>
          <cell r="AD98">
            <v>12.014345061800002</v>
          </cell>
          <cell r="AH98">
            <v>456.70084900995755</v>
          </cell>
          <cell r="AI98">
            <v>1135.839348881887</v>
          </cell>
          <cell r="AO98">
            <v>200</v>
          </cell>
          <cell r="AR98">
            <v>96.242613482772327</v>
          </cell>
        </row>
        <row r="99">
          <cell r="A99">
            <v>860.875</v>
          </cell>
          <cell r="E99">
            <v>47.389785772680007</v>
          </cell>
          <cell r="G99">
            <v>96.015000000000001</v>
          </cell>
          <cell r="L99">
            <v>63.578781620253622</v>
          </cell>
          <cell r="N99">
            <v>132.27808199591357</v>
          </cell>
          <cell r="Q99">
            <v>0.83000000000000185</v>
          </cell>
          <cell r="X99">
            <v>2465.2086384714767</v>
          </cell>
          <cell r="Y99">
            <v>353.15999999999997</v>
          </cell>
          <cell r="AD99">
            <v>12.163829381300001</v>
          </cell>
          <cell r="AH99">
            <v>468.86467839125754</v>
          </cell>
          <cell r="AI99">
            <v>1135.839348881887</v>
          </cell>
          <cell r="AO99">
            <v>200</v>
          </cell>
          <cell r="AR99">
            <v>98.832741054075598</v>
          </cell>
        </row>
        <row r="100">
          <cell r="A100">
            <v>869.75</v>
          </cell>
          <cell r="E100">
            <v>47.900832833250007</v>
          </cell>
          <cell r="G100">
            <v>97.013999999999996</v>
          </cell>
          <cell r="L100">
            <v>64.957430750543764</v>
          </cell>
          <cell r="N100">
            <v>127.01614642268588</v>
          </cell>
          <cell r="Q100">
            <v>1.25</v>
          </cell>
          <cell r="X100">
            <v>4624.3348933683783</v>
          </cell>
          <cell r="Y100">
            <v>470.88</v>
          </cell>
          <cell r="AD100">
            <v>12.305786898125003</v>
          </cell>
          <cell r="AH100">
            <v>481.17046528938255</v>
          </cell>
          <cell r="AI100">
            <v>1135.839348881887</v>
          </cell>
          <cell r="AO100">
            <v>200</v>
          </cell>
          <cell r="AR100">
            <v>101.45309661253293</v>
          </cell>
        </row>
        <row r="101">
          <cell r="A101">
            <v>878.625</v>
          </cell>
          <cell r="E101">
            <v>48.381834722310003</v>
          </cell>
          <cell r="G101">
            <v>98.013000000000005</v>
          </cell>
          <cell r="L101">
            <v>66.268536151192961</v>
          </cell>
          <cell r="N101">
            <v>120.79328371924949</v>
          </cell>
          <cell r="Q101">
            <v>1.3900000000000006</v>
          </cell>
          <cell r="X101">
            <v>5819.2033380460898</v>
          </cell>
          <cell r="Y101">
            <v>470.88</v>
          </cell>
          <cell r="AD101">
            <v>12.439398533975002</v>
          </cell>
          <cell r="AH101">
            <v>493.60986382335756</v>
          </cell>
          <cell r="AI101">
            <v>1135.839348881887</v>
          </cell>
          <cell r="AO101">
            <v>200</v>
          </cell>
          <cell r="AR101">
            <v>104.10190301249861</v>
          </cell>
        </row>
        <row r="102">
          <cell r="A102">
            <v>887.5</v>
          </cell>
          <cell r="E102">
            <v>48.828970574820005</v>
          </cell>
          <cell r="G102">
            <v>99.012000000000015</v>
          </cell>
          <cell r="L102">
            <v>67.499079012177972</v>
          </cell>
          <cell r="N102">
            <v>113.37098669722404</v>
          </cell>
          <cell r="Q102">
            <v>1.610000000000003</v>
          </cell>
          <cell r="X102">
            <v>5884.6056739907799</v>
          </cell>
          <cell r="Y102">
            <v>470.88</v>
          </cell>
          <cell r="AD102">
            <v>12.563602937450002</v>
          </cell>
          <cell r="AH102">
            <v>506.17346676080757</v>
          </cell>
          <cell r="AI102">
            <v>1135.839348881887</v>
          </cell>
          <cell r="AO102">
            <v>200</v>
          </cell>
          <cell r="AR102">
            <v>106.77715710749794</v>
          </cell>
        </row>
        <row r="103">
          <cell r="A103">
            <v>896.375</v>
          </cell>
          <cell r="E103">
            <v>49.238042094900003</v>
          </cell>
          <cell r="G103">
            <v>100.01100000000001</v>
          </cell>
          <cell r="L103">
            <v>68.63478234633736</v>
          </cell>
          <cell r="N103">
            <v>104.63333839986151</v>
          </cell>
          <cell r="Q103">
            <v>1.8499999999999996</v>
          </cell>
          <cell r="X103">
            <v>3541.2823800866458</v>
          </cell>
          <cell r="Y103">
            <v>470.88</v>
          </cell>
          <cell r="AD103">
            <v>12.677233915250001</v>
          </cell>
          <cell r="AH103">
            <v>518.85070067605761</v>
          </cell>
          <cell r="AI103">
            <v>1135.839348881887</v>
          </cell>
          <cell r="AO103">
            <v>200</v>
          </cell>
          <cell r="AR103">
            <v>109.47660742552276</v>
          </cell>
        </row>
        <row r="104">
          <cell r="A104">
            <v>905.25</v>
          </cell>
          <cell r="E104">
            <v>49.617519255450006</v>
          </cell>
          <cell r="G104">
            <v>101.047</v>
          </cell>
          <cell r="L104">
            <v>69.69679443218601</v>
          </cell>
          <cell r="N104">
            <v>97.844099441330911</v>
          </cell>
          <cell r="Q104">
            <v>1.9500000000000011</v>
          </cell>
          <cell r="X104">
            <v>0</v>
          </cell>
          <cell r="Y104">
            <v>470.88</v>
          </cell>
          <cell r="AD104">
            <v>8.7991280541252284</v>
          </cell>
          <cell r="AH104">
            <v>527.64982873018289</v>
          </cell>
          <cell r="AI104">
            <v>1135.839348881887</v>
          </cell>
          <cell r="AO104">
            <v>200</v>
          </cell>
          <cell r="AR104">
            <v>111.3502660787307</v>
          </cell>
        </row>
        <row r="105">
          <cell r="A105">
            <v>914.125</v>
          </cell>
          <cell r="E105">
            <v>48.56422369941</v>
          </cell>
          <cell r="G105">
            <v>102.04599999999999</v>
          </cell>
          <cell r="L105">
            <v>66.769113800294207</v>
          </cell>
          <cell r="N105">
            <v>-269.72976927129406</v>
          </cell>
          <cell r="Q105">
            <v>1.9500000000000011</v>
          </cell>
          <cell r="X105">
            <v>-5657.0287069786191</v>
          </cell>
          <cell r="Y105">
            <v>470.88</v>
          </cell>
          <cell r="AD105">
            <v>-72.699420171830042</v>
          </cell>
          <cell r="AH105">
            <v>527.64982873018289</v>
          </cell>
          <cell r="AI105">
            <v>1208.538769053717</v>
          </cell>
          <cell r="AO105">
            <v>310</v>
          </cell>
          <cell r="AR105">
            <v>111.3502660787307</v>
          </cell>
        </row>
        <row r="106">
          <cell r="A106">
            <v>923</v>
          </cell>
          <cell r="E106">
            <v>45.538113109950004</v>
          </cell>
          <cell r="G106">
            <v>103.04500000000002</v>
          </cell>
          <cell r="L106">
            <v>58.707390020524443</v>
          </cell>
          <cell r="N106">
            <v>-742.73364087567984</v>
          </cell>
          <cell r="Q106">
            <v>1.75</v>
          </cell>
          <cell r="X106">
            <v>5621.8255389440837</v>
          </cell>
          <cell r="Y106">
            <v>470.88</v>
          </cell>
          <cell r="AD106">
            <v>11.649475863875001</v>
          </cell>
          <cell r="AH106">
            <v>539.29930459405784</v>
          </cell>
          <cell r="AI106">
            <v>1208.538769053717</v>
          </cell>
          <cell r="AO106">
            <v>200</v>
          </cell>
          <cell r="AR106">
            <v>113.83086882975594</v>
          </cell>
        </row>
        <row r="107">
          <cell r="A107">
            <v>931.875</v>
          </cell>
          <cell r="E107">
            <v>42.6771450918</v>
          </cell>
          <cell r="G107">
            <v>104.04400000000001</v>
          </cell>
          <cell r="L107">
            <v>51.562436255258085</v>
          </cell>
          <cell r="N107">
            <v>-658.27082010445781</v>
          </cell>
          <cell r="Q107">
            <v>2.0400000000000009</v>
          </cell>
          <cell r="X107">
            <v>-1132.8584740070639</v>
          </cell>
          <cell r="Y107">
            <v>470.88</v>
          </cell>
          <cell r="AD107">
            <v>-15.039981419108779</v>
          </cell>
          <cell r="AH107">
            <v>539.29930459405784</v>
          </cell>
          <cell r="AI107">
            <v>1223.5787504728257</v>
          </cell>
          <cell r="AO107">
            <v>285</v>
          </cell>
          <cell r="AR107">
            <v>113.83086882975594</v>
          </cell>
        </row>
        <row r="108">
          <cell r="A108">
            <v>940.75</v>
          </cell>
          <cell r="E108">
            <v>39.928042255139999</v>
          </cell>
          <cell r="G108">
            <v>105.04300000000001</v>
          </cell>
          <cell r="L108">
            <v>45.133471917487121</v>
          </cell>
          <cell r="N108">
            <v>-592.30608987560151</v>
          </cell>
          <cell r="Q108">
            <v>2.0100000000000033</v>
          </cell>
          <cell r="X108">
            <v>1503.1213537289843</v>
          </cell>
          <cell r="Y108">
            <v>470.88</v>
          </cell>
          <cell r="AD108">
            <v>10.091122848649999</v>
          </cell>
          <cell r="AH108">
            <v>549.39042744270785</v>
          </cell>
          <cell r="AI108">
            <v>1223.5787504728257</v>
          </cell>
          <cell r="AO108">
            <v>200</v>
          </cell>
          <cell r="AR108">
            <v>115.97964079098377</v>
          </cell>
        </row>
        <row r="109">
          <cell r="A109">
            <v>949.625</v>
          </cell>
          <cell r="E109">
            <v>37.240631419320003</v>
          </cell>
          <cell r="G109">
            <v>106.042</v>
          </cell>
          <cell r="L109">
            <v>39.262394459891077</v>
          </cell>
          <cell r="N109">
            <v>-540.90748518153976</v>
          </cell>
          <cell r="Q109">
            <v>2.0500000000000007</v>
          </cell>
          <cell r="X109">
            <v>-4379.8333340683203</v>
          </cell>
          <cell r="Y109">
            <v>470.88</v>
          </cell>
          <cell r="AD109">
            <v>-45.625963965621281</v>
          </cell>
          <cell r="AH109">
            <v>549.39042744270785</v>
          </cell>
          <cell r="AI109">
            <v>1269.2047144384469</v>
          </cell>
          <cell r="AO109">
            <v>285</v>
          </cell>
          <cell r="AR109">
            <v>115.97964079098377</v>
          </cell>
        </row>
        <row r="110">
          <cell r="A110">
            <v>958.5</v>
          </cell>
          <cell r="E110">
            <v>34.410956064480004</v>
          </cell>
          <cell r="G110">
            <v>107.04100000000001</v>
          </cell>
          <cell r="L110">
            <v>33.52248371210959</v>
          </cell>
          <cell r="N110">
            <v>-528.82298184160595</v>
          </cell>
          <cell r="Q110">
            <v>1.9200000000000017</v>
          </cell>
          <cell r="X110">
            <v>-2465.208638471353</v>
          </cell>
          <cell r="Y110">
            <v>470.88</v>
          </cell>
          <cell r="AD110">
            <v>-23.79736634345031</v>
          </cell>
          <cell r="AH110">
            <v>549.39042744270785</v>
          </cell>
          <cell r="AI110">
            <v>1293.0020807818971</v>
          </cell>
          <cell r="AO110">
            <v>285</v>
          </cell>
          <cell r="AR110">
            <v>115.97964079098377</v>
          </cell>
        </row>
        <row r="111">
          <cell r="A111">
            <v>967.375</v>
          </cell>
          <cell r="E111">
            <v>32.409703413900004</v>
          </cell>
          <cell r="G111">
            <v>108.04</v>
          </cell>
          <cell r="L111">
            <v>29.736703578380197</v>
          </cell>
          <cell r="N111">
            <v>-348.78722455558784</v>
          </cell>
          <cell r="Q111">
            <v>1.5</v>
          </cell>
          <cell r="X111">
            <v>4182.3805087950059</v>
          </cell>
          <cell r="Y111">
            <v>470.88</v>
          </cell>
          <cell r="AD111">
            <v>8.0026953927500024</v>
          </cell>
          <cell r="AH111">
            <v>557.3931228354578</v>
          </cell>
          <cell r="AI111">
            <v>1293.0020807818971</v>
          </cell>
          <cell r="AO111">
            <v>200</v>
          </cell>
          <cell r="AR111">
            <v>117.68370957818408</v>
          </cell>
        </row>
        <row r="112">
          <cell r="A112">
            <v>976.25</v>
          </cell>
          <cell r="E112">
            <v>32.417267416110001</v>
          </cell>
          <cell r="G112">
            <v>109.00200000000001</v>
          </cell>
          <cell r="L112">
            <v>29.750585515922193</v>
          </cell>
          <cell r="N112">
            <v>1.2789550094551017</v>
          </cell>
          <cell r="Q112">
            <v>0.89000000000000057</v>
          </cell>
          <cell r="X112">
            <v>3837.177920449029</v>
          </cell>
          <cell r="Y112">
            <v>470.88</v>
          </cell>
          <cell r="AD112">
            <v>8.0047965044749994</v>
          </cell>
          <cell r="AH112">
            <v>565.39791933993286</v>
          </cell>
          <cell r="AI112">
            <v>1293.0020807818971</v>
          </cell>
          <cell r="AO112">
            <v>200</v>
          </cell>
          <cell r="AR112">
            <v>119.38822576950679</v>
          </cell>
        </row>
        <row r="113">
          <cell r="A113">
            <v>985.125</v>
          </cell>
          <cell r="E113">
            <v>29.571854273190002</v>
          </cell>
          <cell r="G113">
            <v>110.038</v>
          </cell>
          <cell r="L113">
            <v>24.757103082969973</v>
          </cell>
          <cell r="N113">
            <v>-460.05389038289314</v>
          </cell>
          <cell r="Q113">
            <v>1</v>
          </cell>
          <cell r="X113">
            <v>5880.6241624210834</v>
          </cell>
          <cell r="Y113">
            <v>470.88</v>
          </cell>
          <cell r="AD113">
            <v>7.2144039647750002</v>
          </cell>
          <cell r="AH113">
            <v>572.61232330470784</v>
          </cell>
          <cell r="AI113">
            <v>1293.0020807818971</v>
          </cell>
          <cell r="AO113">
            <v>192</v>
          </cell>
          <cell r="AR113">
            <v>120.86298975974115</v>
          </cell>
        </row>
        <row r="114">
          <cell r="A114">
            <v>994</v>
          </cell>
          <cell r="E114">
            <v>27.6617177199</v>
          </cell>
          <cell r="G114">
            <v>111.03700000000001</v>
          </cell>
          <cell r="L114">
            <v>21.662122154733112</v>
          </cell>
          <cell r="N114">
            <v>-285.14329144328713</v>
          </cell>
          <cell r="Q114">
            <v>1.25</v>
          </cell>
          <cell r="X114">
            <v>-5852.1816728692511</v>
          </cell>
          <cell r="Y114">
            <v>470.88</v>
          </cell>
          <cell r="AD114">
            <v>-43.373441547195569</v>
          </cell>
          <cell r="AH114">
            <v>572.61232330470784</v>
          </cell>
          <cell r="AI114">
            <v>1336.3755223290927</v>
          </cell>
          <cell r="AO114">
            <v>310</v>
          </cell>
          <cell r="AR114">
            <v>120.86298975974115</v>
          </cell>
        </row>
        <row r="115">
          <cell r="A115">
            <v>1002.875</v>
          </cell>
          <cell r="E115">
            <v>28.11220862859</v>
          </cell>
          <cell r="G115">
            <v>112.03600000000002</v>
          </cell>
          <cell r="L115">
            <v>22.373433867461198</v>
          </cell>
          <cell r="N115">
            <v>65.533768288837507</v>
          </cell>
          <cell r="Q115">
            <v>0.99000000000000021</v>
          </cell>
          <cell r="X115">
            <v>2317.0120582058639</v>
          </cell>
          <cell r="Y115">
            <v>470.88</v>
          </cell>
          <cell r="AD115">
            <v>6.8089468412750005</v>
          </cell>
          <cell r="AH115">
            <v>579.42127014598282</v>
          </cell>
          <cell r="AI115">
            <v>1336.3755223290927</v>
          </cell>
          <cell r="AO115">
            <v>190</v>
          </cell>
          <cell r="AR115">
            <v>122.24037169865798</v>
          </cell>
        </row>
        <row r="116">
          <cell r="A116">
            <v>1011.75</v>
          </cell>
          <cell r="E116">
            <v>28.63925899389</v>
          </cell>
          <cell r="G116">
            <v>113.03500000000001</v>
          </cell>
          <cell r="L116">
            <v>23.220216468622006</v>
          </cell>
          <cell r="N116">
            <v>78.014819357692119</v>
          </cell>
          <cell r="Q116">
            <v>0.44000000000000128</v>
          </cell>
          <cell r="X116">
            <v>-5819.2033380460698</v>
          </cell>
          <cell r="Y116">
            <v>470.88</v>
          </cell>
          <cell r="AD116">
            <v>-41.742422458633925</v>
          </cell>
          <cell r="AH116">
            <v>579.42127014598282</v>
          </cell>
          <cell r="AI116">
            <v>1378.1179447877266</v>
          </cell>
          <cell r="AO116">
            <v>310</v>
          </cell>
          <cell r="AR116">
            <v>122.24037169865798</v>
          </cell>
        </row>
        <row r="117">
          <cell r="A117">
            <v>1020.625</v>
          </cell>
          <cell r="E117">
            <v>28.999000800090002</v>
          </cell>
          <cell r="G117">
            <v>114.03400000000001</v>
          </cell>
          <cell r="L117">
            <v>23.807225092005275</v>
          </cell>
          <cell r="N117">
            <v>54.081616287197242</v>
          </cell>
          <cell r="Q117">
            <v>0.22000000000000242</v>
          </cell>
          <cell r="X117">
            <v>-4898.1852777209178</v>
          </cell>
          <cell r="Y117">
            <v>470.88</v>
          </cell>
          <cell r="AD117">
            <v>-35.035758532610551</v>
          </cell>
          <cell r="AH117">
            <v>579.42127014598282</v>
          </cell>
          <cell r="AI117">
            <v>1413.1537033203372</v>
          </cell>
          <cell r="AO117">
            <v>300</v>
          </cell>
          <cell r="AR117">
            <v>122.24037169865798</v>
          </cell>
        </row>
        <row r="118">
          <cell r="A118">
            <v>1029.5</v>
          </cell>
          <cell r="E118">
            <v>29.197734820380003</v>
          </cell>
          <cell r="G118">
            <v>115.033</v>
          </cell>
          <cell r="L118">
            <v>24.13465138653299</v>
          </cell>
          <cell r="N118">
            <v>30.166069998983691</v>
          </cell>
          <cell r="Q118">
            <v>0.86000000000000298</v>
          </cell>
          <cell r="X118">
            <v>4779.7811136467171</v>
          </cell>
          <cell r="Y118">
            <v>470.88</v>
          </cell>
          <cell r="AD118">
            <v>7.1104818945500003</v>
          </cell>
          <cell r="AH118">
            <v>586.53175204053287</v>
          </cell>
          <cell r="AI118">
            <v>1413.1537033203372</v>
          </cell>
          <cell r="AO118">
            <v>180</v>
          </cell>
          <cell r="AR118">
            <v>123.60304698459844</v>
          </cell>
        </row>
        <row r="119">
          <cell r="A119">
            <v>1038.375</v>
          </cell>
          <cell r="E119">
            <v>29.473758504990002</v>
          </cell>
          <cell r="G119">
            <v>116.032</v>
          </cell>
          <cell r="L119">
            <v>24.59312695884271</v>
          </cell>
          <cell r="N119">
            <v>42.239754223368671</v>
          </cell>
          <cell r="Q119">
            <v>1.2000000000000011</v>
          </cell>
          <cell r="X119">
            <v>-1503.1213537290496</v>
          </cell>
          <cell r="Y119">
            <v>470.88</v>
          </cell>
          <cell r="AD119">
            <v>-7.9039489384768817</v>
          </cell>
          <cell r="AH119">
            <v>586.53175204053287</v>
          </cell>
          <cell r="AI119">
            <v>1421.057652258814</v>
          </cell>
          <cell r="AO119">
            <v>300</v>
          </cell>
          <cell r="AR119">
            <v>123.60304698459844</v>
          </cell>
        </row>
        <row r="120">
          <cell r="A120">
            <v>1047.25</v>
          </cell>
          <cell r="E120">
            <v>30.002233948650002</v>
          </cell>
          <cell r="G120">
            <v>117.03100000000001</v>
          </cell>
          <cell r="L120">
            <v>25.482961417947948</v>
          </cell>
          <cell r="N120">
            <v>81.981224567178657</v>
          </cell>
          <cell r="Q120">
            <v>1.1600000000000019</v>
          </cell>
          <cell r="X120">
            <v>3837.177920449029</v>
          </cell>
          <cell r="Y120">
            <v>470.88</v>
          </cell>
          <cell r="AD120">
            <v>7.333953874625001</v>
          </cell>
          <cell r="AH120">
            <v>593.86570591515783</v>
          </cell>
          <cell r="AI120">
            <v>1421.057652258814</v>
          </cell>
          <cell r="AO120">
            <v>180</v>
          </cell>
          <cell r="AR120">
            <v>125.00854914906337</v>
          </cell>
        </row>
        <row r="121">
          <cell r="A121">
            <v>1056.125</v>
          </cell>
          <cell r="E121">
            <v>30.823372434960003</v>
          </cell>
          <cell r="G121">
            <v>118.03</v>
          </cell>
          <cell r="L121">
            <v>26.896948901555103</v>
          </cell>
          <cell r="N121">
            <v>130.27189972542013</v>
          </cell>
          <cell r="Q121">
            <v>1.2700000000000014</v>
          </cell>
          <cell r="X121">
            <v>5722.5076191971366</v>
          </cell>
          <cell r="Y121">
            <v>470.88</v>
          </cell>
          <cell r="AD121">
            <v>7.5620478986000013</v>
          </cell>
          <cell r="AH121">
            <v>601.42775381375782</v>
          </cell>
          <cell r="AI121">
            <v>1421.057652258814</v>
          </cell>
          <cell r="AO121">
            <v>192</v>
          </cell>
          <cell r="AR121">
            <v>126.55437829693679</v>
          </cell>
        </row>
        <row r="122">
          <cell r="A122">
            <v>1065</v>
          </cell>
          <cell r="E122">
            <v>31.870053796680004</v>
          </cell>
          <cell r="G122">
            <v>119.02900000000001</v>
          </cell>
          <cell r="L122">
            <v>28.754664406736314</v>
          </cell>
          <cell r="N122">
            <v>171.152949241069</v>
          </cell>
          <cell r="Q122">
            <v>1.5500000000000007</v>
          </cell>
          <cell r="X122">
            <v>3230.6286195626244</v>
          </cell>
          <cell r="Y122">
            <v>470.88</v>
          </cell>
          <cell r="AD122">
            <v>7.8527927213000019</v>
          </cell>
          <cell r="AH122">
            <v>609.28054653505785</v>
          </cell>
          <cell r="AI122">
            <v>1421.057652258814</v>
          </cell>
          <cell r="AO122">
            <v>192</v>
          </cell>
          <cell r="AR122">
            <v>128.15964132139356</v>
          </cell>
        </row>
        <row r="123">
          <cell r="A123">
            <v>1073.875</v>
          </cell>
          <cell r="E123">
            <v>32.858976352589998</v>
          </cell>
          <cell r="G123">
            <v>120.02799999999999</v>
          </cell>
          <cell r="L123">
            <v>30.566855922400553</v>
          </cell>
          <cell r="N123">
            <v>166.95878439434333</v>
          </cell>
          <cell r="Q123">
            <v>1.6400000000000006</v>
          </cell>
          <cell r="X123">
            <v>-3907.7933842064126</v>
          </cell>
          <cell r="Y123">
            <v>470.88</v>
          </cell>
          <cell r="AD123">
            <v>-29.56749035370569</v>
          </cell>
          <cell r="AH123">
            <v>609.28054653505785</v>
          </cell>
          <cell r="AI123">
            <v>1450.6251426125195</v>
          </cell>
          <cell r="AO123">
            <v>285</v>
          </cell>
          <cell r="AR123">
            <v>128.15964132139356</v>
          </cell>
        </row>
        <row r="124">
          <cell r="A124">
            <v>1082.75</v>
          </cell>
          <cell r="E124">
            <v>33.727585613309998</v>
          </cell>
          <cell r="G124">
            <v>120.99000000000002</v>
          </cell>
          <cell r="L124">
            <v>32.204252043605536</v>
          </cell>
          <cell r="N124">
            <v>150.85473229808585</v>
          </cell>
          <cell r="Q124">
            <v>2.2400000000000002</v>
          </cell>
          <cell r="X124">
            <v>5621.8255389440837</v>
          </cell>
          <cell r="Y124">
            <v>470.88</v>
          </cell>
          <cell r="AD124">
            <v>8.3687737814749994</v>
          </cell>
          <cell r="AH124">
            <v>617.64932031653279</v>
          </cell>
          <cell r="AI124">
            <v>1450.6251426125195</v>
          </cell>
          <cell r="AO124">
            <v>200</v>
          </cell>
          <cell r="AR124">
            <v>129.94166168931503</v>
          </cell>
        </row>
        <row r="125">
          <cell r="A125">
            <v>1091.625</v>
          </cell>
          <cell r="E125">
            <v>34.61086729422</v>
          </cell>
          <cell r="G125">
            <v>121.989</v>
          </cell>
          <cell r="L125">
            <v>33.913114373413556</v>
          </cell>
          <cell r="N125">
            <v>157.43897640832802</v>
          </cell>
          <cell r="Q125">
            <v>2.5300000000000011</v>
          </cell>
          <cell r="X125">
            <v>5864.1050738476824</v>
          </cell>
          <cell r="Y125">
            <v>470.88</v>
          </cell>
          <cell r="AD125">
            <v>8.6141298039500001</v>
          </cell>
          <cell r="AH125">
            <v>626.26345012048284</v>
          </cell>
          <cell r="AI125">
            <v>1450.6251426125195</v>
          </cell>
          <cell r="AO125">
            <v>200</v>
          </cell>
          <cell r="AR125">
            <v>131.77592739697917</v>
          </cell>
        </row>
        <row r="126">
          <cell r="A126">
            <v>1100.5</v>
          </cell>
          <cell r="E126">
            <v>35.500312924200003</v>
          </cell>
          <cell r="G126">
            <v>123.02500000000001</v>
          </cell>
          <cell r="L126">
            <v>35.678539867287419</v>
          </cell>
          <cell r="N126">
            <v>162.65019003133597</v>
          </cell>
          <cell r="Q126">
            <v>2.7600000000000033</v>
          </cell>
          <cell r="X126">
            <v>-4117.0832565424753</v>
          </cell>
          <cell r="Y126">
            <v>470.88</v>
          </cell>
          <cell r="AD126">
            <v>-34.000173505342964</v>
          </cell>
          <cell r="AH126">
            <v>626.26345012048284</v>
          </cell>
          <cell r="AI126">
            <v>1484.6253161178624</v>
          </cell>
          <cell r="AO126">
            <v>285</v>
          </cell>
          <cell r="AR126">
            <v>131.77592739697917</v>
          </cell>
        </row>
        <row r="127">
          <cell r="A127">
            <v>1109.375</v>
          </cell>
          <cell r="E127">
            <v>36.317842321050001</v>
          </cell>
          <cell r="G127">
            <v>124.02400000000002</v>
          </cell>
          <cell r="L127">
            <v>37.340728598557504</v>
          </cell>
          <cell r="N127">
            <v>153.13889708015023</v>
          </cell>
          <cell r="Q127">
            <v>2.6400000000000006</v>
          </cell>
          <cell r="X127">
            <v>-2906.5104052282959</v>
          </cell>
          <cell r="Y127">
            <v>470.88</v>
          </cell>
          <cell r="AD127">
            <v>-22.649731110740124</v>
          </cell>
          <cell r="AH127">
            <v>626.26345012048284</v>
          </cell>
          <cell r="AI127">
            <v>1507.2750472286025</v>
          </cell>
          <cell r="AO127">
            <v>285</v>
          </cell>
          <cell r="AR127">
            <v>131.77592739697917</v>
          </cell>
        </row>
        <row r="128">
          <cell r="A128">
            <v>1118.25</v>
          </cell>
          <cell r="E128">
            <v>37.07681682978</v>
          </cell>
          <cell r="G128">
            <v>125.023</v>
          </cell>
          <cell r="L128">
            <v>38.91773827403096</v>
          </cell>
          <cell r="N128">
            <v>145.29127640168844</v>
          </cell>
          <cell r="Q128">
            <v>2.5600000000000023</v>
          </cell>
          <cell r="X128">
            <v>1132.8584740071299</v>
          </cell>
          <cell r="Y128">
            <v>470.88</v>
          </cell>
          <cell r="AD128">
            <v>9.2991157860500007</v>
          </cell>
          <cell r="AH128">
            <v>635.56256590653288</v>
          </cell>
          <cell r="AI128">
            <v>1507.2750472286025</v>
          </cell>
          <cell r="AO128">
            <v>200</v>
          </cell>
          <cell r="AR128">
            <v>133.75605186528335</v>
          </cell>
        </row>
        <row r="129">
          <cell r="A129">
            <v>1127.125</v>
          </cell>
          <cell r="E129">
            <v>37.750583946060004</v>
          </cell>
          <cell r="G129">
            <v>126.02200000000002</v>
          </cell>
          <cell r="L129">
            <v>40.345031422509351</v>
          </cell>
          <cell r="N129">
            <v>131.49776223126074</v>
          </cell>
          <cell r="Q129">
            <v>2.5900000000000016</v>
          </cell>
          <cell r="X129">
            <v>4548.5880569168976</v>
          </cell>
          <cell r="Y129">
            <v>470.88</v>
          </cell>
          <cell r="AD129">
            <v>9.4862733183500012</v>
          </cell>
          <cell r="AH129">
            <v>645.04883922488284</v>
          </cell>
          <cell r="AI129">
            <v>1507.2750472286025</v>
          </cell>
          <cell r="AO129">
            <v>200</v>
          </cell>
          <cell r="AR129">
            <v>135.7760290698757</v>
          </cell>
        </row>
        <row r="130">
          <cell r="A130">
            <v>1136</v>
          </cell>
          <cell r="E130">
            <v>38.235176561070006</v>
          </cell>
          <cell r="G130">
            <v>127.021</v>
          </cell>
          <cell r="L130">
            <v>41.387472979178909</v>
          </cell>
          <cell r="N130">
            <v>96.041049524448567</v>
          </cell>
          <cell r="Q130">
            <v>2.9400000000000013</v>
          </cell>
          <cell r="X130">
            <v>5350.889346672705</v>
          </cell>
          <cell r="Y130">
            <v>470.88</v>
          </cell>
          <cell r="AD130">
            <v>9.6208823780750006</v>
          </cell>
          <cell r="AH130">
            <v>654.66972160295779</v>
          </cell>
          <cell r="AI130">
            <v>1507.2750472286025</v>
          </cell>
          <cell r="AO130">
            <v>200</v>
          </cell>
          <cell r="AR130">
            <v>137.82466950427931</v>
          </cell>
        </row>
        <row r="131">
          <cell r="A131">
            <v>1144.875</v>
          </cell>
          <cell r="E131">
            <v>37.4138570673</v>
          </cell>
          <cell r="G131">
            <v>128.02000000000001</v>
          </cell>
          <cell r="L131">
            <v>39.628503817079377</v>
          </cell>
          <cell r="N131">
            <v>-162.05536255566585</v>
          </cell>
          <cell r="Q131">
            <v>3.25</v>
          </cell>
          <cell r="X131">
            <v>1503.1213537291146</v>
          </cell>
          <cell r="Y131">
            <v>470.88</v>
          </cell>
          <cell r="AD131">
            <v>9.3927380742499995</v>
          </cell>
          <cell r="AH131">
            <v>664.06245967720781</v>
          </cell>
          <cell r="AI131">
            <v>1507.2750472286025</v>
          </cell>
          <cell r="AO131">
            <v>200</v>
          </cell>
          <cell r="AR131">
            <v>139.82472960817603</v>
          </cell>
        </row>
        <row r="132">
          <cell r="A132">
            <v>1153.75</v>
          </cell>
          <cell r="E132">
            <v>35.530891799309998</v>
          </cell>
          <cell r="G132">
            <v>129.01900000000001</v>
          </cell>
          <cell r="L132">
            <v>35.740031127832822</v>
          </cell>
          <cell r="N132">
            <v>-358.24837923338606</v>
          </cell>
          <cell r="Q132">
            <v>3.2900000000000009</v>
          </cell>
          <cell r="X132">
            <v>-4117.0832565423798</v>
          </cell>
          <cell r="Y132">
            <v>470.88</v>
          </cell>
          <cell r="AD132">
            <v>-39.169961835392137</v>
          </cell>
          <cell r="AH132">
            <v>664.06245967720781</v>
          </cell>
          <cell r="AI132">
            <v>1546.4450090639946</v>
          </cell>
          <cell r="AO132">
            <v>285</v>
          </cell>
          <cell r="AR132">
            <v>139.82472960817603</v>
          </cell>
        </row>
        <row r="133">
          <cell r="A133">
            <v>1162.625</v>
          </cell>
          <cell r="E133">
            <v>33.93287664084</v>
          </cell>
          <cell r="G133">
            <v>130.018</v>
          </cell>
          <cell r="L133">
            <v>32.5974829453883</v>
          </cell>
          <cell r="N133">
            <v>-289.52570404749758</v>
          </cell>
          <cell r="Q133">
            <v>3.1700000000000017</v>
          </cell>
          <cell r="X133">
            <v>-4548.5880569168976</v>
          </cell>
          <cell r="Y133">
            <v>470.88</v>
          </cell>
          <cell r="AD133">
            <v>-40.857410584702443</v>
          </cell>
          <cell r="AH133">
            <v>664.06245967720781</v>
          </cell>
          <cell r="AI133">
            <v>1587.302419648697</v>
          </cell>
          <cell r="AO133">
            <v>285</v>
          </cell>
          <cell r="AR133">
            <v>139.82472960817603</v>
          </cell>
        </row>
        <row r="134">
          <cell r="A134">
            <v>1171.5</v>
          </cell>
          <cell r="E134">
            <v>32.799186774180001</v>
          </cell>
          <cell r="G134">
            <v>131.017</v>
          </cell>
          <cell r="L134">
            <v>30.455719367526545</v>
          </cell>
          <cell r="N134">
            <v>-197.32254583964422</v>
          </cell>
          <cell r="Q134">
            <v>2.8200000000000021</v>
          </cell>
          <cell r="X134">
            <v>-4548.5880569168976</v>
          </cell>
          <cell r="Y134">
            <v>470.88</v>
          </cell>
          <cell r="AD134">
            <v>-38.671834549241552</v>
          </cell>
          <cell r="AH134">
            <v>664.06245967720781</v>
          </cell>
          <cell r="AI134">
            <v>1625.9742541979385</v>
          </cell>
          <cell r="AO134">
            <v>285</v>
          </cell>
          <cell r="AR134">
            <v>139.82472960817603</v>
          </cell>
        </row>
        <row r="135">
          <cell r="A135">
            <v>1180.375</v>
          </cell>
          <cell r="E135">
            <v>31.885957814040001</v>
          </cell>
          <cell r="G135">
            <v>132.01599999999999</v>
          </cell>
          <cell r="L135">
            <v>28.783370275324479</v>
          </cell>
          <cell r="N135">
            <v>-154.07497999166861</v>
          </cell>
          <cell r="Q135">
            <v>2.4700000000000024</v>
          </cell>
          <cell r="X135">
            <v>-4548.5880569168976</v>
          </cell>
          <cell r="Y135">
            <v>470.88</v>
          </cell>
          <cell r="AD135">
            <v>-37.226852795192151</v>
          </cell>
          <cell r="AH135">
            <v>664.06245967720781</v>
          </cell>
          <cell r="AI135">
            <v>1663.2011069931307</v>
          </cell>
          <cell r="AO135">
            <v>300</v>
          </cell>
          <cell r="AR135">
            <v>139.82472960817603</v>
          </cell>
        </row>
        <row r="136">
          <cell r="A136">
            <v>1189.25</v>
          </cell>
          <cell r="E136">
            <v>31.279106155050002</v>
          </cell>
          <cell r="G136">
            <v>133.01500000000001</v>
          </cell>
          <cell r="L136">
            <v>27.698189243366166</v>
          </cell>
          <cell r="N136">
            <v>-99.978674647502814</v>
          </cell>
          <cell r="Q136">
            <v>2.1200000000000028</v>
          </cell>
          <cell r="X136">
            <v>-5722.5076191971211</v>
          </cell>
          <cell r="Y136">
            <v>470.88</v>
          </cell>
          <cell r="AD136">
            <v>-46.257524100987162</v>
          </cell>
          <cell r="AH136">
            <v>664.06245967720781</v>
          </cell>
          <cell r="AI136">
            <v>1709.4586310941179</v>
          </cell>
          <cell r="AO136">
            <v>300</v>
          </cell>
          <cell r="AR136">
            <v>139.82472960817603</v>
          </cell>
        </row>
        <row r="137">
          <cell r="A137">
            <v>1198.125</v>
          </cell>
          <cell r="E137">
            <v>31.032277953030004</v>
          </cell>
          <cell r="G137">
            <v>134.01400000000001</v>
          </cell>
          <cell r="L137">
            <v>27.262772737705532</v>
          </cell>
          <cell r="N137">
            <v>-40.115302307706784</v>
          </cell>
          <cell r="Q137">
            <v>1.8400000000000016</v>
          </cell>
          <cell r="X137">
            <v>-1603.7382901369492</v>
          </cell>
          <cell r="Y137">
            <v>470.88</v>
          </cell>
          <cell r="AD137">
            <v>-9.8761157252610925</v>
          </cell>
          <cell r="AH137">
            <v>664.06245967720781</v>
          </cell>
          <cell r="AI137">
            <v>1719.334746819379</v>
          </cell>
          <cell r="AO137">
            <v>300</v>
          </cell>
          <cell r="AR137">
            <v>139.82472960817603</v>
          </cell>
        </row>
        <row r="138">
          <cell r="A138">
            <v>1207</v>
          </cell>
          <cell r="E138">
            <v>31.051633018590003</v>
          </cell>
          <cell r="G138">
            <v>135.01300000000001</v>
          </cell>
          <cell r="L138">
            <v>27.296791336741066</v>
          </cell>
          <cell r="N138">
            <v>3.1341631900806282</v>
          </cell>
          <cell r="Q138">
            <v>2.3700000000000028</v>
          </cell>
          <cell r="X138">
            <v>-5054.6054391832613</v>
          </cell>
          <cell r="Y138">
            <v>470.88</v>
          </cell>
          <cell r="AD138">
            <v>-39.274230378644901</v>
          </cell>
          <cell r="AH138">
            <v>664.06245967720781</v>
          </cell>
          <cell r="AI138">
            <v>1758.6089771980239</v>
          </cell>
          <cell r="AO138">
            <v>300</v>
          </cell>
          <cell r="AR138">
            <v>139.82472960817603</v>
          </cell>
        </row>
        <row r="139">
          <cell r="A139">
            <v>1215.875</v>
          </cell>
          <cell r="E139">
            <v>31.088573247599999</v>
          </cell>
          <cell r="G139">
            <v>136.012</v>
          </cell>
          <cell r="L139">
            <v>27.361776615203947</v>
          </cell>
          <cell r="N139">
            <v>5.9871503656792946</v>
          </cell>
          <cell r="Q139">
            <v>2.2100000000000026</v>
          </cell>
          <cell r="X139">
            <v>-2906.5104052284132</v>
          </cell>
          <cell r="Y139">
            <v>470.88</v>
          </cell>
          <cell r="AD139">
            <v>-20.745417693847539</v>
          </cell>
          <cell r="AH139">
            <v>664.06245967720781</v>
          </cell>
          <cell r="AI139">
            <v>1779.3543948918714</v>
          </cell>
          <cell r="AO139">
            <v>300</v>
          </cell>
          <cell r="AR139">
            <v>139.82472960817603</v>
          </cell>
        </row>
        <row r="140">
          <cell r="A140">
            <v>1224.75</v>
          </cell>
          <cell r="E140">
            <v>31.294253388060003</v>
          </cell>
          <cell r="G140">
            <v>137.048</v>
          </cell>
          <cell r="L140">
            <v>27.725022012198984</v>
          </cell>
          <cell r="N140">
            <v>33.466115140099774</v>
          </cell>
          <cell r="Q140">
            <v>2.1300000000000008</v>
          </cell>
          <cell r="X140">
            <v>-1867.1182117774956</v>
          </cell>
          <cell r="Y140">
            <v>470.88</v>
          </cell>
          <cell r="AD140">
            <v>-11.605361510641432</v>
          </cell>
          <cell r="AH140">
            <v>664.06245967720781</v>
          </cell>
          <cell r="AI140">
            <v>1790.9597564025128</v>
          </cell>
          <cell r="AO140">
            <v>300</v>
          </cell>
          <cell r="AR140">
            <v>139.82472960817603</v>
          </cell>
        </row>
        <row r="141">
          <cell r="A141">
            <v>1233.625</v>
          </cell>
          <cell r="E141">
            <v>31.672907157960001</v>
          </cell>
          <cell r="G141">
            <v>138.04700000000003</v>
          </cell>
          <cell r="L141">
            <v>28.400014757045142</v>
          </cell>
          <cell r="N141">
            <v>62.187670111239782</v>
          </cell>
          <cell r="Q141">
            <v>2.0800000000000018</v>
          </cell>
          <cell r="X141">
            <v>-1503.1213537291146</v>
          </cell>
          <cell r="Y141">
            <v>470.88</v>
          </cell>
          <cell r="AD141">
            <v>-8.2846970079948523</v>
          </cell>
          <cell r="AH141">
            <v>664.06245967720781</v>
          </cell>
          <cell r="AI141">
            <v>1799.2444534105077</v>
          </cell>
          <cell r="AO141">
            <v>300</v>
          </cell>
          <cell r="AR141">
            <v>139.82472960817603</v>
          </cell>
        </row>
        <row r="142">
          <cell r="A142">
            <v>1242.5</v>
          </cell>
          <cell r="E142">
            <v>32.24263399326</v>
          </cell>
          <cell r="G142">
            <v>139.04599999999999</v>
          </cell>
          <cell r="L142">
            <v>29.430913135762193</v>
          </cell>
          <cell r="N142">
            <v>94.977566475147597</v>
          </cell>
          <cell r="Q142">
            <v>2.0400000000000009</v>
          </cell>
          <cell r="X142">
            <v>-1132.8584740070639</v>
          </cell>
          <cell r="Y142">
            <v>470.88</v>
          </cell>
          <cell r="AD142">
            <v>-4.8146312708538961</v>
          </cell>
          <cell r="AH142">
            <v>664.06245967720781</v>
          </cell>
          <cell r="AI142">
            <v>1804.0590846813616</v>
          </cell>
          <cell r="AO142">
            <v>300</v>
          </cell>
          <cell r="AR142">
            <v>139.82472960817603</v>
          </cell>
        </row>
        <row r="143">
          <cell r="A143">
            <v>1251.375</v>
          </cell>
          <cell r="E143">
            <v>33.030824089589998</v>
          </cell>
          <cell r="G143">
            <v>140.04500000000002</v>
          </cell>
          <cell r="L143">
            <v>30.887412520041398</v>
          </cell>
          <cell r="N143">
            <v>134.1885582006114</v>
          </cell>
          <cell r="Q143">
            <v>2.0100000000000033</v>
          </cell>
          <cell r="X143">
            <v>-757.87296553732313</v>
          </cell>
          <cell r="Y143">
            <v>470.88</v>
          </cell>
          <cell r="AD143">
            <v>-1.1186163359224708</v>
          </cell>
          <cell r="AH143">
            <v>664.06245967720781</v>
          </cell>
          <cell r="AI143">
            <v>1805.1777010172841</v>
          </cell>
          <cell r="AO143">
            <v>285</v>
          </cell>
          <cell r="AR143">
            <v>139.82472960817603</v>
          </cell>
        </row>
        <row r="144">
          <cell r="A144">
            <v>1260.25</v>
          </cell>
          <cell r="E144">
            <v>33.936375216329999</v>
          </cell>
          <cell r="G144">
            <v>141.00700000000001</v>
          </cell>
          <cell r="L144">
            <v>32.60420507715709</v>
          </cell>
          <cell r="N144">
            <v>158.16959516457555</v>
          </cell>
          <cell r="Q144">
            <v>1.9900000000000002</v>
          </cell>
          <cell r="X144">
            <v>-1132.8584740070639</v>
          </cell>
          <cell r="Y144">
            <v>470.88</v>
          </cell>
          <cell r="AD144">
            <v>-4.4419385034968473</v>
          </cell>
          <cell r="AH144">
            <v>664.06245967720781</v>
          </cell>
          <cell r="AI144">
            <v>1809.619639520781</v>
          </cell>
          <cell r="AO144">
            <v>285</v>
          </cell>
          <cell r="AR144">
            <v>139.82472960817603</v>
          </cell>
        </row>
        <row r="145">
          <cell r="A145">
            <v>1269.125</v>
          </cell>
          <cell r="E145">
            <v>34.782603116220002</v>
          </cell>
          <cell r="G145">
            <v>142.04300000000001</v>
          </cell>
          <cell r="L145">
            <v>34.250496608287122</v>
          </cell>
          <cell r="N145">
            <v>151.67427417042362</v>
          </cell>
          <cell r="Q145">
            <v>1.9600000000000026</v>
          </cell>
          <cell r="X145">
            <v>-1132.8584740071963</v>
          </cell>
          <cell r="Y145">
            <v>470.88</v>
          </cell>
          <cell r="AD145">
            <v>-4.5995519503897748</v>
          </cell>
          <cell r="AH145">
            <v>664.06245967720781</v>
          </cell>
          <cell r="AI145">
            <v>1814.2191914711707</v>
          </cell>
          <cell r="AO145">
            <v>285</v>
          </cell>
          <cell r="AR145">
            <v>139.82472960817603</v>
          </cell>
        </row>
        <row r="146">
          <cell r="A146">
            <v>1278</v>
          </cell>
          <cell r="E146">
            <v>35.555473240290006</v>
          </cell>
          <cell r="G146">
            <v>143.042</v>
          </cell>
          <cell r="L146">
            <v>35.789500495092987</v>
          </cell>
          <cell r="N146">
            <v>141.78976995436005</v>
          </cell>
          <cell r="Q146">
            <v>1.9300000000000015</v>
          </cell>
          <cell r="X146">
            <v>-1132.8584740071963</v>
          </cell>
          <cell r="Y146">
            <v>470.88</v>
          </cell>
          <cell r="AD146">
            <v>-4.784178588809759</v>
          </cell>
          <cell r="AH146">
            <v>664.06245967720781</v>
          </cell>
          <cell r="AI146">
            <v>1819.0033700599804</v>
          </cell>
          <cell r="AO146">
            <v>285</v>
          </cell>
          <cell r="AR146">
            <v>139.82472960817603</v>
          </cell>
        </row>
        <row r="147">
          <cell r="A147">
            <v>1286.875</v>
          </cell>
          <cell r="E147">
            <v>36.320042675790006</v>
          </cell>
          <cell r="G147">
            <v>144.041</v>
          </cell>
          <cell r="L147">
            <v>37.345253390388571</v>
          </cell>
          <cell r="N147">
            <v>143.33287071003781</v>
          </cell>
          <cell r="Q147">
            <v>1.9000000000000004</v>
          </cell>
          <cell r="X147">
            <v>-757.87296553718932</v>
          </cell>
          <cell r="Y147">
            <v>470.88</v>
          </cell>
          <cell r="AD147">
            <v>-1.0725998827925223</v>
          </cell>
          <cell r="AH147">
            <v>664.06245967720781</v>
          </cell>
          <cell r="AI147">
            <v>1820.0759699427729</v>
          </cell>
          <cell r="AO147">
            <v>285</v>
          </cell>
          <cell r="AR147">
            <v>139.82472960817603</v>
          </cell>
        </row>
        <row r="148">
          <cell r="A148">
            <v>1295.75</v>
          </cell>
          <cell r="E148">
            <v>37.053285193620006</v>
          </cell>
          <cell r="G148">
            <v>145.00299999999999</v>
          </cell>
          <cell r="L148">
            <v>38.868353913689859</v>
          </cell>
          <cell r="N148">
            <v>140.32457920848364</v>
          </cell>
          <cell r="Q148">
            <v>1.8800000000000008</v>
          </cell>
          <cell r="X148">
            <v>-2570.2778770651544</v>
          </cell>
          <cell r="Y148">
            <v>470.88</v>
          </cell>
          <cell r="AD148">
            <v>-19.763861505032885</v>
          </cell>
          <cell r="AH148">
            <v>664.06245967720781</v>
          </cell>
          <cell r="AI148">
            <v>1839.8398314478059</v>
          </cell>
          <cell r="AO148">
            <v>285</v>
          </cell>
          <cell r="AR148">
            <v>139.82472960817603</v>
          </cell>
        </row>
        <row r="149">
          <cell r="A149">
            <v>1304.625</v>
          </cell>
          <cell r="E149">
            <v>37.843348904999999</v>
          </cell>
          <cell r="G149">
            <v>146.03900000000002</v>
          </cell>
          <cell r="L149">
            <v>40.543555692375591</v>
          </cell>
          <cell r="N149">
            <v>154.33780048467455</v>
          </cell>
          <cell r="Q149">
            <v>1.8100000000000023</v>
          </cell>
          <cell r="X149">
            <v>379.72800394685243</v>
          </cell>
          <cell r="Y149">
            <v>470.88</v>
          </cell>
          <cell r="AD149">
            <v>10.990227397676122</v>
          </cell>
          <cell r="AH149">
            <v>675.05268707488392</v>
          </cell>
          <cell r="AI149">
            <v>1839.8398314478059</v>
          </cell>
          <cell r="AO149">
            <v>200</v>
          </cell>
          <cell r="AR149">
            <v>142.16495406424869</v>
          </cell>
        </row>
        <row r="150">
          <cell r="A150">
            <v>1313.5</v>
          </cell>
          <cell r="E150">
            <v>38.60218620162</v>
          </cell>
          <cell r="G150">
            <v>147.03800000000001</v>
          </cell>
          <cell r="L150">
            <v>42.185821698679966</v>
          </cell>
          <cell r="N150">
            <v>151.30339905836607</v>
          </cell>
          <cell r="Q150">
            <v>1.8200000000000021</v>
          </cell>
          <cell r="X150">
            <v>-4624.3348933683783</v>
          </cell>
          <cell r="Y150">
            <v>470.88</v>
          </cell>
          <cell r="AD150">
            <v>-42.462036735046127</v>
          </cell>
          <cell r="AH150">
            <v>675.05268707488392</v>
          </cell>
          <cell r="AI150">
            <v>1882.3018681828521</v>
          </cell>
          <cell r="AO150">
            <v>285</v>
          </cell>
          <cell r="AR150">
            <v>142.16495406424869</v>
          </cell>
        </row>
        <row r="151">
          <cell r="A151">
            <v>1322.375</v>
          </cell>
          <cell r="E151">
            <v>39.352125521070001</v>
          </cell>
          <cell r="G151">
            <v>148.03700000000001</v>
          </cell>
          <cell r="L151">
            <v>43.8408635333532</v>
          </cell>
          <cell r="N151">
            <v>152.48044726527783</v>
          </cell>
          <cell r="Q151">
            <v>1.6800000000000015</v>
          </cell>
          <cell r="X151">
            <v>5604.9354920021015</v>
          </cell>
          <cell r="Y151">
            <v>470.88</v>
          </cell>
          <cell r="AD151">
            <v>9.9311459780750013</v>
          </cell>
          <cell r="AH151">
            <v>684.98383305295897</v>
          </cell>
          <cell r="AI151">
            <v>1882.3018681828521</v>
          </cell>
          <cell r="AO151">
            <v>200</v>
          </cell>
          <cell r="AR151">
            <v>144.27966105380861</v>
          </cell>
        </row>
        <row r="152">
          <cell r="A152">
            <v>1331.25</v>
          </cell>
          <cell r="E152">
            <v>40.088514192570003</v>
          </cell>
          <cell r="G152">
            <v>149.036</v>
          </cell>
          <cell r="L152">
            <v>45.496986354521411</v>
          </cell>
          <cell r="N152">
            <v>152.58003949357382</v>
          </cell>
          <cell r="Q152">
            <v>0.90000000000000036</v>
          </cell>
          <cell r="X152">
            <v>4624.3348933683783</v>
          </cell>
          <cell r="Y152">
            <v>470.88</v>
          </cell>
          <cell r="AD152">
            <v>10.135698386825</v>
          </cell>
          <cell r="AH152">
            <v>695.11953143978394</v>
          </cell>
          <cell r="AI152">
            <v>1882.3018681828521</v>
          </cell>
          <cell r="AO152">
            <v>200</v>
          </cell>
          <cell r="AR152">
            <v>146.43792478993836</v>
          </cell>
        </row>
        <row r="153">
          <cell r="A153">
            <v>1340.125</v>
          </cell>
          <cell r="E153">
            <v>40.808274002280001</v>
          </cell>
          <cell r="G153">
            <v>150.035</v>
          </cell>
          <cell r="L153">
            <v>47.145382469357237</v>
          </cell>
          <cell r="N153">
            <v>151.86817130222988</v>
          </cell>
          <cell r="Q153">
            <v>1.0400000000000009</v>
          </cell>
          <cell r="X153">
            <v>4379.8333340683657</v>
          </cell>
          <cell r="Y153">
            <v>470.88</v>
          </cell>
          <cell r="AD153">
            <v>10.335631667299999</v>
          </cell>
          <cell r="AH153">
            <v>705.45516310708399</v>
          </cell>
          <cell r="AI153">
            <v>1882.3018681828521</v>
          </cell>
          <cell r="AO153">
            <v>200</v>
          </cell>
          <cell r="AR153">
            <v>148.63876168999096</v>
          </cell>
        </row>
        <row r="154">
          <cell r="A154">
            <v>1349</v>
          </cell>
          <cell r="E154">
            <v>41.508876356190001</v>
          </cell>
          <cell r="G154">
            <v>151.03400000000002</v>
          </cell>
          <cell r="L154">
            <v>48.778075842599378</v>
          </cell>
          <cell r="N154">
            <v>150.42146402792622</v>
          </cell>
          <cell r="Q154">
            <v>1.1700000000000017</v>
          </cell>
          <cell r="X154">
            <v>2906.5104052282959</v>
          </cell>
          <cell r="Y154">
            <v>470.88</v>
          </cell>
          <cell r="AD154">
            <v>10.530243432275</v>
          </cell>
          <cell r="AH154">
            <v>715.98540653935902</v>
          </cell>
          <cell r="AI154">
            <v>1882.3018681828521</v>
          </cell>
          <cell r="AO154">
            <v>200</v>
          </cell>
          <cell r="AR154">
            <v>150.88103860719281</v>
          </cell>
        </row>
        <row r="155">
          <cell r="A155">
            <v>1357.875</v>
          </cell>
          <cell r="E155">
            <v>42.138950836140005</v>
          </cell>
          <cell r="G155">
            <v>151.96270000000001</v>
          </cell>
          <cell r="L155">
            <v>50.270146068723932</v>
          </cell>
          <cell r="N155">
            <v>137.46573087416701</v>
          </cell>
          <cell r="Q155">
            <v>1.25</v>
          </cell>
          <cell r="X155">
            <v>310.30702441835746</v>
          </cell>
          <cell r="Y155">
            <v>470.88</v>
          </cell>
          <cell r="AD155">
            <v>11.341498473464382</v>
          </cell>
          <cell r="AH155">
            <v>727.32690501282343</v>
          </cell>
          <cell r="AI155">
            <v>1882.3018681828521</v>
          </cell>
          <cell r="AO155">
            <v>200</v>
          </cell>
          <cell r="AR155">
            <v>153.29606162134121</v>
          </cell>
        </row>
        <row r="157">
          <cell r="AO157">
            <v>241.36601307189542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6E39-86BA-49C5-9837-3CD315851FF4}">
  <dimension ref="A1:D17"/>
  <sheetViews>
    <sheetView tabSelected="1" workbookViewId="0">
      <selection activeCell="D15" sqref="D15"/>
    </sheetView>
  </sheetViews>
  <sheetFormatPr defaultRowHeight="15"/>
  <cols>
    <col min="1" max="1" width="29.42578125" bestFit="1" customWidth="1"/>
    <col min="2" max="2" width="13.28515625" bestFit="1" customWidth="1"/>
    <col min="3" max="3" width="20.42578125" bestFit="1" customWidth="1"/>
    <col min="4" max="4" width="15.140625" customWidth="1"/>
  </cols>
  <sheetData>
    <row r="1" spans="1:4">
      <c r="A1" s="6" t="s">
        <v>24</v>
      </c>
      <c r="B1" s="8" t="s">
        <v>11</v>
      </c>
      <c r="C1" s="9" t="s">
        <v>9</v>
      </c>
      <c r="D1" s="10" t="s">
        <v>10</v>
      </c>
    </row>
    <row r="2" spans="1:4">
      <c r="B2" s="11">
        <v>152</v>
      </c>
      <c r="C2" s="12">
        <v>12.98</v>
      </c>
      <c r="D2" s="13">
        <v>4.75</v>
      </c>
    </row>
    <row r="4" spans="1:4">
      <c r="B4" t="s">
        <v>21</v>
      </c>
      <c r="C4" t="s">
        <v>22</v>
      </c>
    </row>
    <row r="5" spans="1:4">
      <c r="A5" s="14" t="s">
        <v>14</v>
      </c>
      <c r="B5">
        <v>43</v>
      </c>
      <c r="C5">
        <v>1150</v>
      </c>
      <c r="D5" t="s">
        <v>28</v>
      </c>
    </row>
    <row r="6" spans="1:4">
      <c r="A6" s="14" t="s">
        <v>15</v>
      </c>
      <c r="B6">
        <v>7.5</v>
      </c>
      <c r="C6">
        <v>3000</v>
      </c>
      <c r="D6" t="s">
        <v>19</v>
      </c>
    </row>
    <row r="7" spans="1:4">
      <c r="A7" s="14" t="s">
        <v>16</v>
      </c>
      <c r="B7">
        <v>56</v>
      </c>
      <c r="C7">
        <v>1800</v>
      </c>
      <c r="D7" t="s">
        <v>23</v>
      </c>
    </row>
    <row r="8" spans="1:4">
      <c r="A8" s="14" t="s">
        <v>17</v>
      </c>
      <c r="B8">
        <v>8.5</v>
      </c>
      <c r="C8">
        <v>1450</v>
      </c>
      <c r="D8" t="s">
        <v>20</v>
      </c>
    </row>
    <row r="9" spans="1:4">
      <c r="A9" s="14" t="s">
        <v>18</v>
      </c>
      <c r="D9" t="s">
        <v>32</v>
      </c>
    </row>
    <row r="10" spans="1:4">
      <c r="A10" s="15" t="s">
        <v>12</v>
      </c>
      <c r="B10" s="1">
        <f>B6+B7+B8</f>
        <v>72</v>
      </c>
      <c r="C10" s="1">
        <f>C6+C7+C8+C5</f>
        <v>7400</v>
      </c>
    </row>
    <row r="12" spans="1:4">
      <c r="A12" s="6" t="s">
        <v>25</v>
      </c>
      <c r="B12" t="s">
        <v>27</v>
      </c>
      <c r="C12" t="s">
        <v>26</v>
      </c>
    </row>
    <row r="13" spans="1:4">
      <c r="A13" s="14" t="s">
        <v>14</v>
      </c>
      <c r="C13">
        <v>17.899999999999999</v>
      </c>
    </row>
    <row r="14" spans="1:4">
      <c r="A14" s="14" t="s">
        <v>15</v>
      </c>
      <c r="B14">
        <v>95</v>
      </c>
      <c r="C14">
        <v>17</v>
      </c>
    </row>
    <row r="15" spans="1:4">
      <c r="A15" s="14" t="s">
        <v>16</v>
      </c>
      <c r="B15">
        <v>90</v>
      </c>
      <c r="C15">
        <v>15.4</v>
      </c>
    </row>
    <row r="16" spans="1:4">
      <c r="A16" s="14" t="s">
        <v>17</v>
      </c>
      <c r="B16">
        <v>89</v>
      </c>
      <c r="C16">
        <v>13.7</v>
      </c>
    </row>
    <row r="17" spans="1:3">
      <c r="A17" s="14" t="s">
        <v>18</v>
      </c>
      <c r="B17">
        <v>95</v>
      </c>
      <c r="C17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E0781-7A91-48A6-BB55-839CAB829B34}">
  <dimension ref="A1:BQ159"/>
  <sheetViews>
    <sheetView zoomScaleNormal="100" workbookViewId="0">
      <pane xSplit="9" ySplit="9" topLeftCell="J10" activePane="bottomRight" state="frozen"/>
      <selection pane="topRight" activeCell="J1" sqref="J1"/>
      <selection pane="bottomLeft" activeCell="A10" sqref="A10"/>
      <selection pane="bottomRight" activeCell="A155" sqref="A155"/>
    </sheetView>
  </sheetViews>
  <sheetFormatPr defaultRowHeight="15"/>
  <cols>
    <col min="1" max="1" width="12.140625" bestFit="1" customWidth="1"/>
    <col min="2" max="2" width="14.5703125" hidden="1" customWidth="1"/>
    <col min="3" max="3" width="15.28515625" hidden="1" customWidth="1"/>
    <col min="4" max="4" width="3.28515625" style="4" hidden="1" customWidth="1"/>
    <col min="5" max="5" width="13.140625" bestFit="1" customWidth="1"/>
    <col min="6" max="6" width="35.85546875" style="4" hidden="1" customWidth="1"/>
    <col min="7" max="7" width="7.7109375" style="20" bestFit="1" customWidth="1"/>
    <col min="8" max="8" width="0.140625" hidden="1" customWidth="1"/>
    <col min="9" max="9" width="16.85546875" style="4" hidden="1" customWidth="1"/>
    <col min="10" max="10" width="12.7109375" style="7" bestFit="1" customWidth="1"/>
    <col min="11" max="11" width="13" bestFit="1" customWidth="1"/>
    <col min="12" max="12" width="14.7109375" bestFit="1" customWidth="1"/>
    <col min="13" max="13" width="21.42578125" bestFit="1" customWidth="1"/>
    <col min="14" max="14" width="21.28515625" bestFit="1" customWidth="1"/>
    <col min="15" max="15" width="0.5703125" hidden="1" customWidth="1"/>
    <col min="16" max="16" width="14.28515625" bestFit="1" customWidth="1"/>
    <col min="17" max="17" width="21.7109375" bestFit="1" customWidth="1"/>
    <col min="18" max="18" width="21.7109375" customWidth="1"/>
    <col min="19" max="19" width="12" bestFit="1" customWidth="1"/>
    <col min="21" max="21" width="12.7109375" bestFit="1" customWidth="1"/>
    <col min="22" max="22" width="16.28515625" bestFit="1" customWidth="1"/>
    <col min="23" max="23" width="16.42578125" bestFit="1" customWidth="1"/>
    <col min="24" max="24" width="15.7109375" bestFit="1" customWidth="1"/>
    <col min="25" max="25" width="23.140625" bestFit="1" customWidth="1"/>
    <col min="26" max="26" width="26.7109375" bestFit="1" customWidth="1"/>
    <col min="27" max="27" width="37.140625" bestFit="1" customWidth="1"/>
    <col min="28" max="28" width="12.42578125" customWidth="1"/>
    <col min="29" max="29" width="15" style="7" customWidth="1"/>
    <col min="30" max="30" width="18.140625" style="21" bestFit="1" customWidth="1"/>
    <col min="31" max="31" width="15.140625" style="21" bestFit="1" customWidth="1"/>
    <col min="32" max="32" width="14.7109375" style="22" bestFit="1" customWidth="1"/>
    <col min="33" max="33" width="14.7109375" style="21" bestFit="1" customWidth="1"/>
    <col min="34" max="34" width="23.28515625" style="21" bestFit="1" customWidth="1"/>
    <col min="35" max="35" width="21.140625" style="21" bestFit="1" customWidth="1"/>
    <col min="36" max="36" width="19.85546875" style="23" customWidth="1"/>
    <col min="37" max="37" width="5.85546875" bestFit="1" customWidth="1"/>
    <col min="38" max="40" width="18.7109375" customWidth="1"/>
    <col min="41" max="41" width="23.7109375" bestFit="1" customWidth="1"/>
    <col min="42" max="42" width="23.7109375" customWidth="1"/>
    <col min="43" max="44" width="18.7109375" customWidth="1"/>
    <col min="45" max="45" width="23.7109375" bestFit="1" customWidth="1"/>
    <col min="46" max="46" width="25.28515625" bestFit="1" customWidth="1"/>
    <col min="47" max="47" width="21.5703125" bestFit="1" customWidth="1"/>
    <col min="48" max="48" width="22.5703125" bestFit="1" customWidth="1"/>
    <col min="49" max="49" width="16.7109375" bestFit="1" customWidth="1"/>
    <col min="51" max="51" width="17.28515625" bestFit="1" customWidth="1"/>
    <col min="53" max="53" width="24.85546875" bestFit="1" customWidth="1"/>
    <col min="59" max="60" width="11.5703125" bestFit="1" customWidth="1"/>
  </cols>
  <sheetData>
    <row r="1" spans="1:69" s="16" customFormat="1">
      <c r="A1" s="16" t="s">
        <v>33</v>
      </c>
      <c r="B1" s="16" t="s">
        <v>34</v>
      </c>
      <c r="C1" s="16" t="s">
        <v>35</v>
      </c>
      <c r="D1" s="17">
        <f>1349/152</f>
        <v>8.875</v>
      </c>
      <c r="E1" s="16" t="s">
        <v>36</v>
      </c>
      <c r="F1" s="17"/>
      <c r="G1" s="18" t="s">
        <v>37</v>
      </c>
      <c r="I1" s="17"/>
      <c r="J1" s="19" t="s">
        <v>38</v>
      </c>
      <c r="K1" s="16" t="s">
        <v>38</v>
      </c>
      <c r="L1" s="16" t="s">
        <v>39</v>
      </c>
      <c r="M1" s="16" t="s">
        <v>40</v>
      </c>
      <c r="N1" s="16" t="s">
        <v>41</v>
      </c>
      <c r="O1" s="16" t="s">
        <v>42</v>
      </c>
      <c r="P1" s="16" t="s">
        <v>42</v>
      </c>
      <c r="Q1" s="16" t="s">
        <v>43</v>
      </c>
      <c r="S1" s="16" t="s">
        <v>44</v>
      </c>
      <c r="T1" s="16" t="s">
        <v>45</v>
      </c>
      <c r="U1" s="16" t="s">
        <v>46</v>
      </c>
      <c r="V1" s="16" t="s">
        <v>47</v>
      </c>
      <c r="W1" s="16" t="s">
        <v>48</v>
      </c>
      <c r="X1" s="16" t="s">
        <v>49</v>
      </c>
      <c r="Y1" s="16" t="s">
        <v>50</v>
      </c>
      <c r="Z1" s="16" t="s">
        <v>51</v>
      </c>
      <c r="AA1" s="16" t="s">
        <v>52</v>
      </c>
      <c r="AB1" s="16" t="s">
        <v>53</v>
      </c>
      <c r="AC1" s="19" t="s">
        <v>54</v>
      </c>
      <c r="AD1" s="16" t="s">
        <v>55</v>
      </c>
      <c r="AE1" s="16" t="s">
        <v>56</v>
      </c>
      <c r="AF1" s="19" t="s">
        <v>57</v>
      </c>
      <c r="AG1" s="16" t="s">
        <v>57</v>
      </c>
      <c r="AH1" s="16" t="s">
        <v>58</v>
      </c>
      <c r="AI1" s="16" t="s">
        <v>59</v>
      </c>
      <c r="AJ1" s="16" t="s">
        <v>60</v>
      </c>
      <c r="AK1" s="16" t="s">
        <v>61</v>
      </c>
      <c r="AL1" s="16" t="s">
        <v>62</v>
      </c>
      <c r="AM1" s="16" t="s">
        <v>63</v>
      </c>
      <c r="AN1" s="16" t="s">
        <v>64</v>
      </c>
      <c r="AO1" s="16" t="s">
        <v>65</v>
      </c>
      <c r="AP1" s="16" t="s">
        <v>66</v>
      </c>
      <c r="AQ1" s="16" t="s">
        <v>77</v>
      </c>
      <c r="AR1" s="16" t="s">
        <v>67</v>
      </c>
      <c r="AS1" s="16" t="s">
        <v>68</v>
      </c>
      <c r="AU1" s="16" t="s">
        <v>69</v>
      </c>
    </row>
    <row r="2" spans="1:69">
      <c r="A2">
        <v>0</v>
      </c>
      <c r="B2">
        <v>0</v>
      </c>
      <c r="C2">
        <v>0</v>
      </c>
      <c r="J2" s="7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S2">
        <v>0</v>
      </c>
      <c r="T2">
        <v>0</v>
      </c>
      <c r="AD2"/>
      <c r="AE2"/>
      <c r="AF2" s="7"/>
      <c r="AG2"/>
      <c r="AH2"/>
      <c r="AI2"/>
      <c r="AJ2"/>
      <c r="AT2" t="s">
        <v>70</v>
      </c>
      <c r="AU2" s="25">
        <v>602</v>
      </c>
    </row>
    <row r="3" spans="1:69">
      <c r="A3">
        <f>A2+$D$1</f>
        <v>8.875</v>
      </c>
      <c r="B3">
        <f>(2*$A$3)/(J2+J3)</f>
        <v>1.3847299345983251</v>
      </c>
      <c r="C3">
        <f>B3+C2</f>
        <v>1.3847299345983251</v>
      </c>
      <c r="D3" s="4">
        <v>170.91178630100001</v>
      </c>
      <c r="E3">
        <f>D3*0.27</f>
        <v>46.146182301270002</v>
      </c>
      <c r="F3" s="4">
        <v>0</v>
      </c>
      <c r="G3" s="20">
        <f>F3*$I$3</f>
        <v>0</v>
      </c>
      <c r="H3" s="4">
        <f>182*0.16</f>
        <v>29.12</v>
      </c>
      <c r="I3" s="4">
        <v>3.7</v>
      </c>
      <c r="J3" s="7">
        <v>12.818383972575001</v>
      </c>
      <c r="K3">
        <f>AD3/Z3</f>
        <v>1.8095715536096426</v>
      </c>
      <c r="L3">
        <f>0.5*1.223*1.34*0.6*(J3*J3)</f>
        <v>80.782830010282282</v>
      </c>
      <c r="O3">
        <v>141.6</v>
      </c>
      <c r="P3">
        <f>O3*0.1</f>
        <v>14.16</v>
      </c>
      <c r="Q3">
        <f>P3-12.12</f>
        <v>2.0400000000000009</v>
      </c>
      <c r="S3">
        <f>(0.5*$AU$2*(J3*J3))/1000</f>
        <v>49.457601268178664</v>
      </c>
      <c r="T3">
        <f>($AU$2*9.81*Q3)/1000</f>
        <v>12.047464800000006</v>
      </c>
      <c r="U3">
        <f t="shared" ref="U3:U66" si="0">(Q4-Q3)/(A4-A3)</f>
        <v>3.1549295774648017E-2</v>
      </c>
      <c r="V3">
        <f t="shared" ref="V3:V66" si="1">ATAN((Q4-Q3)/(A4-A3))</f>
        <v>3.1538834406302438E-2</v>
      </c>
      <c r="W3">
        <f>V3*180/PI()</f>
        <v>1.8070421022431191</v>
      </c>
      <c r="X3">
        <f>($AU$2*9.81*SIN(W3))</f>
        <v>5741.5826445944449</v>
      </c>
      <c r="Y3">
        <f>(0.12*($AU$2*9.81))</f>
        <v>708.67439999999999</v>
      </c>
      <c r="Z3">
        <f>(L3+N3+X3+Y3)/1000</f>
        <v>6.5310398746047271</v>
      </c>
      <c r="AA3">
        <f>SUM(Z$3:Z3)</f>
        <v>6.5310398746047271</v>
      </c>
      <c r="AB3">
        <v>0.5</v>
      </c>
      <c r="AC3" s="7">
        <f>(Z3*J3)</f>
        <v>83.717376852881472</v>
      </c>
      <c r="AD3" s="21">
        <f>IF(AC3&gt;$AX$2,J3-1,AC3)</f>
        <v>11.818383972575001</v>
      </c>
      <c r="AE3" s="21">
        <f>IF(AD3&gt;0,AD3,0)</f>
        <v>11.818383972575001</v>
      </c>
      <c r="AF3" s="22">
        <f>IF(AD3&lt;0,AD3,0)</f>
        <v>0</v>
      </c>
      <c r="AG3" s="21">
        <f>AF3*-1</f>
        <v>0</v>
      </c>
      <c r="AH3" s="21">
        <f>SUM(AE$3:AE3)</f>
        <v>11.818383972575001</v>
      </c>
      <c r="AI3" s="21">
        <f>SUM(AG$3:AG3)</f>
        <v>0</v>
      </c>
      <c r="AJ3" s="23">
        <f>IF(AD3&lt;0,0,AD3)</f>
        <v>11.818383972575001</v>
      </c>
      <c r="AK3" cm="1">
        <f t="array" ref="AK3">_xlfn.IFS(K3&lt;4,1,K3&lt;8,2,K3&gt;8,3)</f>
        <v>1</v>
      </c>
      <c r="AL3" cm="1">
        <f t="array" ref="AL3">_xlfn.IFS(K3&lt;9,2000,K3&lt;10,3500,K3&lt;12,5000,K3&lt;14,6500)</f>
        <v>2000</v>
      </c>
      <c r="AM3">
        <f>MATCH(AJ3,$AW$10:$BJ$10,1)</f>
        <v>13</v>
      </c>
      <c r="AN3">
        <v>175</v>
      </c>
      <c r="AO3">
        <f>(AE3*AN3/760)/$AS$14</f>
        <v>5.747532248148282</v>
      </c>
      <c r="AP3">
        <f>(AO3/3600)*1000</f>
        <v>1.596536735596745</v>
      </c>
      <c r="AQ3" s="21">
        <f>SUM(AP$3:AP3)</f>
        <v>1.596536735596745</v>
      </c>
      <c r="AR3">
        <f>MAX(AD:AD)</f>
        <v>12.98</v>
      </c>
      <c r="AS3" s="24">
        <f>AVERAGE(AE3:AE155)</f>
        <v>4.7465439136270104</v>
      </c>
      <c r="AT3" t="s">
        <v>71</v>
      </c>
    </row>
    <row r="4" spans="1:69">
      <c r="A4">
        <f t="shared" ref="A4:A67" si="2">A3+$D$1</f>
        <v>17.75</v>
      </c>
      <c r="B4">
        <f t="shared" ref="B4:B67" si="3">(2*$A$3)/(J3+J4)</f>
        <v>0.69150216112276863</v>
      </c>
      <c r="C4">
        <f t="shared" ref="C4:C67" si="4">B4+C3</f>
        <v>2.0762320957210938</v>
      </c>
      <c r="D4" s="4">
        <v>171.33828893</v>
      </c>
      <c r="E4">
        <f t="shared" ref="E4:E67" si="5">D4*0.27</f>
        <v>46.261338011100001</v>
      </c>
      <c r="F4" s="4">
        <v>0.26</v>
      </c>
      <c r="G4" s="20">
        <f t="shared" ref="G4:G67" si="6">F4*$I$3</f>
        <v>0.96200000000000008</v>
      </c>
      <c r="I4" s="26"/>
      <c r="J4" s="7">
        <v>12.85037166975</v>
      </c>
      <c r="K4">
        <f t="shared" ref="K4:K67" si="7">AD4/Z4</f>
        <v>2.3947327718913471</v>
      </c>
      <c r="L4">
        <f t="shared" ref="L4" si="8">0.5*1.223*1.34*0.6*(J4*J4)</f>
        <v>81.186512862525049</v>
      </c>
      <c r="M4">
        <f>(J4-J3)/(C4-C3)</f>
        <v>4.6258275061732489E-2</v>
      </c>
      <c r="N4">
        <f>M4*$AU$2</f>
        <v>27.847481587162957</v>
      </c>
      <c r="O4">
        <v>144.4</v>
      </c>
      <c r="P4">
        <f t="shared" ref="P4:P67" si="9">O4*0.1</f>
        <v>14.440000000000001</v>
      </c>
      <c r="Q4">
        <f t="shared" ref="Q4:Q67" si="10">P4-12.12</f>
        <v>2.3200000000000021</v>
      </c>
      <c r="R4">
        <f>IF((Q4-Q3)&gt;0,Q4-Q3,(Q4-Q3)*-1)</f>
        <v>0.28000000000000114</v>
      </c>
      <c r="S4">
        <f>(0.5*$AU$2*(J4*J4))/1000</f>
        <v>49.704747667264741</v>
      </c>
      <c r="T4">
        <f>($AU$2*9.81*Q4)/1000</f>
        <v>13.701038400000012</v>
      </c>
      <c r="U4">
        <f t="shared" si="0"/>
        <v>1.3521126760563293E-2</v>
      </c>
      <c r="V4">
        <f t="shared" si="1"/>
        <v>1.352030286955524E-2</v>
      </c>
      <c r="W4">
        <f t="shared" ref="W4:W67" si="11">V4*180/PI()</f>
        <v>0.77465629216413123</v>
      </c>
      <c r="X4">
        <f>($AU$2*9.81*SIN(W4))</f>
        <v>4130.8068673975204</v>
      </c>
      <c r="Y4">
        <f>(0.12*($AU$2*9.81))</f>
        <v>708.67439999999999</v>
      </c>
      <c r="Z4">
        <f t="shared" ref="Z4:Z67" si="12">(L4+N4+X4+Y4)/1000</f>
        <v>4.9485152618472084</v>
      </c>
      <c r="AA4">
        <f>SUM(Z$3:Z4)</f>
        <v>11.479555136451935</v>
      </c>
      <c r="AB4">
        <v>0.5</v>
      </c>
      <c r="AC4" s="7">
        <f t="shared" ref="AC4:AC67" si="13">(Z4*J4)</f>
        <v>63.59026032816687</v>
      </c>
      <c r="AD4" s="21">
        <f>IF(AC4&gt;$AX$2,J4-1,AC4)</f>
        <v>11.85037166975</v>
      </c>
      <c r="AE4" s="21">
        <f t="shared" ref="AE4:AE67" si="14">IF(AD4&gt;0,AD4,0)</f>
        <v>11.85037166975</v>
      </c>
      <c r="AF4" s="22">
        <f t="shared" ref="AF4:AF67" si="15">IF(AD4&lt;0,AD4,0)</f>
        <v>0</v>
      </c>
      <c r="AG4" s="21">
        <f t="shared" ref="AG4:AG67" si="16">AF4*-1</f>
        <v>0</v>
      </c>
      <c r="AH4" s="21">
        <f>SUM(AE$3:AE4)</f>
        <v>23.668755642325003</v>
      </c>
      <c r="AI4" s="21">
        <f>SUM(AG$3:AG4)</f>
        <v>0</v>
      </c>
      <c r="AJ4" s="23">
        <f t="shared" ref="AJ4:AJ67" si="17">IF(AD4&lt;0,0,AD4)</f>
        <v>11.85037166975</v>
      </c>
      <c r="AK4" cm="1">
        <f t="array" ref="AK4">_xlfn.IFS(K4&lt;4,1,K4&lt;8,2,K4&gt;8,3)</f>
        <v>1</v>
      </c>
      <c r="AL4" cm="1">
        <f t="array" ref="AL4">_xlfn.IFS(K4&lt;1,2000,K4&lt;2,3500,K4&lt;3,5000,K4&lt;4,6500)</f>
        <v>5000</v>
      </c>
      <c r="AM4">
        <f>MATCH(AJ4,$AW$10:$BJ$10,1)</f>
        <v>13</v>
      </c>
      <c r="AN4">
        <v>175</v>
      </c>
      <c r="AO4">
        <f>(AE4*AN4/760)/$AS$14</f>
        <v>5.7630885476799225</v>
      </c>
      <c r="AP4">
        <f t="shared" ref="AP4:AP67" si="18">(AO4/3600)*1000</f>
        <v>1.6008579299110897</v>
      </c>
      <c r="AQ4" s="21">
        <f>SUM(AP$3:AP4)</f>
        <v>3.1973946655078347</v>
      </c>
      <c r="AT4" t="s">
        <v>72</v>
      </c>
    </row>
    <row r="5" spans="1:69">
      <c r="A5">
        <f t="shared" si="2"/>
        <v>26.625</v>
      </c>
      <c r="B5">
        <f t="shared" si="3"/>
        <v>0.68628075100482333</v>
      </c>
      <c r="C5">
        <f t="shared" si="4"/>
        <v>2.762512846725917</v>
      </c>
      <c r="D5" s="4">
        <v>173.515717714</v>
      </c>
      <c r="E5">
        <f t="shared" si="5"/>
        <v>46.849243782780007</v>
      </c>
      <c r="F5" s="4">
        <v>0.54</v>
      </c>
      <c r="G5" s="20">
        <f t="shared" si="6"/>
        <v>1.9980000000000002</v>
      </c>
      <c r="I5" s="26"/>
      <c r="J5" s="7">
        <v>13.013678828550002</v>
      </c>
      <c r="K5">
        <f t="shared" si="7"/>
        <v>4.3099872394931014</v>
      </c>
      <c r="L5">
        <f t="shared" ref="L5:L68" si="19">0.5*1.223*1*0.6*(J5*J5)</f>
        <v>62.136656467857492</v>
      </c>
      <c r="M5">
        <f t="shared" ref="M5:M68" si="20">(J5-J4)/(C5-C4)</f>
        <v>0.23795969588378327</v>
      </c>
      <c r="N5">
        <f>M5*$AU$2</f>
        <v>143.25173692203754</v>
      </c>
      <c r="O5">
        <v>145.6</v>
      </c>
      <c r="P5">
        <f t="shared" si="9"/>
        <v>14.56</v>
      </c>
      <c r="Q5">
        <f t="shared" si="10"/>
        <v>2.4400000000000013</v>
      </c>
      <c r="R5">
        <f t="shared" ref="R5:R68" si="21">IF((Q5-Q4)&gt;0,Q5-Q4,(Q5-Q4)*-1)</f>
        <v>0.11999999999999922</v>
      </c>
      <c r="S5">
        <f>(0.5*$AU$2*(J5*J5))/1000</f>
        <v>50.976106832447819</v>
      </c>
      <c r="T5">
        <f>($AU$2*9.81*Q5)/1000</f>
        <v>14.409712800000007</v>
      </c>
      <c r="U5">
        <f t="shared" si="0"/>
        <v>5.6338028169012882E-3</v>
      </c>
      <c r="V5">
        <f t="shared" si="1"/>
        <v>5.6337432129017631E-3</v>
      </c>
      <c r="W5">
        <f t="shared" si="11"/>
        <v>0.3227897089597434</v>
      </c>
      <c r="X5">
        <f>($AU$2*9.81*SIN(W5))</f>
        <v>1873.3419391500872</v>
      </c>
      <c r="Y5">
        <f>(0.12*($AU$2*9.81))</f>
        <v>708.67439999999999</v>
      </c>
      <c r="Z5">
        <f t="shared" si="12"/>
        <v>2.787404732539982</v>
      </c>
      <c r="AA5">
        <f>SUM(Z$3:Z5)</f>
        <v>14.266959868991918</v>
      </c>
      <c r="AB5">
        <v>0.5</v>
      </c>
      <c r="AC5" s="7">
        <f t="shared" si="13"/>
        <v>36.274389954455643</v>
      </c>
      <c r="AD5" s="21">
        <f>IF(AC5&gt;$AX$2,J5-1,AC5)</f>
        <v>12.013678828550002</v>
      </c>
      <c r="AE5" s="21">
        <f t="shared" si="14"/>
        <v>12.013678828550002</v>
      </c>
      <c r="AF5" s="22">
        <f t="shared" si="15"/>
        <v>0</v>
      </c>
      <c r="AG5" s="21">
        <f t="shared" si="16"/>
        <v>0</v>
      </c>
      <c r="AH5" s="21">
        <f>SUM(AE$3:AE5)</f>
        <v>35.682434470875009</v>
      </c>
      <c r="AI5" s="21">
        <f>SUM(AG$3:AG5)</f>
        <v>0</v>
      </c>
      <c r="AJ5" s="23">
        <f t="shared" si="17"/>
        <v>12.013678828550002</v>
      </c>
      <c r="AK5" cm="1">
        <f t="array" ref="AK5">_xlfn.IFS(K5&lt;4,1,K5&lt;8,2,K5&gt;8,3)</f>
        <v>2</v>
      </c>
      <c r="AL5" cm="1">
        <f t="array" ref="AL5">_xlfn.IFS(K5&lt;9,2000,K5&lt;10,3500,K5&lt;12,5000,K5&lt;14,6500)</f>
        <v>2000</v>
      </c>
      <c r="AM5">
        <f>MATCH(AJ5,$AW$10:$BJ$10,1)</f>
        <v>14</v>
      </c>
      <c r="AN5">
        <v>175</v>
      </c>
      <c r="AO5">
        <f>(AE5*AN5/760)/$AS$14</f>
        <v>5.8425083028456521</v>
      </c>
      <c r="AP5">
        <f t="shared" si="18"/>
        <v>1.6229189730126812</v>
      </c>
      <c r="AQ5" s="21">
        <f>SUM(AP$3:AP5)</f>
        <v>4.8203136385205161</v>
      </c>
      <c r="AT5" t="s">
        <v>73</v>
      </c>
    </row>
    <row r="6" spans="1:69">
      <c r="A6">
        <f t="shared" si="2"/>
        <v>35.5</v>
      </c>
      <c r="B6">
        <f t="shared" si="3"/>
        <v>0.67807298800759841</v>
      </c>
      <c r="C6">
        <f t="shared" si="4"/>
        <v>3.4405858347335156</v>
      </c>
      <c r="D6" s="4">
        <v>175.512588755</v>
      </c>
      <c r="E6">
        <f t="shared" si="5"/>
        <v>47.388398963850001</v>
      </c>
      <c r="F6" s="4">
        <v>0.81</v>
      </c>
      <c r="G6" s="20">
        <f t="shared" si="6"/>
        <v>2.9970000000000003</v>
      </c>
      <c r="I6" s="26"/>
      <c r="J6" s="7">
        <v>13.163444156624999</v>
      </c>
      <c r="K6">
        <f t="shared" si="7"/>
        <v>13.163444156624999</v>
      </c>
      <c r="L6">
        <f t="shared" si="19"/>
        <v>63.575060551496179</v>
      </c>
      <c r="M6">
        <f t="shared" si="20"/>
        <v>0.22086903729207183</v>
      </c>
      <c r="N6">
        <f>M6*$AU$2</f>
        <v>132.96316044982723</v>
      </c>
      <c r="O6">
        <v>146.1</v>
      </c>
      <c r="P6">
        <f t="shared" si="9"/>
        <v>14.61</v>
      </c>
      <c r="Q6">
        <f t="shared" si="10"/>
        <v>2.4900000000000002</v>
      </c>
      <c r="R6">
        <f t="shared" si="21"/>
        <v>4.9999999999998934E-2</v>
      </c>
      <c r="S6">
        <f>(0.5*$AU$2*(J6*J6))/1000</f>
        <v>52.156154881440038</v>
      </c>
      <c r="T6">
        <f>($AU$2*9.81*Q6)/1000</f>
        <v>14.7049938</v>
      </c>
      <c r="U6">
        <f t="shared" si="0"/>
        <v>-1.3521126760563091E-2</v>
      </c>
      <c r="V6">
        <f t="shared" si="1"/>
        <v>-1.3520302869555039E-2</v>
      </c>
      <c r="W6">
        <f t="shared" si="11"/>
        <v>-0.7746562921641198</v>
      </c>
      <c r="X6">
        <f>($AU$2*9.81*SIN(W6))</f>
        <v>-4130.8068673974722</v>
      </c>
      <c r="Y6">
        <f>(0.12*($AU$2*9.81))</f>
        <v>708.67439999999999</v>
      </c>
      <c r="Z6">
        <f t="shared" si="12"/>
        <v>-3.2255942463961489</v>
      </c>
      <c r="AA6">
        <f>SUM(Z$3:Z6)</f>
        <v>11.041365622595769</v>
      </c>
      <c r="AB6">
        <v>0.5</v>
      </c>
      <c r="AC6" s="7">
        <f t="shared" si="13"/>
        <v>-42.459929734366604</v>
      </c>
      <c r="AD6" s="21">
        <f>IF(AC6&gt;$AX$2,J6-1,AC6)</f>
        <v>-42.459929734366604</v>
      </c>
      <c r="AE6" s="21">
        <f t="shared" si="14"/>
        <v>0</v>
      </c>
      <c r="AF6" s="22">
        <f t="shared" si="15"/>
        <v>-42.459929734366604</v>
      </c>
      <c r="AG6" s="21">
        <f t="shared" si="16"/>
        <v>42.459929734366604</v>
      </c>
      <c r="AH6" s="21">
        <f>SUM(AE$3:AE6)</f>
        <v>35.682434470875009</v>
      </c>
      <c r="AI6" s="21">
        <f>SUM(AG$3:AG6)</f>
        <v>42.459929734366604</v>
      </c>
      <c r="AJ6" s="23">
        <f t="shared" si="17"/>
        <v>0</v>
      </c>
      <c r="AK6" cm="1">
        <f t="array" ref="AK6">_xlfn.IFS(K6&lt;4,1,K6&lt;8,2,K6&gt;8,3)</f>
        <v>3</v>
      </c>
      <c r="AL6" cm="1">
        <f t="array" ref="AL6">_xlfn.IFS(K6&lt;9,2000,K6&lt;10,3500,K6&lt;12,5000,K6&lt;14,6500)</f>
        <v>6500</v>
      </c>
      <c r="AM6">
        <f>MATCH(AJ6,$AW$10:$BJ$10,1)</f>
        <v>2</v>
      </c>
      <c r="AN6">
        <v>175</v>
      </c>
      <c r="AO6">
        <f>(AE6*AN6/760)/$AS$14</f>
        <v>0</v>
      </c>
      <c r="AP6">
        <f t="shared" si="18"/>
        <v>0</v>
      </c>
      <c r="AQ6" s="21">
        <f>SUM(AP$3:AP6)</f>
        <v>4.8203136385205161</v>
      </c>
    </row>
    <row r="7" spans="1:69">
      <c r="A7">
        <f t="shared" si="2"/>
        <v>44.375</v>
      </c>
      <c r="B7">
        <f t="shared" si="3"/>
        <v>0.67048467069231199</v>
      </c>
      <c r="C7">
        <f t="shared" si="4"/>
        <v>4.1110705054258272</v>
      </c>
      <c r="D7" s="4">
        <v>177.465901301</v>
      </c>
      <c r="E7">
        <f t="shared" si="5"/>
        <v>47.915793351270004</v>
      </c>
      <c r="F7" s="4">
        <v>1.0900000000000001</v>
      </c>
      <c r="G7" s="20">
        <f t="shared" si="6"/>
        <v>4.0330000000000004</v>
      </c>
      <c r="I7" s="26"/>
      <c r="J7" s="7">
        <v>13.309942597575001</v>
      </c>
      <c r="K7">
        <f t="shared" si="7"/>
        <v>13.309942597575001</v>
      </c>
      <c r="L7">
        <f t="shared" si="19"/>
        <v>64.998012448727067</v>
      </c>
      <c r="M7">
        <f t="shared" si="20"/>
        <v>0.2184963316144628</v>
      </c>
      <c r="N7">
        <f>M7*$AU$2</f>
        <v>131.53479163190661</v>
      </c>
      <c r="O7">
        <v>144.9</v>
      </c>
      <c r="P7">
        <f t="shared" si="9"/>
        <v>14.490000000000002</v>
      </c>
      <c r="Q7">
        <f t="shared" si="10"/>
        <v>2.3700000000000028</v>
      </c>
      <c r="R7">
        <f t="shared" si="21"/>
        <v>0.11999999999999744</v>
      </c>
      <c r="S7">
        <f>(0.5*$AU$2*(J7*J7))/1000</f>
        <v>53.323526157173205</v>
      </c>
      <c r="T7">
        <f>($AU$2*9.81*Q7)/1000</f>
        <v>13.996319400000017</v>
      </c>
      <c r="U7">
        <f t="shared" si="0"/>
        <v>-1.8028169014084522E-2</v>
      </c>
      <c r="V7">
        <f t="shared" si="1"/>
        <v>-1.8026216253825167E-2</v>
      </c>
      <c r="W7">
        <f t="shared" si="11"/>
        <v>-1.0328261119343076</v>
      </c>
      <c r="X7">
        <f>($AU$2*9.81*SIN(W7))</f>
        <v>-5071.4541239805385</v>
      </c>
      <c r="Y7">
        <f>(0.12*($AU$2*9.81))</f>
        <v>708.67439999999999</v>
      </c>
      <c r="Z7">
        <f t="shared" si="12"/>
        <v>-4.1662469198999048</v>
      </c>
      <c r="AA7">
        <f>SUM(Z$3:Z7)</f>
        <v>6.8751187026958647</v>
      </c>
      <c r="AB7">
        <v>0.5</v>
      </c>
      <c r="AC7" s="7">
        <f t="shared" si="13"/>
        <v>-55.452507351191386</v>
      </c>
      <c r="AD7" s="21">
        <f>IF(AC7&gt;$AX$2,J7-1,AC7)</f>
        <v>-55.452507351191386</v>
      </c>
      <c r="AE7" s="21">
        <f t="shared" si="14"/>
        <v>0</v>
      </c>
      <c r="AF7" s="22">
        <f t="shared" si="15"/>
        <v>-55.452507351191386</v>
      </c>
      <c r="AG7" s="21">
        <f t="shared" si="16"/>
        <v>55.452507351191386</v>
      </c>
      <c r="AH7" s="21">
        <f>SUM(AE$3:AE7)</f>
        <v>35.682434470875009</v>
      </c>
      <c r="AI7" s="21">
        <f>SUM(AG$3:AG7)</f>
        <v>97.912437085557997</v>
      </c>
      <c r="AJ7" s="23">
        <f t="shared" si="17"/>
        <v>0</v>
      </c>
      <c r="AK7" cm="1">
        <f t="array" ref="AK7">_xlfn.IFS(K7&lt;4,1,K7&lt;8,2,K7&gt;8,3)</f>
        <v>3</v>
      </c>
      <c r="AL7" cm="1">
        <f t="array" ref="AL7">_xlfn.IFS(K7&lt;9,2000,K7&lt;10,3500,K7&lt;12,5000,K7&lt;14,6500)</f>
        <v>6500</v>
      </c>
      <c r="AM7">
        <f>MATCH(AJ7,$AW$10:$BJ$10,1)</f>
        <v>2</v>
      </c>
      <c r="AN7">
        <v>175</v>
      </c>
      <c r="AO7">
        <f>(AE7*AN7/760)/$AS$14</f>
        <v>0</v>
      </c>
      <c r="AP7">
        <f t="shared" si="18"/>
        <v>0</v>
      </c>
      <c r="AQ7" s="21">
        <f>SUM(AP$3:AP7)</f>
        <v>4.8203136385205161</v>
      </c>
      <c r="AT7" t="s">
        <v>74</v>
      </c>
    </row>
    <row r="8" spans="1:69">
      <c r="A8">
        <f t="shared" si="2"/>
        <v>53.25</v>
      </c>
      <c r="B8">
        <f t="shared" si="3"/>
        <v>0.66347831945695812</v>
      </c>
      <c r="C8">
        <f t="shared" si="4"/>
        <v>4.7745488248827854</v>
      </c>
      <c r="D8" s="4">
        <v>179.24005234699999</v>
      </c>
      <c r="E8">
        <f t="shared" si="5"/>
        <v>48.394814133689998</v>
      </c>
      <c r="F8" s="4">
        <v>1.36</v>
      </c>
      <c r="G8" s="20">
        <f t="shared" si="6"/>
        <v>5.0320000000000009</v>
      </c>
      <c r="I8" s="26"/>
      <c r="J8" s="7">
        <v>13.443003926025</v>
      </c>
      <c r="K8">
        <f t="shared" si="7"/>
        <v>13.443003926024998</v>
      </c>
      <c r="L8">
        <f t="shared" si="19"/>
        <v>66.304096686274832</v>
      </c>
      <c r="M8">
        <f t="shared" si="20"/>
        <v>0.20055113264123978</v>
      </c>
      <c r="N8">
        <f>M8*$AU$2</f>
        <v>120.73178185002635</v>
      </c>
      <c r="O8">
        <v>143.30000000000001</v>
      </c>
      <c r="P8">
        <f t="shared" si="9"/>
        <v>14.330000000000002</v>
      </c>
      <c r="Q8">
        <f t="shared" si="10"/>
        <v>2.2100000000000026</v>
      </c>
      <c r="R8">
        <f t="shared" si="21"/>
        <v>0.16000000000000014</v>
      </c>
      <c r="S8">
        <f>(0.5*$AU$2*(J8*J8))/1000</f>
        <v>54.395020721092187</v>
      </c>
      <c r="T8">
        <f>($AU$2*9.81*Q8)/1000</f>
        <v>13.051420200000015</v>
      </c>
      <c r="U8">
        <f t="shared" si="0"/>
        <v>-3.1549295774648017E-2</v>
      </c>
      <c r="V8">
        <f t="shared" si="1"/>
        <v>-3.1538834406302438E-2</v>
      </c>
      <c r="W8">
        <f t="shared" si="11"/>
        <v>-1.8070421022431191</v>
      </c>
      <c r="X8">
        <f>($AU$2*9.81*SIN(W8))</f>
        <v>-5741.5826445944449</v>
      </c>
      <c r="Y8">
        <f>(0.12*($AU$2*9.81))</f>
        <v>708.67439999999999</v>
      </c>
      <c r="Z8">
        <f t="shared" si="12"/>
        <v>-4.8458723660581438</v>
      </c>
      <c r="AA8">
        <f>SUM(Z$3:Z8)</f>
        <v>2.0292463366377209</v>
      </c>
      <c r="AB8">
        <v>0.5</v>
      </c>
      <c r="AC8" s="7">
        <f t="shared" si="13"/>
        <v>-65.143081241935676</v>
      </c>
      <c r="AD8" s="21">
        <f>IF(AC8&gt;$AX$2,J8-1,AC8)</f>
        <v>-65.143081241935676</v>
      </c>
      <c r="AE8" s="21">
        <f t="shared" si="14"/>
        <v>0</v>
      </c>
      <c r="AF8" s="22">
        <f t="shared" si="15"/>
        <v>-65.143081241935676</v>
      </c>
      <c r="AG8" s="21">
        <f t="shared" si="16"/>
        <v>65.143081241935676</v>
      </c>
      <c r="AH8" s="21">
        <f>SUM(AE$3:AE8)</f>
        <v>35.682434470875009</v>
      </c>
      <c r="AI8" s="21">
        <f>SUM(AG$3:AG8)</f>
        <v>163.05551832749367</v>
      </c>
      <c r="AJ8" s="23">
        <f t="shared" si="17"/>
        <v>0</v>
      </c>
      <c r="AK8" cm="1">
        <f t="array" ref="AK8">_xlfn.IFS(K8&lt;4,1,K8&lt;8,2,K8&gt;8,3)</f>
        <v>3</v>
      </c>
      <c r="AL8" cm="1">
        <f t="array" ref="AL8">_xlfn.IFS(K8&lt;9,2000,K8&lt;10,3500,K8&lt;12,5000,K8&lt;14,6500)</f>
        <v>6500</v>
      </c>
      <c r="AM8">
        <f>MATCH(AJ8,$AW$10:$BJ$10,1)</f>
        <v>2</v>
      </c>
      <c r="AN8">
        <v>175</v>
      </c>
      <c r="AO8">
        <f>(AE8*AN8/760)/$AS$14</f>
        <v>0</v>
      </c>
      <c r="AP8">
        <f t="shared" si="18"/>
        <v>0</v>
      </c>
      <c r="AQ8" s="21">
        <f>SUM(AP$3:AP8)</f>
        <v>4.8203136385205161</v>
      </c>
      <c r="AS8" t="s">
        <v>75</v>
      </c>
      <c r="AT8" s="27">
        <v>1.2068709E-2</v>
      </c>
    </row>
    <row r="9" spans="1:69">
      <c r="A9">
        <f t="shared" si="2"/>
        <v>62.125</v>
      </c>
      <c r="B9">
        <f t="shared" si="3"/>
        <v>0.65716681849277114</v>
      </c>
      <c r="C9">
        <f t="shared" si="4"/>
        <v>5.4317156433755569</v>
      </c>
      <c r="D9" s="4">
        <v>180.89174373099999</v>
      </c>
      <c r="E9">
        <f t="shared" si="5"/>
        <v>48.840770807369999</v>
      </c>
      <c r="F9" s="4">
        <v>1.63</v>
      </c>
      <c r="G9" s="20">
        <f t="shared" si="6"/>
        <v>6.0309999999999997</v>
      </c>
      <c r="I9" s="26"/>
      <c r="J9" s="7">
        <v>13.566880779824999</v>
      </c>
      <c r="K9">
        <f t="shared" si="7"/>
        <v>13.566880779824997</v>
      </c>
      <c r="L9">
        <f t="shared" si="19"/>
        <v>67.531707227083075</v>
      </c>
      <c r="M9">
        <f t="shared" si="20"/>
        <v>0.1885013824710649</v>
      </c>
      <c r="N9">
        <f>M9*$AU$2</f>
        <v>113.47783224758108</v>
      </c>
      <c r="O9">
        <v>140.5</v>
      </c>
      <c r="P9">
        <f t="shared" si="9"/>
        <v>14.05</v>
      </c>
      <c r="Q9">
        <f t="shared" si="10"/>
        <v>1.9300000000000015</v>
      </c>
      <c r="R9">
        <f t="shared" si="21"/>
        <v>0.28000000000000114</v>
      </c>
      <c r="S9">
        <f>(0.5*$AU$2*(J9*J9))/1000</f>
        <v>55.402136482289471</v>
      </c>
      <c r="T9">
        <f>($AU$2*9.81*Q9)/1000</f>
        <v>11.397846600000008</v>
      </c>
      <c r="U9">
        <f t="shared" si="0"/>
        <v>-1.3521126760563293E-2</v>
      </c>
      <c r="V9">
        <f t="shared" si="1"/>
        <v>-1.352030286955524E-2</v>
      </c>
      <c r="W9">
        <f t="shared" si="11"/>
        <v>-0.77465629216413123</v>
      </c>
      <c r="X9">
        <f>($AU$2*9.81*SIN(W9))</f>
        <v>-4130.8068673975204</v>
      </c>
      <c r="Y9">
        <f>(0.12*($AU$2*9.81))</f>
        <v>708.67439999999999</v>
      </c>
      <c r="Z9">
        <f t="shared" si="12"/>
        <v>-3.2411229279228566</v>
      </c>
      <c r="AA9">
        <f>SUM(Z$3:Z9)</f>
        <v>-1.2118765912851357</v>
      </c>
      <c r="AB9">
        <v>0.5</v>
      </c>
      <c r="AC9" s="7">
        <f t="shared" si="13"/>
        <v>-43.971928355886725</v>
      </c>
      <c r="AD9" s="21">
        <f>IF(AC9&gt;$AX$2,J9-1,AC9)</f>
        <v>-43.971928355886725</v>
      </c>
      <c r="AE9" s="21">
        <f t="shared" si="14"/>
        <v>0</v>
      </c>
      <c r="AF9" s="22">
        <f t="shared" si="15"/>
        <v>-43.971928355886725</v>
      </c>
      <c r="AG9" s="21">
        <f t="shared" si="16"/>
        <v>43.971928355886725</v>
      </c>
      <c r="AH9" s="21">
        <f>SUM(AE$3:AE9)</f>
        <v>35.682434470875009</v>
      </c>
      <c r="AI9" s="21">
        <f>SUM(AG$3:AG9)</f>
        <v>207.02744668338039</v>
      </c>
      <c r="AJ9" s="23">
        <f t="shared" si="17"/>
        <v>0</v>
      </c>
      <c r="AK9" cm="1">
        <f t="array" ref="AK9">_xlfn.IFS(K9&lt;4,1,K9&lt;8,2,K9&gt;8,3)</f>
        <v>3</v>
      </c>
      <c r="AL9" cm="1">
        <f t="array" ref="AL9">_xlfn.IFS(K9&lt;9,2000,K9&lt;10,3500,K9&lt;12,5000,K9&lt;14,6500)</f>
        <v>6500</v>
      </c>
      <c r="AM9">
        <f>MATCH(AJ9,$AW$10:$BJ$10,1)</f>
        <v>2</v>
      </c>
      <c r="AN9">
        <v>175</v>
      </c>
      <c r="AO9">
        <f>(AE9*AN9/760)/$AS$14</f>
        <v>0</v>
      </c>
      <c r="AP9">
        <f t="shared" si="18"/>
        <v>0</v>
      </c>
      <c r="AQ9" s="21">
        <f>SUM(AP$3:AP9)</f>
        <v>4.8203136385205161</v>
      </c>
    </row>
    <row r="10" spans="1:69">
      <c r="A10">
        <f t="shared" si="2"/>
        <v>71</v>
      </c>
      <c r="B10">
        <f t="shared" si="3"/>
        <v>0.6514350608845566</v>
      </c>
      <c r="C10">
        <f t="shared" si="4"/>
        <v>6.0831507042601132</v>
      </c>
      <c r="D10" s="4">
        <v>182.408730679</v>
      </c>
      <c r="E10">
        <f t="shared" si="5"/>
        <v>49.250357283330004</v>
      </c>
      <c r="F10" s="4">
        <v>1.9</v>
      </c>
      <c r="G10" s="20">
        <f t="shared" si="6"/>
        <v>7.03</v>
      </c>
      <c r="I10" s="26"/>
      <c r="J10" s="7">
        <v>13.680654800925002</v>
      </c>
      <c r="K10">
        <f t="shared" si="7"/>
        <v>10.036313082497527</v>
      </c>
      <c r="L10">
        <f t="shared" si="19"/>
        <v>68.669119860442322</v>
      </c>
      <c r="M10">
        <f t="shared" si="20"/>
        <v>0.17465136270914547</v>
      </c>
      <c r="N10">
        <f>M10*$AU$2</f>
        <v>105.14012035090558</v>
      </c>
      <c r="O10">
        <v>139.30000000000001</v>
      </c>
      <c r="P10">
        <f t="shared" si="9"/>
        <v>13.930000000000001</v>
      </c>
      <c r="Q10">
        <f t="shared" si="10"/>
        <v>1.8100000000000023</v>
      </c>
      <c r="R10">
        <f t="shared" si="21"/>
        <v>0.11999999999999922</v>
      </c>
      <c r="S10">
        <f>(0.5*$AU$2*(J10*J10))/1000</f>
        <v>56.335255050403767</v>
      </c>
      <c r="T10">
        <f>($AU$2*9.81*Q10)/1000</f>
        <v>10.689172200000014</v>
      </c>
      <c r="U10">
        <f t="shared" si="0"/>
        <v>1.1267605633802577E-3</v>
      </c>
      <c r="V10">
        <f t="shared" si="1"/>
        <v>1.1267600865395441E-3</v>
      </c>
      <c r="W10">
        <f t="shared" si="11"/>
        <v>6.4558597482511276E-2</v>
      </c>
      <c r="X10">
        <f>($AU$2*9.81*SIN(W10))</f>
        <v>380.99376396000861</v>
      </c>
      <c r="Y10">
        <f>(0.12*($AU$2*9.81))</f>
        <v>708.67439999999999</v>
      </c>
      <c r="Z10">
        <f t="shared" si="12"/>
        <v>1.2634774041713566</v>
      </c>
      <c r="AA10">
        <f>SUM(Z$3:Z10)</f>
        <v>5.160081288622087E-2</v>
      </c>
      <c r="AB10">
        <v>0.5</v>
      </c>
      <c r="AC10" s="7">
        <f t="shared" si="13"/>
        <v>17.285198215237127</v>
      </c>
      <c r="AD10" s="21">
        <f>IF(AC10&gt;$AX$2,J10-1,AC10)</f>
        <v>12.680654800925002</v>
      </c>
      <c r="AE10" s="21">
        <f t="shared" si="14"/>
        <v>12.680654800925002</v>
      </c>
      <c r="AF10" s="22">
        <f t="shared" si="15"/>
        <v>0</v>
      </c>
      <c r="AG10" s="21">
        <f t="shared" si="16"/>
        <v>0</v>
      </c>
      <c r="AH10" s="21">
        <f>SUM(AE$3:AE10)</f>
        <v>48.363089271800007</v>
      </c>
      <c r="AI10" s="21">
        <f>SUM(AG$3:AG10)</f>
        <v>207.02744668338039</v>
      </c>
      <c r="AJ10" s="23">
        <f t="shared" si="17"/>
        <v>12.680654800925002</v>
      </c>
      <c r="AK10" cm="1">
        <f t="array" ref="AK10">_xlfn.IFS(K10&lt;4,1,K10&lt;8,2,K10&gt;8,3)</f>
        <v>3</v>
      </c>
      <c r="AL10" cm="1">
        <f t="array" ref="AL10">_xlfn.IFS(K10&lt;9,2000,K10&lt;10,3500,K10&lt;12,5000,K10&lt;14,6500)</f>
        <v>5000</v>
      </c>
      <c r="AM10">
        <f>MATCH(AJ10,$AW$10:$BJ$10,1)</f>
        <v>14</v>
      </c>
      <c r="AN10">
        <v>175</v>
      </c>
      <c r="AO10">
        <f>(AE10*AN10/760)/$AS$14</f>
        <v>6.1668729468495247</v>
      </c>
      <c r="AP10">
        <f t="shared" si="18"/>
        <v>1.7130202630137568</v>
      </c>
      <c r="AQ10" s="21">
        <f>SUM(AP$3:AP10)</f>
        <v>6.5333339015342728</v>
      </c>
      <c r="AV10" t="s">
        <v>29</v>
      </c>
      <c r="AW10" t="s">
        <v>30</v>
      </c>
      <c r="AX10">
        <v>0</v>
      </c>
      <c r="AY10">
        <v>1</v>
      </c>
      <c r="AZ10">
        <v>2</v>
      </c>
      <c r="BA10">
        <v>3</v>
      </c>
      <c r="BB10">
        <v>4</v>
      </c>
      <c r="BC10">
        <v>5</v>
      </c>
      <c r="BD10">
        <v>6</v>
      </c>
      <c r="BE10">
        <v>7</v>
      </c>
      <c r="BF10">
        <v>8</v>
      </c>
      <c r="BG10">
        <v>9</v>
      </c>
      <c r="BH10">
        <v>10</v>
      </c>
      <c r="BI10">
        <v>11</v>
      </c>
      <c r="BJ10">
        <v>12</v>
      </c>
      <c r="BK10">
        <v>13</v>
      </c>
      <c r="BL10">
        <v>14</v>
      </c>
      <c r="BM10">
        <v>15</v>
      </c>
      <c r="BN10">
        <v>16</v>
      </c>
      <c r="BO10">
        <v>17</v>
      </c>
      <c r="BP10">
        <v>18</v>
      </c>
      <c r="BQ10">
        <v>19</v>
      </c>
    </row>
    <row r="11" spans="1:69">
      <c r="A11">
        <f t="shared" si="2"/>
        <v>79.875</v>
      </c>
      <c r="B11">
        <f t="shared" si="3"/>
        <v>0.64627963022014789</v>
      </c>
      <c r="C11">
        <f t="shared" si="4"/>
        <v>6.7294303344802611</v>
      </c>
      <c r="D11" s="4">
        <v>183.78982425000001</v>
      </c>
      <c r="E11">
        <f t="shared" si="5"/>
        <v>49.623252547500009</v>
      </c>
      <c r="F11" s="4">
        <v>2.17</v>
      </c>
      <c r="G11" s="20">
        <f t="shared" si="6"/>
        <v>8.0289999999999999</v>
      </c>
      <c r="I11" s="26"/>
      <c r="J11" s="7">
        <v>13.784236818750003</v>
      </c>
      <c r="K11">
        <f t="shared" si="7"/>
        <v>13.784236818750003</v>
      </c>
      <c r="L11">
        <f t="shared" si="19"/>
        <v>69.712902257398099</v>
      </c>
      <c r="M11">
        <f t="shared" si="20"/>
        <v>0.16027430384850172</v>
      </c>
      <c r="N11">
        <f>M11*$AU$2</f>
        <v>96.485130916798042</v>
      </c>
      <c r="O11">
        <v>139.4</v>
      </c>
      <c r="P11">
        <f t="shared" si="9"/>
        <v>13.940000000000001</v>
      </c>
      <c r="Q11">
        <f t="shared" si="10"/>
        <v>1.8200000000000021</v>
      </c>
      <c r="R11">
        <f t="shared" si="21"/>
        <v>9.9999999999997868E-3</v>
      </c>
      <c r="S11">
        <f>(0.5*$AU$2*(J11*J11))/1000</f>
        <v>57.19156058729034</v>
      </c>
      <c r="T11">
        <f>($AU$2*9.81*Q11)/1000</f>
        <v>10.748228400000013</v>
      </c>
      <c r="U11">
        <f t="shared" si="0"/>
        <v>-1.5774647887324009E-2</v>
      </c>
      <c r="V11">
        <f t="shared" si="1"/>
        <v>-1.5773339630731062E-2</v>
      </c>
      <c r="W11">
        <f t="shared" si="11"/>
        <v>-0.90374578966733032</v>
      </c>
      <c r="X11">
        <f>($AU$2*9.81*SIN(W11))</f>
        <v>-4639.7493430129398</v>
      </c>
      <c r="Y11">
        <f>(0.12*($AU$2*9.81))</f>
        <v>708.67439999999999</v>
      </c>
      <c r="Z11">
        <f t="shared" si="12"/>
        <v>-3.764876909838744</v>
      </c>
      <c r="AA11">
        <f>SUM(Z$3:Z11)</f>
        <v>-3.7132760969525229</v>
      </c>
      <c r="AB11">
        <v>0.5</v>
      </c>
      <c r="AC11" s="7">
        <f t="shared" si="13"/>
        <v>-51.895954918660948</v>
      </c>
      <c r="AD11" s="21">
        <f>IF(AC11&gt;$AX$2,J11-1,AC11)</f>
        <v>-51.895954918660948</v>
      </c>
      <c r="AE11" s="21">
        <f t="shared" si="14"/>
        <v>0</v>
      </c>
      <c r="AF11" s="22">
        <f t="shared" si="15"/>
        <v>-51.895954918660948</v>
      </c>
      <c r="AG11" s="21">
        <f t="shared" si="16"/>
        <v>51.895954918660948</v>
      </c>
      <c r="AH11" s="21">
        <f>SUM(AE$3:AE11)</f>
        <v>48.363089271800007</v>
      </c>
      <c r="AI11" s="21">
        <f>SUM(AG$3:AG11)</f>
        <v>258.92340160204134</v>
      </c>
      <c r="AJ11" s="23">
        <f t="shared" si="17"/>
        <v>0</v>
      </c>
      <c r="AK11" cm="1">
        <f t="array" ref="AK11">_xlfn.IFS(K11&lt;4,1,K11&lt;8,2,K11&gt;8,3)</f>
        <v>3</v>
      </c>
      <c r="AL11" cm="1">
        <f t="array" ref="AL11">_xlfn.IFS(K11&lt;9,2000,K11&lt;10,3500,K11&lt;12,5000,K11&lt;14,6500)</f>
        <v>6500</v>
      </c>
      <c r="AM11">
        <f>MATCH(AJ11,$AW$10:$BJ$10,1)</f>
        <v>2</v>
      </c>
      <c r="AN11">
        <v>175</v>
      </c>
      <c r="AO11">
        <f>(AE11*AN11/760)/$AS$14</f>
        <v>0</v>
      </c>
      <c r="AP11">
        <f t="shared" si="18"/>
        <v>0</v>
      </c>
      <c r="AQ11" s="21">
        <f>SUM(AP$3:AP11)</f>
        <v>6.5333339015342728</v>
      </c>
      <c r="AS11" t="s">
        <v>0</v>
      </c>
      <c r="AV11" t="s">
        <v>31</v>
      </c>
      <c r="AW11">
        <v>500</v>
      </c>
      <c r="AY11">
        <v>300</v>
      </c>
      <c r="AZ11">
        <v>300</v>
      </c>
      <c r="BA11">
        <v>260</v>
      </c>
      <c r="BB11">
        <v>260</v>
      </c>
      <c r="BC11">
        <v>260</v>
      </c>
      <c r="BD11">
        <v>235</v>
      </c>
      <c r="BE11">
        <v>235</v>
      </c>
      <c r="BF11">
        <v>235</v>
      </c>
      <c r="BG11">
        <v>210</v>
      </c>
      <c r="BH11">
        <v>210</v>
      </c>
      <c r="BI11">
        <v>210</v>
      </c>
      <c r="BJ11">
        <v>200</v>
      </c>
      <c r="BK11">
        <v>205</v>
      </c>
      <c r="BL11">
        <v>195</v>
      </c>
      <c r="BM11">
        <v>195</v>
      </c>
      <c r="BN11">
        <v>195</v>
      </c>
      <c r="BO11">
        <v>195</v>
      </c>
      <c r="BP11">
        <v>195</v>
      </c>
      <c r="BQ11">
        <v>195</v>
      </c>
    </row>
    <row r="12" spans="1:69">
      <c r="A12">
        <f t="shared" si="2"/>
        <v>88.75</v>
      </c>
      <c r="B12">
        <f t="shared" si="3"/>
        <v>0.64167321929487675</v>
      </c>
      <c r="C12">
        <f t="shared" si="4"/>
        <v>7.3711035537751375</v>
      </c>
      <c r="D12" s="4">
        <v>185.03757815700001</v>
      </c>
      <c r="E12">
        <f t="shared" si="5"/>
        <v>49.960146102390006</v>
      </c>
      <c r="F12" s="4">
        <v>2.44</v>
      </c>
      <c r="G12" s="20">
        <f t="shared" si="6"/>
        <v>9.0280000000000005</v>
      </c>
      <c r="I12" s="26"/>
      <c r="J12" s="7">
        <v>13.877818361775001</v>
      </c>
      <c r="K12">
        <f t="shared" si="7"/>
        <v>1.9840258504809263</v>
      </c>
      <c r="L12">
        <f t="shared" si="19"/>
        <v>70.662680806799656</v>
      </c>
      <c r="M12">
        <f t="shared" si="20"/>
        <v>0.14583987645274163</v>
      </c>
      <c r="N12">
        <f>M12*$AU$2</f>
        <v>87.795605624550461</v>
      </c>
      <c r="O12">
        <v>138</v>
      </c>
      <c r="P12">
        <f t="shared" si="9"/>
        <v>13.8</v>
      </c>
      <c r="Q12">
        <f t="shared" si="10"/>
        <v>1.6800000000000015</v>
      </c>
      <c r="R12">
        <f t="shared" si="21"/>
        <v>0.14000000000000057</v>
      </c>
      <c r="S12">
        <f>(0.5*$AU$2*(J12*J12))/1000</f>
        <v>57.970746587208225</v>
      </c>
      <c r="T12">
        <f>($AU$2*9.81*Q12)/1000</f>
        <v>9.9214416000000085</v>
      </c>
      <c r="U12">
        <f t="shared" si="0"/>
        <v>-8.7887323943662096E-2</v>
      </c>
      <c r="V12">
        <f t="shared" si="1"/>
        <v>-8.7662081029378378E-2</v>
      </c>
      <c r="W12">
        <f t="shared" si="11"/>
        <v>-5.02266726631722</v>
      </c>
      <c r="X12">
        <f>($AU$2*9.81*SIN(W12))</f>
        <v>5623.6186103087748</v>
      </c>
      <c r="Y12">
        <f>(0.12*($AU$2*9.81))</f>
        <v>708.67439999999999</v>
      </c>
      <c r="Z12">
        <f t="shared" si="12"/>
        <v>6.4907512967401244</v>
      </c>
      <c r="AA12">
        <f>SUM(Z$3:Z12)</f>
        <v>2.7774751997876015</v>
      </c>
      <c r="AB12">
        <v>0.5</v>
      </c>
      <c r="AC12" s="7">
        <f t="shared" si="13"/>
        <v>90.077467527614999</v>
      </c>
      <c r="AD12" s="21">
        <f>IF(AC12&gt;$AX$2,J12-1,AC12)</f>
        <v>12.877818361775001</v>
      </c>
      <c r="AE12" s="21">
        <f t="shared" si="14"/>
        <v>12.877818361775001</v>
      </c>
      <c r="AF12" s="22">
        <f t="shared" si="15"/>
        <v>0</v>
      </c>
      <c r="AG12" s="21">
        <f t="shared" si="16"/>
        <v>0</v>
      </c>
      <c r="AH12" s="21">
        <f>SUM(AE$3:AE12)</f>
        <v>61.240907633575006</v>
      </c>
      <c r="AI12" s="21">
        <f>SUM(AG$3:AG12)</f>
        <v>258.92340160204134</v>
      </c>
      <c r="AJ12" s="23">
        <f t="shared" si="17"/>
        <v>12.877818361775001</v>
      </c>
      <c r="AK12" cm="1">
        <f t="array" ref="AK12">_xlfn.IFS(K12&lt;4,1,K12&lt;8,2,K12&gt;8,3)</f>
        <v>1</v>
      </c>
      <c r="AL12" cm="1">
        <f t="array" ref="AL12">_xlfn.IFS(K12&lt;5,2000,K12&lt;6,3500,K12&lt;7,5000,K12&lt;8,6500)</f>
        <v>2000</v>
      </c>
      <c r="AM12">
        <f>MATCH(AJ12,$AW$10:$BJ$10,1)</f>
        <v>14</v>
      </c>
      <c r="AN12">
        <v>175</v>
      </c>
      <c r="AO12">
        <f>(AE12*AN12/760)/$AS$14</f>
        <v>6.2627577925927964</v>
      </c>
      <c r="AP12">
        <f t="shared" si="18"/>
        <v>1.7396549423868879</v>
      </c>
      <c r="AQ12" s="21">
        <f>SUM(AP$3:AP12)</f>
        <v>8.2729888439211603</v>
      </c>
      <c r="AS12" t="s">
        <v>1</v>
      </c>
      <c r="AW12">
        <v>1000</v>
      </c>
      <c r="AY12">
        <v>300</v>
      </c>
      <c r="AZ12">
        <v>300</v>
      </c>
      <c r="BA12">
        <v>255</v>
      </c>
      <c r="BB12">
        <v>255</v>
      </c>
      <c r="BC12">
        <v>255</v>
      </c>
      <c r="BD12">
        <v>225</v>
      </c>
      <c r="BE12">
        <v>225</v>
      </c>
      <c r="BF12">
        <v>225</v>
      </c>
      <c r="BG12">
        <v>210</v>
      </c>
      <c r="BH12">
        <v>210</v>
      </c>
      <c r="BI12">
        <v>210</v>
      </c>
      <c r="BJ12">
        <v>195</v>
      </c>
      <c r="BK12">
        <v>195</v>
      </c>
      <c r="BL12">
        <v>195</v>
      </c>
      <c r="BM12">
        <v>195</v>
      </c>
      <c r="BN12">
        <v>195</v>
      </c>
      <c r="BO12">
        <v>195</v>
      </c>
      <c r="BP12">
        <v>195</v>
      </c>
      <c r="BQ12">
        <v>195</v>
      </c>
    </row>
    <row r="13" spans="1:69">
      <c r="A13">
        <f t="shared" si="2"/>
        <v>97.625</v>
      </c>
      <c r="B13">
        <f t="shared" si="3"/>
        <v>0.63757912933920025</v>
      </c>
      <c r="C13">
        <f t="shared" si="4"/>
        <v>8.008682683114337</v>
      </c>
      <c r="D13" s="4">
        <v>186.158177438</v>
      </c>
      <c r="E13">
        <f t="shared" si="5"/>
        <v>50.262707908260005</v>
      </c>
      <c r="F13" s="4">
        <v>2.71</v>
      </c>
      <c r="G13" s="20">
        <f t="shared" si="6"/>
        <v>10.027000000000001</v>
      </c>
      <c r="I13" s="26"/>
      <c r="J13" s="7">
        <v>13.961863307850001</v>
      </c>
      <c r="K13">
        <f t="shared" si="7"/>
        <v>2.3570024715877342</v>
      </c>
      <c r="L13">
        <f t="shared" si="19"/>
        <v>71.521147756238648</v>
      </c>
      <c r="M13">
        <f t="shared" si="20"/>
        <v>0.13181884758697496</v>
      </c>
      <c r="N13">
        <f>M13*$AU$2</f>
        <v>79.354946247358924</v>
      </c>
      <c r="O13">
        <v>130.19999999999999</v>
      </c>
      <c r="P13">
        <f t="shared" si="9"/>
        <v>13.02</v>
      </c>
      <c r="Q13">
        <f t="shared" si="10"/>
        <v>0.90000000000000036</v>
      </c>
      <c r="R13">
        <f t="shared" si="21"/>
        <v>0.78000000000000114</v>
      </c>
      <c r="S13">
        <f>(0.5*$AU$2*(J13*J13))/1000</f>
        <v>58.675021735153543</v>
      </c>
      <c r="T13">
        <f>($AU$2*9.81*Q13)/1000</f>
        <v>5.3150580000000014</v>
      </c>
      <c r="U13">
        <f t="shared" si="0"/>
        <v>1.5774647887324009E-2</v>
      </c>
      <c r="V13">
        <f t="shared" si="1"/>
        <v>1.5773339630731062E-2</v>
      </c>
      <c r="W13">
        <f t="shared" si="11"/>
        <v>0.90374578966733032</v>
      </c>
      <c r="X13">
        <f>($AU$2*9.81*SIN(W13))</f>
        <v>4639.7493430129398</v>
      </c>
      <c r="Y13">
        <f>(0.12*($AU$2*9.81))</f>
        <v>708.67439999999999</v>
      </c>
      <c r="Z13">
        <f t="shared" si="12"/>
        <v>5.4992998370165367</v>
      </c>
      <c r="AA13">
        <f>SUM(Z$3:Z13)</f>
        <v>8.2767750368041391</v>
      </c>
      <c r="AB13">
        <v>0.5</v>
      </c>
      <c r="AC13" s="7">
        <f t="shared" si="13"/>
        <v>76.780472613306671</v>
      </c>
      <c r="AD13" s="21">
        <f>IF(AC13&gt;$AX$2,J13-1,AC13)</f>
        <v>12.961863307850001</v>
      </c>
      <c r="AE13" s="21">
        <f t="shared" si="14"/>
        <v>12.961863307850001</v>
      </c>
      <c r="AF13" s="22">
        <f t="shared" si="15"/>
        <v>0</v>
      </c>
      <c r="AG13" s="21">
        <f t="shared" si="16"/>
        <v>0</v>
      </c>
      <c r="AH13" s="21">
        <f>SUM(AE$3:AE13)</f>
        <v>74.202770941425001</v>
      </c>
      <c r="AI13" s="21">
        <f>SUM(AG$3:AG13)</f>
        <v>258.92340160204134</v>
      </c>
      <c r="AJ13" s="23">
        <f t="shared" si="17"/>
        <v>12.961863307850001</v>
      </c>
      <c r="AK13" cm="1">
        <f t="array" ref="AK13">_xlfn.IFS(K13&lt;4,1,K13&lt;8,2,K13&gt;8,3)</f>
        <v>1</v>
      </c>
      <c r="AL13" cm="1">
        <f t="array" ref="AL13">_xlfn.IFS(K13&lt;5,2000,K13&lt;6,3500,K13&lt;7,5000,K13&lt;8,6500)</f>
        <v>2000</v>
      </c>
      <c r="AM13">
        <f>MATCH(AJ13,$AW$10:$BJ$10,1)</f>
        <v>14</v>
      </c>
      <c r="AN13">
        <v>175</v>
      </c>
      <c r="AO13">
        <f>(AE13*AN13/760)/$AS$14</f>
        <v>6.3036306428048805</v>
      </c>
      <c r="AP13">
        <f t="shared" si="18"/>
        <v>1.7510085118902448</v>
      </c>
      <c r="AQ13" s="21">
        <f>SUM(AP$3:AP13)</f>
        <v>10.023997355811405</v>
      </c>
      <c r="AW13">
        <v>1500</v>
      </c>
      <c r="AY13">
        <v>300</v>
      </c>
      <c r="AZ13">
        <v>300</v>
      </c>
      <c r="BA13">
        <v>255</v>
      </c>
      <c r="BB13">
        <v>255</v>
      </c>
      <c r="BC13">
        <v>255</v>
      </c>
      <c r="BD13">
        <v>220</v>
      </c>
      <c r="BE13">
        <v>220</v>
      </c>
      <c r="BF13">
        <v>220</v>
      </c>
      <c r="BG13">
        <v>210</v>
      </c>
      <c r="BH13">
        <v>210</v>
      </c>
      <c r="BI13">
        <v>210</v>
      </c>
      <c r="BJ13">
        <v>195</v>
      </c>
      <c r="BK13">
        <v>195</v>
      </c>
      <c r="BL13">
        <v>192</v>
      </c>
      <c r="BM13">
        <v>195</v>
      </c>
      <c r="BN13">
        <v>195</v>
      </c>
      <c r="BO13">
        <v>195</v>
      </c>
      <c r="BP13">
        <v>195</v>
      </c>
      <c r="BQ13">
        <v>195</v>
      </c>
    </row>
    <row r="14" spans="1:69">
      <c r="A14">
        <f t="shared" si="2"/>
        <v>106.5</v>
      </c>
      <c r="B14">
        <f t="shared" si="3"/>
        <v>0.63395268292227613</v>
      </c>
      <c r="C14">
        <f t="shared" si="4"/>
        <v>8.6426353660366129</v>
      </c>
      <c r="D14" s="4">
        <v>187.16095669000001</v>
      </c>
      <c r="E14">
        <f t="shared" si="5"/>
        <v>50.533458306300005</v>
      </c>
      <c r="F14" s="4">
        <v>2.98</v>
      </c>
      <c r="G14" s="20">
        <f t="shared" si="6"/>
        <v>11.026</v>
      </c>
      <c r="I14" s="26"/>
      <c r="J14" s="7">
        <v>14.03707175175</v>
      </c>
      <c r="K14">
        <f t="shared" si="7"/>
        <v>2.473880032981826</v>
      </c>
      <c r="L14">
        <f t="shared" si="19"/>
        <v>72.293749756170087</v>
      </c>
      <c r="M14">
        <f t="shared" si="20"/>
        <v>0.11863415981350156</v>
      </c>
      <c r="N14">
        <f>M14*$AU$2</f>
        <v>71.417764207727942</v>
      </c>
      <c r="O14">
        <v>131.6</v>
      </c>
      <c r="P14">
        <f t="shared" si="9"/>
        <v>13.16</v>
      </c>
      <c r="Q14">
        <f t="shared" si="10"/>
        <v>1.0400000000000009</v>
      </c>
      <c r="R14">
        <f t="shared" si="21"/>
        <v>0.14000000000000057</v>
      </c>
      <c r="S14">
        <f>(0.5*$AU$2*(J14*J14))/1000</f>
        <v>59.308854392497125</v>
      </c>
      <c r="T14">
        <f>($AU$2*9.81*Q14)/1000</f>
        <v>6.1418448000000057</v>
      </c>
      <c r="U14">
        <f t="shared" si="0"/>
        <v>1.464788732394375E-2</v>
      </c>
      <c r="V14">
        <f t="shared" si="1"/>
        <v>1.4646839838943949E-2</v>
      </c>
      <c r="W14">
        <f t="shared" si="11"/>
        <v>0.83920210597556266</v>
      </c>
      <c r="X14">
        <f>($AU$2*9.81*SIN(W14))</f>
        <v>4394.43277851526</v>
      </c>
      <c r="Y14">
        <f>(0.12*($AU$2*9.81))</f>
        <v>708.67439999999999</v>
      </c>
      <c r="Z14">
        <f t="shared" si="12"/>
        <v>5.2468186924791578</v>
      </c>
      <c r="AA14">
        <f>SUM(Z$3:Z14)</f>
        <v>13.523593729283297</v>
      </c>
      <c r="AB14">
        <v>0.5</v>
      </c>
      <c r="AC14" s="7">
        <f t="shared" si="13"/>
        <v>73.64997045475306</v>
      </c>
      <c r="AD14" s="21">
        <v>12.98</v>
      </c>
      <c r="AE14" s="21">
        <f t="shared" si="14"/>
        <v>12.98</v>
      </c>
      <c r="AF14" s="22">
        <f t="shared" si="15"/>
        <v>0</v>
      </c>
      <c r="AG14" s="21">
        <f t="shared" si="16"/>
        <v>0</v>
      </c>
      <c r="AH14" s="21">
        <f>SUM(AE$3:AE14)</f>
        <v>87.182770941425005</v>
      </c>
      <c r="AI14" s="21">
        <f>SUM(AG$3:AG14)</f>
        <v>258.92340160204134</v>
      </c>
      <c r="AJ14" s="23">
        <f t="shared" si="17"/>
        <v>12.98</v>
      </c>
      <c r="AK14" cm="1">
        <f t="array" ref="AK14">_xlfn.IFS(K14&lt;4,1,K14&lt;8,2,K14&gt;8,3)</f>
        <v>1</v>
      </c>
      <c r="AL14" cm="1">
        <f t="array" ref="AL14">_xlfn.IFS(K14&lt;1,2000,K14&lt;2,3500,K14&lt;3,5000,K14&lt;4,6500)</f>
        <v>5000</v>
      </c>
      <c r="AM14">
        <f>MATCH(AJ14,$AW$10:$BJ$10,1)</f>
        <v>14</v>
      </c>
      <c r="AN14">
        <v>175</v>
      </c>
      <c r="AO14">
        <f>(AE14*AN14/760)/$AS$14</f>
        <v>6.3124509031085525</v>
      </c>
      <c r="AP14">
        <f t="shared" si="18"/>
        <v>1.75345858419682</v>
      </c>
      <c r="AQ14" s="21">
        <f>SUM(AP$3:AP14)</f>
        <v>11.777455940008224</v>
      </c>
      <c r="AS14">
        <f>1/(AN157*AT8)</f>
        <v>0.47347945122263818</v>
      </c>
      <c r="AT14" t="s">
        <v>13</v>
      </c>
      <c r="AW14">
        <v>2000</v>
      </c>
      <c r="AY14">
        <v>300</v>
      </c>
      <c r="AZ14">
        <v>300</v>
      </c>
      <c r="BA14">
        <v>250</v>
      </c>
      <c r="BB14">
        <v>250</v>
      </c>
      <c r="BC14">
        <v>250</v>
      </c>
      <c r="BD14">
        <v>215</v>
      </c>
      <c r="BE14">
        <v>215</v>
      </c>
      <c r="BF14">
        <v>215</v>
      </c>
      <c r="BG14">
        <v>205</v>
      </c>
      <c r="BH14">
        <v>205</v>
      </c>
      <c r="BI14">
        <v>205</v>
      </c>
      <c r="BJ14">
        <v>195</v>
      </c>
      <c r="BK14">
        <v>190</v>
      </c>
      <c r="BL14">
        <v>190</v>
      </c>
      <c r="BM14">
        <v>192</v>
      </c>
      <c r="BN14">
        <v>200</v>
      </c>
      <c r="BO14">
        <v>200</v>
      </c>
      <c r="BP14">
        <v>200</v>
      </c>
      <c r="BQ14">
        <v>200</v>
      </c>
    </row>
    <row r="15" spans="1:69">
      <c r="A15">
        <f t="shared" si="2"/>
        <v>115.375</v>
      </c>
      <c r="B15">
        <f t="shared" si="3"/>
        <v>0.63568073210203102</v>
      </c>
      <c r="C15">
        <f t="shared" si="4"/>
        <v>9.2783160981386441</v>
      </c>
      <c r="D15" s="4">
        <v>185.14333808399999</v>
      </c>
      <c r="E15">
        <f t="shared" si="5"/>
        <v>49.988701282680005</v>
      </c>
      <c r="F15" s="4">
        <v>3.25</v>
      </c>
      <c r="G15" s="20">
        <f t="shared" si="6"/>
        <v>12.025</v>
      </c>
      <c r="I15" s="26"/>
      <c r="J15" s="7">
        <v>13.885750356300001</v>
      </c>
      <c r="K15">
        <f t="shared" si="7"/>
        <v>3.6274255614707824</v>
      </c>
      <c r="L15">
        <f t="shared" si="19"/>
        <v>70.743479699101457</v>
      </c>
      <c r="M15">
        <f t="shared" si="20"/>
        <v>-0.23804622007280077</v>
      </c>
      <c r="N15">
        <f>M15*$AU$2</f>
        <v>-143.30382448382608</v>
      </c>
      <c r="O15">
        <v>132.9</v>
      </c>
      <c r="P15">
        <f t="shared" si="9"/>
        <v>13.290000000000001</v>
      </c>
      <c r="Q15">
        <f t="shared" si="10"/>
        <v>1.1700000000000017</v>
      </c>
      <c r="R15">
        <f t="shared" si="21"/>
        <v>0.13000000000000078</v>
      </c>
      <c r="S15">
        <f>(0.5*$AU$2*(J15*J15))/1000</f>
        <v>58.037032950203162</v>
      </c>
      <c r="T15">
        <f>($AU$2*9.81*Q15)/1000</f>
        <v>6.9095754000000094</v>
      </c>
      <c r="U15">
        <f t="shared" si="0"/>
        <v>9.0140845070420614E-3</v>
      </c>
      <c r="V15">
        <f t="shared" si="1"/>
        <v>9.0138403763125076E-3</v>
      </c>
      <c r="W15">
        <f t="shared" si="11"/>
        <v>0.51645501076732037</v>
      </c>
      <c r="X15">
        <f>($AU$2*9.81*SIN(W15))</f>
        <v>2916.1987732457233</v>
      </c>
      <c r="Y15">
        <f>(0.12*($AU$2*9.81))</f>
        <v>708.67439999999999</v>
      </c>
      <c r="Z15">
        <f t="shared" si="12"/>
        <v>3.5523128284609986</v>
      </c>
      <c r="AA15">
        <f>SUM(Z$3:Z15)</f>
        <v>17.075906557744297</v>
      </c>
      <c r="AB15">
        <v>0.5</v>
      </c>
      <c r="AC15" s="7">
        <f t="shared" si="13"/>
        <v>49.326529123491376</v>
      </c>
      <c r="AD15" s="21">
        <f>IF(AC15&gt;$AX$2,J15-1,AC15)</f>
        <v>12.885750356300001</v>
      </c>
      <c r="AE15" s="21">
        <f t="shared" si="14"/>
        <v>12.885750356300001</v>
      </c>
      <c r="AF15" s="22">
        <f t="shared" si="15"/>
        <v>0</v>
      </c>
      <c r="AG15" s="21">
        <f t="shared" si="16"/>
        <v>0</v>
      </c>
      <c r="AH15" s="21">
        <f>SUM(AE$3:AE15)</f>
        <v>100.068521297725</v>
      </c>
      <c r="AI15" s="21">
        <f>SUM(AG$3:AG15)</f>
        <v>258.92340160204134</v>
      </c>
      <c r="AJ15" s="23">
        <f t="shared" si="17"/>
        <v>12.885750356300001</v>
      </c>
      <c r="AK15" cm="1">
        <f t="array" ref="AK15">_xlfn.IFS(K15&lt;4,1,K15&lt;8,2,K15&gt;8,3)</f>
        <v>1</v>
      </c>
      <c r="AL15" cm="1">
        <f t="array" ref="AL15">_xlfn.IFS(K15&lt;9,2000,K15&lt;10,3500,K15&lt;12,5000,K15&lt;14,6500)</f>
        <v>2000</v>
      </c>
      <c r="AM15">
        <f>MATCH(AJ15,$AW$10:$BJ$10,1)</f>
        <v>14</v>
      </c>
      <c r="AN15">
        <v>175</v>
      </c>
      <c r="AO15">
        <f>(AE15*AN15/760)/$AS$14</f>
        <v>6.2666152907440127</v>
      </c>
      <c r="AP15">
        <f t="shared" si="18"/>
        <v>1.7407264696511147</v>
      </c>
      <c r="AQ15" s="21">
        <f>SUM(AP$3:AP15)</f>
        <v>13.518182409659339</v>
      </c>
      <c r="AW15">
        <v>2500</v>
      </c>
      <c r="AY15">
        <v>285</v>
      </c>
      <c r="AZ15">
        <v>285</v>
      </c>
      <c r="BA15">
        <v>245</v>
      </c>
      <c r="BB15">
        <v>245</v>
      </c>
      <c r="BC15">
        <v>245</v>
      </c>
      <c r="BD15">
        <v>210</v>
      </c>
      <c r="BE15">
        <v>210</v>
      </c>
      <c r="BF15">
        <v>210</v>
      </c>
      <c r="BG15">
        <v>205</v>
      </c>
      <c r="BH15">
        <v>205</v>
      </c>
      <c r="BI15">
        <v>205</v>
      </c>
      <c r="BJ15">
        <v>185</v>
      </c>
      <c r="BK15">
        <v>180</v>
      </c>
      <c r="BL15">
        <v>180</v>
      </c>
      <c r="BM15">
        <v>185</v>
      </c>
      <c r="BN15">
        <v>200</v>
      </c>
      <c r="BO15">
        <v>200</v>
      </c>
      <c r="BP15">
        <v>200</v>
      </c>
      <c r="BQ15">
        <v>200</v>
      </c>
    </row>
    <row r="16" spans="1:69">
      <c r="A16">
        <f t="shared" si="2"/>
        <v>124.25</v>
      </c>
      <c r="B16">
        <f t="shared" si="3"/>
        <v>0.6613053408668198</v>
      </c>
      <c r="C16">
        <f t="shared" si="4"/>
        <v>9.9396214390054638</v>
      </c>
      <c r="D16" s="4">
        <v>172.73471316000001</v>
      </c>
      <c r="E16">
        <f t="shared" si="5"/>
        <v>46.638372553200007</v>
      </c>
      <c r="F16" s="4">
        <v>3.52</v>
      </c>
      <c r="G16" s="20">
        <f t="shared" si="6"/>
        <v>13.024000000000001</v>
      </c>
      <c r="I16" s="26"/>
      <c r="J16" s="7">
        <v>12.955103487000002</v>
      </c>
      <c r="K16">
        <f t="shared" si="7"/>
        <v>17.491903779761277</v>
      </c>
      <c r="L16">
        <f t="shared" si="19"/>
        <v>61.578553763072939</v>
      </c>
      <c r="M16">
        <f t="shared" si="20"/>
        <v>-1.407287695696112</v>
      </c>
      <c r="N16">
        <f>M16*$AU$2</f>
        <v>-847.18719280905941</v>
      </c>
      <c r="O16">
        <v>133.69999999999999</v>
      </c>
      <c r="P16">
        <f t="shared" si="9"/>
        <v>13.37</v>
      </c>
      <c r="Q16">
        <f t="shared" si="10"/>
        <v>1.25</v>
      </c>
      <c r="R16">
        <f t="shared" si="21"/>
        <v>7.9999999999998295E-2</v>
      </c>
      <c r="S16">
        <f>(0.5*$AU$2*(J16*J16))/1000</f>
        <v>50.518246614022772</v>
      </c>
      <c r="T16">
        <f>($AU$2*9.81*Q16)/1000</f>
        <v>7.3820249999999996</v>
      </c>
      <c r="U16">
        <f t="shared" si="0"/>
        <v>2.2535211267607153E-3</v>
      </c>
      <c r="V16">
        <f t="shared" si="1"/>
        <v>2.2535173120437238E-3</v>
      </c>
      <c r="W16">
        <f t="shared" si="11"/>
        <v>0.12911703103977112</v>
      </c>
      <c r="X16">
        <f>($AU$2*9.81*SIN(W16))</f>
        <v>760.39920875571363</v>
      </c>
      <c r="Y16">
        <f>(0.12*($AU$2*9.81))</f>
        <v>708.67439999999999</v>
      </c>
      <c r="Z16">
        <f t="shared" si="12"/>
        <v>0.68346496970972714</v>
      </c>
      <c r="AA16">
        <f>SUM(Z$3:Z16)</f>
        <v>17.759371527454025</v>
      </c>
      <c r="AB16">
        <v>0.5</v>
      </c>
      <c r="AC16" s="7">
        <f t="shared" si="13"/>
        <v>8.8543594123288365</v>
      </c>
      <c r="AD16" s="21">
        <f>IF(AC16&gt;$AX$2,J16-1,AC16)</f>
        <v>11.955103487000002</v>
      </c>
      <c r="AE16" s="21">
        <f t="shared" si="14"/>
        <v>11.955103487000002</v>
      </c>
      <c r="AF16" s="22">
        <f t="shared" si="15"/>
        <v>0</v>
      </c>
      <c r="AG16" s="21">
        <f t="shared" si="16"/>
        <v>0</v>
      </c>
      <c r="AH16" s="21">
        <f>SUM(AE$3:AE16)</f>
        <v>112.023624784725</v>
      </c>
      <c r="AI16" s="21">
        <f>SUM(AG$3:AG16)</f>
        <v>258.92340160204134</v>
      </c>
      <c r="AJ16" s="23">
        <f t="shared" si="17"/>
        <v>11.955103487000002</v>
      </c>
      <c r="AK16" cm="1">
        <f t="array" ref="AK16">_xlfn.IFS(K16&lt;4,1,K16&lt;8,2,K16&gt;8,3)</f>
        <v>3</v>
      </c>
      <c r="AL16" t="e" cm="1">
        <f t="array" ref="AL16">_xlfn.IFS(K16&lt;9,2000,K16&lt;10,3500,K16&lt;12,5000,K16&lt;14,6500)</f>
        <v>#N/A</v>
      </c>
      <c r="AM16">
        <f>MATCH(AJ16,$AW$10:$BJ$10,1)</f>
        <v>13</v>
      </c>
      <c r="AN16">
        <v>175</v>
      </c>
      <c r="AO16">
        <f>(AE16*AN16/760)/$AS$14</f>
        <v>5.8140218646586561</v>
      </c>
      <c r="AP16">
        <f t="shared" si="18"/>
        <v>1.6150060735162932</v>
      </c>
      <c r="AQ16" s="21">
        <f>SUM(AP$3:AP16)</f>
        <v>15.133188483175632</v>
      </c>
      <c r="AW16">
        <v>3000</v>
      </c>
      <c r="AY16">
        <v>285</v>
      </c>
      <c r="AZ16">
        <v>285</v>
      </c>
      <c r="BA16">
        <v>230</v>
      </c>
      <c r="BB16">
        <v>230</v>
      </c>
      <c r="BC16">
        <v>230</v>
      </c>
      <c r="BD16">
        <v>210</v>
      </c>
      <c r="BE16">
        <v>210</v>
      </c>
      <c r="BF16">
        <v>210</v>
      </c>
      <c r="BG16">
        <v>200</v>
      </c>
      <c r="BH16">
        <v>200</v>
      </c>
      <c r="BI16">
        <v>200</v>
      </c>
      <c r="BJ16">
        <v>180</v>
      </c>
      <c r="BK16">
        <v>175</v>
      </c>
      <c r="BL16">
        <v>175</v>
      </c>
      <c r="BM16">
        <v>180</v>
      </c>
      <c r="BN16">
        <v>200</v>
      </c>
      <c r="BO16">
        <v>200</v>
      </c>
      <c r="BP16">
        <v>200</v>
      </c>
      <c r="BQ16">
        <v>200</v>
      </c>
    </row>
    <row r="17" spans="1:69">
      <c r="A17">
        <f t="shared" si="2"/>
        <v>133.125</v>
      </c>
      <c r="B17">
        <f t="shared" si="3"/>
        <v>0.71037501163722772</v>
      </c>
      <c r="C17">
        <f t="shared" si="4"/>
        <v>10.649996450642691</v>
      </c>
      <c r="D17" s="4">
        <v>160.42265131600001</v>
      </c>
      <c r="E17">
        <f t="shared" si="5"/>
        <v>43.314115855320004</v>
      </c>
      <c r="F17" s="4">
        <v>3.79</v>
      </c>
      <c r="G17" s="20">
        <f t="shared" si="6"/>
        <v>14.023000000000001</v>
      </c>
      <c r="I17" s="26"/>
      <c r="J17" s="7">
        <v>12.031698848700001</v>
      </c>
      <c r="K17">
        <f t="shared" si="7"/>
        <v>1.9283353717225507</v>
      </c>
      <c r="L17">
        <f t="shared" si="19"/>
        <v>53.113096049473299</v>
      </c>
      <c r="M17">
        <f t="shared" si="20"/>
        <v>-1.299883333694124</v>
      </c>
      <c r="N17">
        <f>M17*$AU$2</f>
        <v>-782.52976688386264</v>
      </c>
      <c r="O17">
        <v>133.9</v>
      </c>
      <c r="P17">
        <f t="shared" si="9"/>
        <v>13.39</v>
      </c>
      <c r="Q17">
        <f t="shared" si="10"/>
        <v>1.2700000000000014</v>
      </c>
      <c r="R17">
        <f t="shared" si="21"/>
        <v>2.000000000000135E-2</v>
      </c>
      <c r="S17">
        <f>(0.5*$AU$2*(J17*J17))/1000</f>
        <v>43.573294932928491</v>
      </c>
      <c r="T17">
        <f>($AU$2*9.81*Q17)/1000</f>
        <v>7.5001374000000078</v>
      </c>
      <c r="U17">
        <f t="shared" si="0"/>
        <v>3.1549295774647816E-2</v>
      </c>
      <c r="V17">
        <f t="shared" si="1"/>
        <v>3.1538834406302237E-2</v>
      </c>
      <c r="W17">
        <f t="shared" si="11"/>
        <v>1.8070421022431076</v>
      </c>
      <c r="X17">
        <f>($AU$2*9.81*SIN(W17))</f>
        <v>5741.5826445944604</v>
      </c>
      <c r="Y17">
        <f>(0.12*($AU$2*9.81))</f>
        <v>708.67439999999999</v>
      </c>
      <c r="Z17">
        <f t="shared" si="12"/>
        <v>5.7208403737600708</v>
      </c>
      <c r="AA17">
        <f>SUM(Z$3:Z17)</f>
        <v>23.480211901214098</v>
      </c>
      <c r="AB17">
        <v>0.5</v>
      </c>
      <c r="AC17" s="7">
        <f t="shared" si="13"/>
        <v>68.831428538565532</v>
      </c>
      <c r="AD17" s="21">
        <f>IF(AC17&gt;$AX$2,J17-1,AC17)</f>
        <v>11.031698848700001</v>
      </c>
      <c r="AE17" s="21">
        <f t="shared" si="14"/>
        <v>11.031698848700001</v>
      </c>
      <c r="AF17" s="22">
        <f t="shared" si="15"/>
        <v>0</v>
      </c>
      <c r="AG17" s="21">
        <f t="shared" si="16"/>
        <v>0</v>
      </c>
      <c r="AH17" s="21">
        <f>SUM(AE$3:AE17)</f>
        <v>123.055323633425</v>
      </c>
      <c r="AI17" s="21">
        <f>SUM(AG$3:AG17)</f>
        <v>258.92340160204134</v>
      </c>
      <c r="AJ17" s="23">
        <f t="shared" si="17"/>
        <v>11.031698848700001</v>
      </c>
      <c r="AK17" cm="1">
        <f t="array" ref="AK17">_xlfn.IFS(K17&lt;4,1,K17&lt;8,2,K17&gt;8,3)</f>
        <v>1</v>
      </c>
      <c r="AL17" cm="1">
        <f t="array" ref="AL17">_xlfn.IFS(K17&lt;9,2000,K17&lt;10,3500,K17&lt;12,5000,K17&lt;14,6500)</f>
        <v>2000</v>
      </c>
      <c r="AM17">
        <f>MATCH(AJ17,$AW$10:$BJ$10,1)</f>
        <v>13</v>
      </c>
      <c r="AN17">
        <v>175</v>
      </c>
      <c r="AO17">
        <f>(AE17*AN17/760)/$AS$14</f>
        <v>5.3649504900075424</v>
      </c>
      <c r="AP17">
        <f t="shared" si="18"/>
        <v>1.4902640250020951</v>
      </c>
      <c r="AQ17" s="21">
        <f>SUM(AP$3:AP17)</f>
        <v>16.623452508177728</v>
      </c>
      <c r="AW17">
        <v>3500</v>
      </c>
      <c r="AY17">
        <v>285</v>
      </c>
      <c r="AZ17">
        <v>285</v>
      </c>
      <c r="BA17">
        <v>230</v>
      </c>
      <c r="BB17">
        <v>230</v>
      </c>
      <c r="BC17">
        <v>230</v>
      </c>
      <c r="BD17">
        <v>210</v>
      </c>
      <c r="BE17">
        <v>210</v>
      </c>
      <c r="BF17">
        <v>210</v>
      </c>
      <c r="BG17">
        <v>200</v>
      </c>
      <c r="BH17">
        <v>200</v>
      </c>
      <c r="BI17">
        <v>200</v>
      </c>
      <c r="BJ17">
        <v>180</v>
      </c>
      <c r="BK17">
        <v>175</v>
      </c>
      <c r="BL17">
        <v>175</v>
      </c>
      <c r="BM17">
        <v>180</v>
      </c>
      <c r="BN17">
        <v>200</v>
      </c>
      <c r="BO17">
        <v>200</v>
      </c>
      <c r="BP17">
        <v>200</v>
      </c>
      <c r="BQ17">
        <v>200</v>
      </c>
    </row>
    <row r="18" spans="1:69">
      <c r="A18">
        <f t="shared" si="2"/>
        <v>142</v>
      </c>
      <c r="B18">
        <f t="shared" si="3"/>
        <v>0.76675827650487616</v>
      </c>
      <c r="C18">
        <f t="shared" si="4"/>
        <v>11.416754727147566</v>
      </c>
      <c r="D18" s="4">
        <v>148.23611888400001</v>
      </c>
      <c r="E18">
        <f t="shared" si="5"/>
        <v>40.023752098680006</v>
      </c>
      <c r="F18" s="4">
        <v>4.0599999999999996</v>
      </c>
      <c r="G18" s="20">
        <f t="shared" si="6"/>
        <v>15.021999999999998</v>
      </c>
      <c r="J18" s="7">
        <v>11.117708916300002</v>
      </c>
      <c r="K18">
        <f t="shared" si="7"/>
        <v>3.086712446503252</v>
      </c>
      <c r="L18">
        <f t="shared" si="19"/>
        <v>45.35010637280584</v>
      </c>
      <c r="M18">
        <f t="shared" si="20"/>
        <v>-1.1920183458159104</v>
      </c>
      <c r="N18">
        <f>M18*$AU$2</f>
        <v>-717.59504418117808</v>
      </c>
      <c r="O18">
        <v>136.69999999999999</v>
      </c>
      <c r="P18">
        <f t="shared" si="9"/>
        <v>13.67</v>
      </c>
      <c r="Q18">
        <f t="shared" si="10"/>
        <v>1.5500000000000007</v>
      </c>
      <c r="R18">
        <f t="shared" si="21"/>
        <v>0.27999999999999936</v>
      </c>
      <c r="S18">
        <f>(0.5*$AU$2*(J18*J18))/1000</f>
        <v>37.204638915820539</v>
      </c>
      <c r="T18">
        <f>($AU$2*9.81*Q18)/1000</f>
        <v>9.1537110000000048</v>
      </c>
      <c r="U18">
        <f t="shared" si="0"/>
        <v>1.0140845070422519E-2</v>
      </c>
      <c r="V18">
        <f t="shared" si="1"/>
        <v>1.0140497474724588E-2</v>
      </c>
      <c r="W18">
        <f t="shared" si="11"/>
        <v>0.58100770746478814</v>
      </c>
      <c r="X18">
        <f>($AU$2*9.81*SIN(W18))</f>
        <v>3241.3973816278331</v>
      </c>
      <c r="Y18">
        <f>(0.12*($AU$2*9.81))</f>
        <v>708.67439999999999</v>
      </c>
      <c r="Z18">
        <f t="shared" si="12"/>
        <v>3.2778268438194611</v>
      </c>
      <c r="AA18">
        <f>SUM(Z$3:Z18)</f>
        <v>26.758038745033559</v>
      </c>
      <c r="AB18">
        <v>0.5</v>
      </c>
      <c r="AC18" s="7">
        <f t="shared" si="13"/>
        <v>36.441924727619117</v>
      </c>
      <c r="AD18" s="21">
        <f>IF(AC18&gt;$AX$2,J18-1,AC18)</f>
        <v>10.117708916300002</v>
      </c>
      <c r="AE18" s="21">
        <f t="shared" si="14"/>
        <v>10.117708916300002</v>
      </c>
      <c r="AF18" s="22">
        <f t="shared" si="15"/>
        <v>0</v>
      </c>
      <c r="AG18" s="21">
        <f t="shared" si="16"/>
        <v>0</v>
      </c>
      <c r="AH18" s="21">
        <f>SUM(AE$3:AE18)</f>
        <v>133.17303254972501</v>
      </c>
      <c r="AI18" s="21">
        <f>SUM(AG$3:AG18)</f>
        <v>258.92340160204134</v>
      </c>
      <c r="AJ18" s="23">
        <f t="shared" si="17"/>
        <v>10.117708916300002</v>
      </c>
      <c r="AK18" cm="1">
        <f t="array" ref="AK18">_xlfn.IFS(K18&lt;4,1,K18&lt;8,2,K18&gt;8,3)</f>
        <v>1</v>
      </c>
      <c r="AL18" cm="1">
        <f t="array" ref="AL18">_xlfn.IFS(K18&lt;9,2000,K18&lt;10,3500,K18&lt;12,5000,K18&lt;14,6500)</f>
        <v>2000</v>
      </c>
      <c r="AM18">
        <f>MATCH(AJ18,$AW$10:$BJ$10,1)</f>
        <v>12</v>
      </c>
      <c r="AN18">
        <v>175</v>
      </c>
      <c r="AO18">
        <f>(AE18*AN18/760)/$AS$14</f>
        <v>4.9204576876800772</v>
      </c>
      <c r="AP18">
        <f t="shared" si="18"/>
        <v>1.3667938021333548</v>
      </c>
      <c r="AQ18" s="21">
        <f>SUM(AP$3:AP18)</f>
        <v>17.990246310311083</v>
      </c>
      <c r="AS18" s="1" t="s">
        <v>3</v>
      </c>
      <c r="AT18" s="2">
        <f>AQ155</f>
        <v>98.104686448714745</v>
      </c>
      <c r="AW18">
        <v>4000</v>
      </c>
      <c r="AY18">
        <v>285</v>
      </c>
      <c r="AZ18">
        <v>285</v>
      </c>
      <c r="BA18">
        <v>230</v>
      </c>
      <c r="BB18">
        <v>230</v>
      </c>
      <c r="BC18">
        <v>230</v>
      </c>
      <c r="BD18">
        <v>205</v>
      </c>
      <c r="BE18">
        <v>205</v>
      </c>
      <c r="BF18">
        <v>205</v>
      </c>
      <c r="BG18">
        <v>195</v>
      </c>
      <c r="BH18">
        <v>195</v>
      </c>
      <c r="BI18">
        <v>195</v>
      </c>
      <c r="BJ18">
        <v>180</v>
      </c>
      <c r="BK18">
        <v>175</v>
      </c>
      <c r="BL18">
        <v>175</v>
      </c>
      <c r="BM18">
        <v>180</v>
      </c>
      <c r="BN18">
        <v>200</v>
      </c>
      <c r="BO18">
        <v>200</v>
      </c>
      <c r="BP18">
        <v>200</v>
      </c>
      <c r="BQ18">
        <v>200</v>
      </c>
    </row>
    <row r="19" spans="1:69">
      <c r="A19">
        <f t="shared" si="2"/>
        <v>150.875</v>
      </c>
      <c r="B19">
        <f t="shared" si="3"/>
        <v>0.83208027253580719</v>
      </c>
      <c r="C19">
        <f t="shared" si="4"/>
        <v>12.248834999683373</v>
      </c>
      <c r="D19" s="4">
        <v>136.19156733599999</v>
      </c>
      <c r="E19">
        <f t="shared" si="5"/>
        <v>36.771723180720002</v>
      </c>
      <c r="F19" s="4">
        <v>4.33</v>
      </c>
      <c r="G19" s="20">
        <f t="shared" si="6"/>
        <v>16.021000000000001</v>
      </c>
      <c r="J19" s="7">
        <v>10.2143675502</v>
      </c>
      <c r="K19">
        <f t="shared" si="7"/>
        <v>10.2143675502</v>
      </c>
      <c r="L19">
        <f t="shared" si="19"/>
        <v>38.279889402917341</v>
      </c>
      <c r="M19">
        <f t="shared" si="20"/>
        <v>-1.0856420899717074</v>
      </c>
      <c r="N19">
        <f>M19*$AU$2</f>
        <v>-653.55653816296785</v>
      </c>
      <c r="O19">
        <v>137.6</v>
      </c>
      <c r="P19">
        <f t="shared" si="9"/>
        <v>13.76</v>
      </c>
      <c r="Q19">
        <f t="shared" si="10"/>
        <v>1.6400000000000006</v>
      </c>
      <c r="R19">
        <f t="shared" si="21"/>
        <v>8.9999999999999858E-2</v>
      </c>
      <c r="S19">
        <f>(0.5*$AU$2*(J19*J19))/1000</f>
        <v>31.404324639624203</v>
      </c>
      <c r="T19">
        <f>($AU$2*9.81*Q19)/1000</f>
        <v>9.6852168000000045</v>
      </c>
      <c r="U19">
        <f t="shared" si="0"/>
        <v>6.7605633802816867E-2</v>
      </c>
      <c r="V19">
        <f t="shared" si="1"/>
        <v>6.7502917663227996E-2</v>
      </c>
      <c r="W19">
        <f t="shared" si="11"/>
        <v>3.8676322869220616</v>
      </c>
      <c r="X19">
        <f>($AU$2*9.81*SIN(W19))</f>
        <v>-3920.8193621537671</v>
      </c>
      <c r="Y19">
        <f>(0.12*($AU$2*9.81))</f>
        <v>708.67439999999999</v>
      </c>
      <c r="Z19">
        <f t="shared" si="12"/>
        <v>-3.8274216109138179</v>
      </c>
      <c r="AA19">
        <f>SUM(Z$3:Z19)</f>
        <v>22.930617134119743</v>
      </c>
      <c r="AB19">
        <v>0.5</v>
      </c>
      <c r="AC19" s="7">
        <f t="shared" si="13"/>
        <v>-39.094691103452313</v>
      </c>
      <c r="AD19" s="21">
        <f>IF(AC19&gt;$AX$2,J19-1,AC19)</f>
        <v>-39.094691103452313</v>
      </c>
      <c r="AE19" s="21">
        <f t="shared" si="14"/>
        <v>0</v>
      </c>
      <c r="AF19" s="22">
        <f t="shared" si="15"/>
        <v>-39.094691103452313</v>
      </c>
      <c r="AG19" s="21">
        <f t="shared" si="16"/>
        <v>39.094691103452313</v>
      </c>
      <c r="AH19" s="21">
        <f>SUM(AE$3:AE19)</f>
        <v>133.17303254972501</v>
      </c>
      <c r="AI19" s="21">
        <f>SUM(AG$3:AG19)</f>
        <v>298.01809270549364</v>
      </c>
      <c r="AJ19" s="23">
        <f t="shared" si="17"/>
        <v>0</v>
      </c>
      <c r="AK19" cm="1">
        <f t="array" ref="AK19">_xlfn.IFS(K19&lt;4,1,K19&lt;8,2,K19&gt;8,3)</f>
        <v>3</v>
      </c>
      <c r="AL19" cm="1">
        <f t="array" ref="AL19">_xlfn.IFS(K19&lt;9,2000,K19&lt;10,3500,K19&lt;12,5000,K19&lt;14,6500)</f>
        <v>5000</v>
      </c>
      <c r="AM19">
        <f>MATCH(AJ19,$AW$10:$BJ$10,1)</f>
        <v>2</v>
      </c>
      <c r="AN19">
        <v>175</v>
      </c>
      <c r="AO19">
        <f>(AE19*AN19/760)/$AS$14</f>
        <v>0</v>
      </c>
      <c r="AP19">
        <f t="shared" si="18"/>
        <v>0</v>
      </c>
      <c r="AQ19" s="21">
        <f>SUM(AP$3:AP19)</f>
        <v>17.990246310311083</v>
      </c>
      <c r="AW19">
        <v>4500</v>
      </c>
      <c r="AY19">
        <v>260</v>
      </c>
      <c r="AZ19">
        <v>260</v>
      </c>
      <c r="BA19">
        <v>225</v>
      </c>
      <c r="BB19">
        <v>225</v>
      </c>
      <c r="BC19">
        <v>225</v>
      </c>
      <c r="BD19">
        <v>200</v>
      </c>
      <c r="BE19">
        <v>200</v>
      </c>
      <c r="BF19">
        <v>200</v>
      </c>
      <c r="BG19">
        <v>195</v>
      </c>
      <c r="BH19">
        <v>195</v>
      </c>
      <c r="BI19">
        <v>195</v>
      </c>
      <c r="BJ19">
        <v>182</v>
      </c>
      <c r="BK19">
        <v>180</v>
      </c>
      <c r="BL19">
        <v>182</v>
      </c>
      <c r="BM19">
        <v>182</v>
      </c>
      <c r="BN19">
        <v>200</v>
      </c>
      <c r="BO19">
        <v>200</v>
      </c>
      <c r="BP19">
        <v>200</v>
      </c>
      <c r="BQ19">
        <v>200</v>
      </c>
    </row>
    <row r="20" spans="1:69">
      <c r="A20">
        <f t="shared" si="2"/>
        <v>159.75</v>
      </c>
      <c r="B20">
        <f t="shared" si="3"/>
        <v>0.90819899715778429</v>
      </c>
      <c r="C20">
        <f t="shared" si="4"/>
        <v>13.157033996841157</v>
      </c>
      <c r="D20" s="4">
        <v>124.39743067800001</v>
      </c>
      <c r="E20">
        <f t="shared" si="5"/>
        <v>33.587306283060002</v>
      </c>
      <c r="F20" s="4">
        <v>4.5999999999999996</v>
      </c>
      <c r="G20" s="20">
        <f t="shared" si="6"/>
        <v>17.02</v>
      </c>
      <c r="J20" s="7">
        <v>9.3298073008500015</v>
      </c>
      <c r="K20">
        <f t="shared" si="7"/>
        <v>1.4374512119843128</v>
      </c>
      <c r="L20">
        <f t="shared" si="19"/>
        <v>31.936922137027697</v>
      </c>
      <c r="M20">
        <f t="shared" si="20"/>
        <v>-0.97397184110336699</v>
      </c>
      <c r="N20">
        <f>M20*$AU$2</f>
        <v>-586.33104834422693</v>
      </c>
      <c r="O20">
        <v>143.6</v>
      </c>
      <c r="P20">
        <f t="shared" si="9"/>
        <v>14.36</v>
      </c>
      <c r="Q20">
        <f t="shared" si="10"/>
        <v>2.2400000000000002</v>
      </c>
      <c r="R20">
        <f t="shared" si="21"/>
        <v>0.59999999999999964</v>
      </c>
      <c r="S20">
        <f>(0.5*$AU$2*(J20*J20))/1000</f>
        <v>26.200636585569193</v>
      </c>
      <c r="T20">
        <f>($AU$2*9.81*Q20)/1000</f>
        <v>13.228588800000001</v>
      </c>
      <c r="U20">
        <f t="shared" si="0"/>
        <v>3.2676056338028274E-2</v>
      </c>
      <c r="V20">
        <f t="shared" si="1"/>
        <v>3.2664434105702647E-2</v>
      </c>
      <c r="W20">
        <f t="shared" si="11"/>
        <v>1.8715342144399452</v>
      </c>
      <c r="X20">
        <f>($AU$2*9.81*SIN(W20))</f>
        <v>5640.5649574072313</v>
      </c>
      <c r="Y20">
        <f>(0.12*($AU$2*9.81))</f>
        <v>708.67439999999999</v>
      </c>
      <c r="Z20">
        <f t="shared" si="12"/>
        <v>5.794845231200032</v>
      </c>
      <c r="AA20">
        <f>SUM(Z$3:Z20)</f>
        <v>28.725462365319775</v>
      </c>
      <c r="AB20">
        <v>0.5</v>
      </c>
      <c r="AC20" s="7">
        <f t="shared" si="13"/>
        <v>54.064789345345872</v>
      </c>
      <c r="AD20" s="21">
        <f>IF(AC20&gt;$AX$2,J20-1,AC20)</f>
        <v>8.3298073008500015</v>
      </c>
      <c r="AE20" s="21">
        <f t="shared" si="14"/>
        <v>8.3298073008500015</v>
      </c>
      <c r="AF20" s="22">
        <f t="shared" si="15"/>
        <v>0</v>
      </c>
      <c r="AG20" s="21">
        <f t="shared" si="16"/>
        <v>0</v>
      </c>
      <c r="AH20" s="21">
        <f>SUM(AE$3:AE20)</f>
        <v>141.50283985057501</v>
      </c>
      <c r="AI20" s="21">
        <f>SUM(AG$3:AG20)</f>
        <v>298.01809270549364</v>
      </c>
      <c r="AJ20" s="23">
        <f t="shared" si="17"/>
        <v>8.3298073008500015</v>
      </c>
      <c r="AK20" cm="1">
        <f t="array" ref="AK20">_xlfn.IFS(K20&lt;4,1,K20&lt;8,2,K20&gt;8,3)</f>
        <v>1</v>
      </c>
      <c r="AL20" cm="1">
        <f t="array" ref="AL20">_xlfn.IFS(K20&lt;9,2000,K20&lt;10,3500,K20&lt;12,5000,K20&lt;14,6500)</f>
        <v>2000</v>
      </c>
      <c r="AM20">
        <f>MATCH(AJ20,$AW$10:$BJ$10,1)</f>
        <v>10</v>
      </c>
      <c r="AN20">
        <v>175</v>
      </c>
      <c r="AO20">
        <f>(AE20*AN20/760)/$AS$14</f>
        <v>4.0509629906757167</v>
      </c>
      <c r="AP20">
        <f t="shared" si="18"/>
        <v>1.1252674974099213</v>
      </c>
      <c r="AQ20" s="21">
        <f>SUM(AP$3:AP20)</f>
        <v>19.115513807721005</v>
      </c>
      <c r="AW20">
        <v>5000</v>
      </c>
      <c r="AY20">
        <v>285</v>
      </c>
      <c r="AZ20">
        <v>285</v>
      </c>
      <c r="BA20">
        <v>235</v>
      </c>
      <c r="BB20">
        <v>235</v>
      </c>
      <c r="BC20">
        <v>235</v>
      </c>
      <c r="BD20">
        <v>205</v>
      </c>
      <c r="BE20">
        <v>205</v>
      </c>
      <c r="BF20">
        <v>205</v>
      </c>
      <c r="BG20">
        <v>200</v>
      </c>
      <c r="BH20">
        <v>200</v>
      </c>
      <c r="BI20">
        <v>200</v>
      </c>
      <c r="BJ20">
        <v>185</v>
      </c>
      <c r="BK20">
        <v>182</v>
      </c>
      <c r="BL20">
        <v>185</v>
      </c>
      <c r="BM20">
        <v>185</v>
      </c>
      <c r="BN20">
        <v>200</v>
      </c>
      <c r="BO20">
        <v>200</v>
      </c>
      <c r="BP20">
        <v>200</v>
      </c>
      <c r="BQ20">
        <v>200</v>
      </c>
    </row>
    <row r="21" spans="1:69">
      <c r="A21">
        <f t="shared" si="2"/>
        <v>168.625</v>
      </c>
      <c r="B21">
        <f t="shared" si="3"/>
        <v>0.99782042879750399</v>
      </c>
      <c r="C21">
        <f t="shared" si="4"/>
        <v>14.154854425638661</v>
      </c>
      <c r="D21" s="4">
        <v>112.786194588</v>
      </c>
      <c r="E21">
        <f t="shared" si="5"/>
        <v>30.452272538760003</v>
      </c>
      <c r="F21" s="4">
        <v>4.87</v>
      </c>
      <c r="G21" s="20">
        <f t="shared" si="6"/>
        <v>18.019000000000002</v>
      </c>
      <c r="J21" s="7">
        <v>8.4589645941000011</v>
      </c>
      <c r="K21">
        <f t="shared" si="7"/>
        <v>1.2241482652198992</v>
      </c>
      <c r="L21">
        <f t="shared" si="19"/>
        <v>26.253192687354701</v>
      </c>
      <c r="M21">
        <f t="shared" si="20"/>
        <v>-0.87274491643699192</v>
      </c>
      <c r="N21">
        <f>M21*$AU$2</f>
        <v>-525.39243969506913</v>
      </c>
      <c r="O21">
        <v>146.5</v>
      </c>
      <c r="P21">
        <f t="shared" si="9"/>
        <v>14.65</v>
      </c>
      <c r="Q21">
        <f t="shared" si="10"/>
        <v>2.5300000000000011</v>
      </c>
      <c r="R21">
        <f t="shared" si="21"/>
        <v>0.29000000000000092</v>
      </c>
      <c r="S21">
        <f>(0.5*$AU$2*(J21*J21))/1000</f>
        <v>21.537778683275459</v>
      </c>
      <c r="T21">
        <f>($AU$2*9.81*Q21)/1000</f>
        <v>14.941218600000006</v>
      </c>
      <c r="U21">
        <f t="shared" si="0"/>
        <v>2.5915492957746727E-2</v>
      </c>
      <c r="V21">
        <f t="shared" si="1"/>
        <v>2.5909693569151113E-2</v>
      </c>
      <c r="W21">
        <f t="shared" si="11"/>
        <v>1.484516089989609</v>
      </c>
      <c r="X21">
        <f>($AU$2*9.81*SIN(W21))</f>
        <v>5883.6520907605081</v>
      </c>
      <c r="Y21">
        <f>(0.12*($AU$2*9.81))</f>
        <v>708.67439999999999</v>
      </c>
      <c r="Z21">
        <f t="shared" si="12"/>
        <v>6.0931872437527934</v>
      </c>
      <c r="AA21">
        <f>SUM(Z$3:Z21)</f>
        <v>34.818649609072565</v>
      </c>
      <c r="AB21">
        <v>0.5</v>
      </c>
      <c r="AC21" s="7">
        <f t="shared" si="13"/>
        <v>51.542055160126651</v>
      </c>
      <c r="AD21" s="21">
        <f>IF(AC21&gt;$AX$2,J21-1,AC21)</f>
        <v>7.4589645941000011</v>
      </c>
      <c r="AE21" s="21">
        <f t="shared" si="14"/>
        <v>7.4589645941000011</v>
      </c>
      <c r="AF21" s="22">
        <f t="shared" si="15"/>
        <v>0</v>
      </c>
      <c r="AG21" s="21">
        <f t="shared" si="16"/>
        <v>0</v>
      </c>
      <c r="AH21" s="21">
        <f>SUM(AE$3:AE21)</f>
        <v>148.96180444467501</v>
      </c>
      <c r="AI21" s="21">
        <f>SUM(AG$3:AG21)</f>
        <v>298.01809270549364</v>
      </c>
      <c r="AJ21" s="23">
        <f t="shared" si="17"/>
        <v>7.4589645941000011</v>
      </c>
      <c r="AK21" cm="1">
        <f t="array" ref="AK21">_xlfn.IFS(K21&lt;4,1,K21&lt;8,2,K21&gt;8,3)</f>
        <v>1</v>
      </c>
      <c r="AL21" cm="1">
        <f t="array" ref="AL21">_xlfn.IFS(K21&lt;1,2000,K21&lt;2,3500,K21&lt;3,5000,K21&lt;4,6500)</f>
        <v>3500</v>
      </c>
      <c r="AM21">
        <f>MATCH(AJ21,$AW$10:$BJ$10,1)</f>
        <v>9</v>
      </c>
      <c r="AN21">
        <v>175</v>
      </c>
      <c r="AO21">
        <f>(AE21*AN21/760)/$AS$14</f>
        <v>3.6274536046441654</v>
      </c>
      <c r="AP21">
        <f t="shared" si="18"/>
        <v>1.007626001290046</v>
      </c>
      <c r="AQ21" s="21">
        <f>SUM(AP$3:AP21)</f>
        <v>20.12313980901105</v>
      </c>
      <c r="AS21" s="3">
        <f>AR159*AR157</f>
        <v>39.360576655719875</v>
      </c>
      <c r="AT21" s="3" t="s">
        <v>4</v>
      </c>
      <c r="AW21">
        <v>5500</v>
      </c>
      <c r="AY21">
        <v>285</v>
      </c>
      <c r="AZ21">
        <v>285</v>
      </c>
      <c r="BA21">
        <v>240</v>
      </c>
      <c r="BB21">
        <v>240</v>
      </c>
      <c r="BC21">
        <v>240</v>
      </c>
      <c r="BD21">
        <v>210</v>
      </c>
      <c r="BE21">
        <v>210</v>
      </c>
      <c r="BF21">
        <v>210</v>
      </c>
      <c r="BG21">
        <v>200</v>
      </c>
      <c r="BH21">
        <v>200</v>
      </c>
      <c r="BI21">
        <v>200</v>
      </c>
      <c r="BJ21">
        <v>190</v>
      </c>
      <c r="BK21">
        <v>185</v>
      </c>
      <c r="BL21">
        <v>187</v>
      </c>
      <c r="BM21">
        <v>190</v>
      </c>
      <c r="BN21">
        <v>200</v>
      </c>
      <c r="BO21">
        <v>200</v>
      </c>
      <c r="BP21">
        <v>200</v>
      </c>
      <c r="BQ21">
        <v>200</v>
      </c>
    </row>
    <row r="22" spans="1:69">
      <c r="A22">
        <f t="shared" si="2"/>
        <v>177.5</v>
      </c>
      <c r="B22">
        <f t="shared" si="3"/>
        <v>1.1049522906415328</v>
      </c>
      <c r="C22">
        <f t="shared" si="4"/>
        <v>15.259806716280194</v>
      </c>
      <c r="D22" s="4">
        <v>101.40103202</v>
      </c>
      <c r="E22">
        <f t="shared" si="5"/>
        <v>27.378278645400002</v>
      </c>
      <c r="F22" s="4">
        <v>5.14</v>
      </c>
      <c r="G22" s="20">
        <f t="shared" si="6"/>
        <v>19.018000000000001</v>
      </c>
      <c r="J22" s="7">
        <v>7.6050774015</v>
      </c>
      <c r="K22">
        <f t="shared" si="7"/>
        <v>7.6050774015</v>
      </c>
      <c r="L22">
        <f t="shared" si="19"/>
        <v>21.220469517561519</v>
      </c>
      <c r="M22">
        <f t="shared" si="20"/>
        <v>-0.77278195613698031</v>
      </c>
      <c r="N22">
        <f>M22*$AU$2</f>
        <v>-465.21473759446212</v>
      </c>
      <c r="O22">
        <v>148.80000000000001</v>
      </c>
      <c r="P22">
        <f t="shared" si="9"/>
        <v>14.880000000000003</v>
      </c>
      <c r="Q22">
        <f t="shared" si="10"/>
        <v>2.7600000000000033</v>
      </c>
      <c r="R22">
        <f t="shared" si="21"/>
        <v>0.2300000000000022</v>
      </c>
      <c r="S22">
        <f>(0.5*$AU$2*(J22*J22))/1000</f>
        <v>17.408997887124602</v>
      </c>
      <c r="T22">
        <f>($AU$2*9.81*Q22)/1000</f>
        <v>16.299511200000019</v>
      </c>
      <c r="U22">
        <f t="shared" si="0"/>
        <v>-1.3521126760563693E-2</v>
      </c>
      <c r="V22">
        <f t="shared" si="1"/>
        <v>-1.3520302869555641E-2</v>
      </c>
      <c r="W22">
        <f t="shared" si="11"/>
        <v>-0.77465629216415421</v>
      </c>
      <c r="X22">
        <f>($AU$2*9.81*SIN(W22))</f>
        <v>-4130.8068673976168</v>
      </c>
      <c r="Y22">
        <f>(0.12*($AU$2*9.81))</f>
        <v>708.67439999999999</v>
      </c>
      <c r="Z22">
        <f t="shared" si="12"/>
        <v>-3.8661267354745177</v>
      </c>
      <c r="AA22">
        <f>SUM(Z$3:Z22)</f>
        <v>30.952522873598049</v>
      </c>
      <c r="AB22">
        <v>0.5</v>
      </c>
      <c r="AC22" s="7">
        <f t="shared" si="13"/>
        <v>-29.402193067292224</v>
      </c>
      <c r="AD22" s="21">
        <f>IF(AC22&gt;$AX$2,J22-1,AC22)</f>
        <v>-29.402193067292224</v>
      </c>
      <c r="AE22" s="21">
        <f t="shared" si="14"/>
        <v>0</v>
      </c>
      <c r="AF22" s="22">
        <f t="shared" si="15"/>
        <v>-29.402193067292224</v>
      </c>
      <c r="AG22" s="21">
        <f t="shared" si="16"/>
        <v>29.402193067292224</v>
      </c>
      <c r="AH22" s="21">
        <f>SUM(AE$3:AE22)</f>
        <v>148.96180444467501</v>
      </c>
      <c r="AI22" s="21">
        <f>SUM(AG$3:AG22)</f>
        <v>327.42028577278586</v>
      </c>
      <c r="AJ22" s="23">
        <f t="shared" si="17"/>
        <v>0</v>
      </c>
      <c r="AK22" cm="1">
        <f t="array" ref="AK22">_xlfn.IFS(K22&lt;4,1,K22&lt;8,2,K22&gt;8,3)</f>
        <v>2</v>
      </c>
      <c r="AL22" cm="1">
        <f t="array" ref="AL22">_xlfn.IFS(K22&lt;5,2000,K22&lt;6,3500,K22&lt;7,5000,K22&lt;8,6500)</f>
        <v>6500</v>
      </c>
      <c r="AM22">
        <f>MATCH(AJ22,$AW$10:$BJ$10,1)</f>
        <v>2</v>
      </c>
      <c r="AN22">
        <v>175</v>
      </c>
      <c r="AO22">
        <f>(AE22*AN22/760)/$AS$14</f>
        <v>0</v>
      </c>
      <c r="AP22">
        <f t="shared" si="18"/>
        <v>0</v>
      </c>
      <c r="AQ22" s="21">
        <f>SUM(AP$3:AP22)</f>
        <v>20.12313980901105</v>
      </c>
      <c r="AW22">
        <v>6000</v>
      </c>
      <c r="AY22">
        <v>300</v>
      </c>
      <c r="AZ22">
        <v>300</v>
      </c>
      <c r="BA22">
        <v>245</v>
      </c>
      <c r="BB22">
        <v>245</v>
      </c>
      <c r="BC22">
        <v>245</v>
      </c>
      <c r="BD22">
        <v>210</v>
      </c>
      <c r="BE22">
        <v>210</v>
      </c>
      <c r="BF22">
        <v>210</v>
      </c>
      <c r="BG22">
        <v>205</v>
      </c>
      <c r="BH22">
        <v>205</v>
      </c>
      <c r="BI22">
        <v>205</v>
      </c>
      <c r="BJ22">
        <v>190</v>
      </c>
      <c r="BK22">
        <v>190</v>
      </c>
      <c r="BL22">
        <v>190</v>
      </c>
      <c r="BM22">
        <v>192</v>
      </c>
      <c r="BN22">
        <v>200</v>
      </c>
      <c r="BO22">
        <v>200</v>
      </c>
      <c r="BP22">
        <v>200</v>
      </c>
      <c r="BQ22">
        <v>200</v>
      </c>
    </row>
    <row r="23" spans="1:69">
      <c r="A23">
        <f t="shared" si="2"/>
        <v>186.375</v>
      </c>
      <c r="B23">
        <f t="shared" si="3"/>
        <v>1.234118726121427</v>
      </c>
      <c r="C23">
        <f t="shared" si="4"/>
        <v>16.493925442401622</v>
      </c>
      <c r="D23" s="4">
        <v>90.368739929300006</v>
      </c>
      <c r="E23">
        <f t="shared" si="5"/>
        <v>24.399559780911002</v>
      </c>
      <c r="F23" s="4">
        <v>5.41</v>
      </c>
      <c r="G23" s="20">
        <f t="shared" si="6"/>
        <v>20.017000000000003</v>
      </c>
      <c r="J23" s="7">
        <v>6.7776554946975001</v>
      </c>
      <c r="K23">
        <f t="shared" si="7"/>
        <v>6.7776554946975009</v>
      </c>
      <c r="L23">
        <f t="shared" si="19"/>
        <v>16.854143678362298</v>
      </c>
      <c r="M23">
        <f t="shared" si="20"/>
        <v>-0.67045567763395852</v>
      </c>
      <c r="N23">
        <f>M23*$AU$2</f>
        <v>-403.61431793564304</v>
      </c>
      <c r="O23">
        <v>147.6</v>
      </c>
      <c r="P23">
        <f t="shared" si="9"/>
        <v>14.76</v>
      </c>
      <c r="Q23">
        <f t="shared" si="10"/>
        <v>2.6400000000000006</v>
      </c>
      <c r="R23">
        <f t="shared" si="21"/>
        <v>0.12000000000000277</v>
      </c>
      <c r="S23">
        <f>(0.5*$AU$2*(J23*J23))/1000</f>
        <v>13.826920815445767</v>
      </c>
      <c r="T23">
        <f>($AU$2*9.81*Q23)/1000</f>
        <v>15.590836800000003</v>
      </c>
      <c r="U23">
        <f t="shared" si="0"/>
        <v>-9.0140845070420614E-3</v>
      </c>
      <c r="V23">
        <f t="shared" si="1"/>
        <v>-9.0138403763125076E-3</v>
      </c>
      <c r="W23">
        <f t="shared" si="11"/>
        <v>-0.51645501076732037</v>
      </c>
      <c r="X23">
        <f>($AU$2*9.81*SIN(W23))</f>
        <v>-2916.1987732457233</v>
      </c>
      <c r="Y23">
        <f>(0.12*($AU$2*9.81))</f>
        <v>708.67439999999999</v>
      </c>
      <c r="Z23">
        <f t="shared" si="12"/>
        <v>-2.5942845475030039</v>
      </c>
      <c r="AA23">
        <f>SUM(Z$3:Z23)</f>
        <v>28.358238326095044</v>
      </c>
      <c r="AB23">
        <v>0.5</v>
      </c>
      <c r="AC23" s="7">
        <f t="shared" si="13"/>
        <v>-17.583166918192553</v>
      </c>
      <c r="AD23" s="21">
        <f>IF(AC23&gt;$AX$2,J23-1,AC23)</f>
        <v>-17.583166918192553</v>
      </c>
      <c r="AE23" s="21">
        <f t="shared" si="14"/>
        <v>0</v>
      </c>
      <c r="AF23" s="22">
        <f t="shared" si="15"/>
        <v>-17.583166918192553</v>
      </c>
      <c r="AG23" s="21">
        <f t="shared" si="16"/>
        <v>17.583166918192553</v>
      </c>
      <c r="AH23" s="21">
        <f>SUM(AE$3:AE23)</f>
        <v>148.96180444467501</v>
      </c>
      <c r="AI23" s="21">
        <f>SUM(AG$3:AG23)</f>
        <v>345.00345269097841</v>
      </c>
      <c r="AJ23" s="23">
        <f t="shared" si="17"/>
        <v>0</v>
      </c>
      <c r="AK23" cm="1">
        <f t="array" ref="AK23">_xlfn.IFS(K23&lt;4,1,K23&lt;8,2,K23&gt;8,3)</f>
        <v>2</v>
      </c>
      <c r="AL23" cm="1">
        <f t="array" ref="AL23">_xlfn.IFS(K23&lt;5,2000,K23&lt;6,3500,K23&lt;7,5000,K23&lt;8,6500)</f>
        <v>5000</v>
      </c>
      <c r="AM23">
        <f>MATCH(AJ23,$AW$10:$BJ$10,1)</f>
        <v>2</v>
      </c>
      <c r="AN23">
        <v>175</v>
      </c>
      <c r="AO23">
        <f>(AE23*AN23/760)/$AS$14</f>
        <v>0</v>
      </c>
      <c r="AP23">
        <f t="shared" si="18"/>
        <v>0</v>
      </c>
      <c r="AQ23" s="21">
        <f>SUM(AP$3:AP23)</f>
        <v>20.12313980901105</v>
      </c>
      <c r="AW23">
        <v>6500</v>
      </c>
      <c r="AY23">
        <v>310</v>
      </c>
      <c r="AZ23">
        <v>310</v>
      </c>
      <c r="BA23">
        <v>255</v>
      </c>
      <c r="BB23">
        <v>255</v>
      </c>
      <c r="BC23">
        <v>255</v>
      </c>
      <c r="BD23">
        <v>215</v>
      </c>
      <c r="BE23">
        <v>215</v>
      </c>
      <c r="BF23">
        <v>215</v>
      </c>
      <c r="BG23">
        <v>205</v>
      </c>
      <c r="BH23">
        <v>205</v>
      </c>
      <c r="BI23">
        <v>205</v>
      </c>
      <c r="BJ23">
        <v>200</v>
      </c>
      <c r="BK23">
        <v>200</v>
      </c>
      <c r="BL23">
        <v>200</v>
      </c>
      <c r="BM23">
        <v>195</v>
      </c>
      <c r="BN23">
        <v>200</v>
      </c>
      <c r="BO23">
        <v>200</v>
      </c>
      <c r="BP23">
        <v>200</v>
      </c>
      <c r="BQ23">
        <v>200</v>
      </c>
    </row>
    <row r="24" spans="1:69">
      <c r="A24">
        <f t="shared" si="2"/>
        <v>195.25</v>
      </c>
      <c r="B24">
        <f t="shared" si="3"/>
        <v>1.3835662830016209</v>
      </c>
      <c r="C24">
        <f t="shared" si="4"/>
        <v>17.877491725403242</v>
      </c>
      <c r="D24" s="4">
        <v>80.686792121699995</v>
      </c>
      <c r="E24">
        <f t="shared" si="5"/>
        <v>21.785433872858999</v>
      </c>
      <c r="F24" s="4">
        <v>5.67</v>
      </c>
      <c r="G24" s="20">
        <f t="shared" si="6"/>
        <v>20.978999999999999</v>
      </c>
      <c r="J24" s="7">
        <v>6.0515094091274992</v>
      </c>
      <c r="K24">
        <f t="shared" si="7"/>
        <v>3.274261203258908</v>
      </c>
      <c r="L24">
        <f t="shared" si="19"/>
        <v>13.43615909264155</v>
      </c>
      <c r="M24">
        <f t="shared" si="20"/>
        <v>-0.52483650005884852</v>
      </c>
      <c r="N24">
        <f>M24*$AU$2</f>
        <v>-315.9515730354268</v>
      </c>
      <c r="O24">
        <v>146.80000000000001</v>
      </c>
      <c r="P24">
        <f t="shared" si="9"/>
        <v>14.680000000000001</v>
      </c>
      <c r="Q24">
        <f t="shared" si="10"/>
        <v>2.5600000000000023</v>
      </c>
      <c r="R24">
        <f t="shared" si="21"/>
        <v>7.9999999999998295E-2</v>
      </c>
      <c r="S24">
        <f>(0.5*$AU$2*(J24*J24))/1000</f>
        <v>11.022850604756355</v>
      </c>
      <c r="T24">
        <f>($AU$2*9.81*Q24)/1000</f>
        <v>15.118387200000013</v>
      </c>
      <c r="U24">
        <f t="shared" si="0"/>
        <v>3.3802816901407728E-3</v>
      </c>
      <c r="V24">
        <f t="shared" si="1"/>
        <v>3.3802688155199624E-3</v>
      </c>
      <c r="W24">
        <f t="shared" si="11"/>
        <v>0.19367513674897971</v>
      </c>
      <c r="X24">
        <f>($AU$2*9.81*SIN(W24))</f>
        <v>1136.634668920487</v>
      </c>
      <c r="Y24">
        <f>(0.12*($AU$2*9.81))</f>
        <v>708.67439999999999</v>
      </c>
      <c r="Z24">
        <f t="shared" si="12"/>
        <v>1.5427936549777019</v>
      </c>
      <c r="AA24">
        <f>SUM(Z$3:Z24)</f>
        <v>29.901031981072748</v>
      </c>
      <c r="AB24">
        <v>0.5</v>
      </c>
      <c r="AC24" s="7">
        <f t="shared" si="13"/>
        <v>9.3362303194397676</v>
      </c>
      <c r="AD24" s="21">
        <f>IF(AC24&gt;$AX$2,J24-1,AC24)</f>
        <v>5.0515094091274992</v>
      </c>
      <c r="AE24" s="21">
        <f t="shared" si="14"/>
        <v>5.0515094091274992</v>
      </c>
      <c r="AF24" s="22">
        <f t="shared" si="15"/>
        <v>0</v>
      </c>
      <c r="AG24" s="21">
        <f t="shared" si="16"/>
        <v>0</v>
      </c>
      <c r="AH24" s="21">
        <f>SUM(AE$3:AE24)</f>
        <v>154.01331385380252</v>
      </c>
      <c r="AI24" s="21">
        <f>SUM(AG$3:AG24)</f>
        <v>345.00345269097841</v>
      </c>
      <c r="AJ24" s="23">
        <f t="shared" si="17"/>
        <v>5.0515094091274992</v>
      </c>
      <c r="AK24" cm="1">
        <f t="array" ref="AK24">_xlfn.IFS(K24&lt;4,1,K24&lt;8,2,K24&gt;8,3)</f>
        <v>1</v>
      </c>
      <c r="AL24" cm="1">
        <f t="array" ref="AL24">_xlfn.IFS(K24&lt;5,2000,K24&lt;6,3500,K24&lt;7,5000,K24&lt;8,6500)</f>
        <v>2000</v>
      </c>
      <c r="AM24">
        <f>MATCH(AJ24,$AW$10:$BJ$10,1)</f>
        <v>7</v>
      </c>
      <c r="AN24">
        <v>175</v>
      </c>
      <c r="AO24">
        <f>(AE24*AN24/760)/$AS$14</f>
        <v>2.4566567898080298</v>
      </c>
      <c r="AP24">
        <f t="shared" si="18"/>
        <v>0.68240466383556386</v>
      </c>
      <c r="AQ24" s="21">
        <f>SUM(AP$3:AP24)</f>
        <v>20.805544472846613</v>
      </c>
      <c r="AW24">
        <v>7000</v>
      </c>
      <c r="AY24">
        <v>320</v>
      </c>
      <c r="AZ24">
        <v>320</v>
      </c>
      <c r="BA24">
        <v>260</v>
      </c>
      <c r="BB24">
        <v>260</v>
      </c>
      <c r="BC24">
        <v>260</v>
      </c>
      <c r="BD24">
        <v>225</v>
      </c>
      <c r="BE24">
        <v>225</v>
      </c>
      <c r="BF24">
        <v>225</v>
      </c>
      <c r="BG24">
        <v>215</v>
      </c>
      <c r="BH24">
        <v>215</v>
      </c>
      <c r="BI24">
        <v>215</v>
      </c>
      <c r="BJ24">
        <v>210</v>
      </c>
      <c r="BK24">
        <v>210</v>
      </c>
      <c r="BL24">
        <v>205</v>
      </c>
      <c r="BM24">
        <v>205</v>
      </c>
      <c r="BN24">
        <v>200</v>
      </c>
      <c r="BO24">
        <v>200</v>
      </c>
      <c r="BP24">
        <v>200</v>
      </c>
      <c r="BQ24">
        <v>200</v>
      </c>
    </row>
    <row r="25" spans="1:69">
      <c r="A25">
        <f t="shared" si="2"/>
        <v>204.125</v>
      </c>
      <c r="B25">
        <f t="shared" si="3"/>
        <v>1.5423172373003242</v>
      </c>
      <c r="C25">
        <f t="shared" si="4"/>
        <v>19.419808962703566</v>
      </c>
      <c r="D25" s="4">
        <v>72.761967279399997</v>
      </c>
      <c r="E25">
        <f t="shared" si="5"/>
        <v>19.645731165438001</v>
      </c>
      <c r="F25" s="4">
        <v>5.95</v>
      </c>
      <c r="G25" s="20">
        <f t="shared" si="6"/>
        <v>22.015000000000001</v>
      </c>
      <c r="J25" s="7">
        <v>5.4571475459549994</v>
      </c>
      <c r="K25">
        <f t="shared" si="7"/>
        <v>0.88236611082377059</v>
      </c>
      <c r="L25">
        <f t="shared" si="19"/>
        <v>10.926450531230588</v>
      </c>
      <c r="M25">
        <f t="shared" si="20"/>
        <v>-0.38536939664428077</v>
      </c>
      <c r="N25">
        <f>M25*$AU$2</f>
        <v>-231.99237677985701</v>
      </c>
      <c r="O25">
        <v>147.1</v>
      </c>
      <c r="P25">
        <f t="shared" si="9"/>
        <v>14.71</v>
      </c>
      <c r="Q25">
        <f t="shared" si="10"/>
        <v>2.5900000000000016</v>
      </c>
      <c r="R25">
        <f t="shared" si="21"/>
        <v>2.9999999999999361E-2</v>
      </c>
      <c r="S25">
        <f>(0.5*$AU$2*(J25*J25))/1000</f>
        <v>8.9639182608351238</v>
      </c>
      <c r="T25">
        <f>($AU$2*9.81*Q25)/1000</f>
        <v>15.29555580000001</v>
      </c>
      <c r="U25">
        <f t="shared" si="0"/>
        <v>3.943661971830982E-2</v>
      </c>
      <c r="V25">
        <f t="shared" si="1"/>
        <v>3.9416194213776047E-2</v>
      </c>
      <c r="W25">
        <f t="shared" si="11"/>
        <v>2.2583815729173438</v>
      </c>
      <c r="X25">
        <f>($AU$2*9.81*SIN(W25))</f>
        <v>4563.7500171066204</v>
      </c>
      <c r="Y25">
        <f>(0.12*($AU$2*9.81))</f>
        <v>708.67439999999999</v>
      </c>
      <c r="Z25">
        <f t="shared" si="12"/>
        <v>5.0513584908579938</v>
      </c>
      <c r="AA25">
        <f>SUM(Z$3:Z25)</f>
        <v>34.952390471930741</v>
      </c>
      <c r="AB25">
        <v>0.5</v>
      </c>
      <c r="AC25" s="7">
        <f t="shared" si="13"/>
        <v>27.56600859212465</v>
      </c>
      <c r="AD25" s="21">
        <f>IF(AC25&gt;$AX$2,J25-1,AC25)</f>
        <v>4.4571475459549994</v>
      </c>
      <c r="AE25" s="21">
        <f t="shared" si="14"/>
        <v>4.4571475459549994</v>
      </c>
      <c r="AF25" s="22">
        <f t="shared" si="15"/>
        <v>0</v>
      </c>
      <c r="AG25" s="21">
        <f t="shared" si="16"/>
        <v>0</v>
      </c>
      <c r="AH25" s="21">
        <f>SUM(AE$3:AE25)</f>
        <v>158.47046139975751</v>
      </c>
      <c r="AI25" s="21">
        <f>SUM(AG$3:AG25)</f>
        <v>345.00345269097841</v>
      </c>
      <c r="AJ25" s="23">
        <f t="shared" si="17"/>
        <v>4.4571475459549994</v>
      </c>
      <c r="AK25" cm="1">
        <f t="array" ref="AK25">_xlfn.IFS(K25&lt;4,1,K25&lt;8,2,K25&gt;8,3)</f>
        <v>1</v>
      </c>
      <c r="AL25" cm="1">
        <f t="array" ref="AL25">_xlfn.IFS(K25&lt;5,2000,K25&lt;6,3500,K25&lt;7,5000,K25&lt;8,6500)</f>
        <v>2000</v>
      </c>
      <c r="AM25">
        <f>MATCH(AJ25,$AW$10:$BJ$10,1)</f>
        <v>6</v>
      </c>
      <c r="AN25">
        <v>175</v>
      </c>
      <c r="AO25">
        <f>(AE25*AN25/760)/$AS$14</f>
        <v>2.1676059361904243</v>
      </c>
      <c r="AP25">
        <f t="shared" si="18"/>
        <v>0.6021127600528956</v>
      </c>
      <c r="AQ25" s="21">
        <f>SUM(AP$3:AP25)</f>
        <v>21.40765723289951</v>
      </c>
      <c r="AW25">
        <v>7500</v>
      </c>
      <c r="AY25">
        <v>320</v>
      </c>
      <c r="AZ25">
        <v>320</v>
      </c>
      <c r="BA25">
        <v>270</v>
      </c>
      <c r="BB25">
        <v>270</v>
      </c>
      <c r="BC25">
        <v>270</v>
      </c>
      <c r="BD25">
        <v>240</v>
      </c>
      <c r="BE25">
        <v>240</v>
      </c>
      <c r="BF25">
        <v>240</v>
      </c>
      <c r="BG25">
        <v>220</v>
      </c>
      <c r="BH25">
        <v>220</v>
      </c>
      <c r="BI25">
        <v>220</v>
      </c>
      <c r="BJ25">
        <v>215</v>
      </c>
      <c r="BK25">
        <v>212</v>
      </c>
      <c r="BL25">
        <v>210</v>
      </c>
      <c r="BM25">
        <v>212</v>
      </c>
      <c r="BN25">
        <v>200</v>
      </c>
      <c r="BO25">
        <v>200</v>
      </c>
      <c r="BP25">
        <v>200</v>
      </c>
      <c r="BQ25">
        <v>200</v>
      </c>
    </row>
    <row r="26" spans="1:69">
      <c r="A26">
        <f t="shared" si="2"/>
        <v>213</v>
      </c>
      <c r="B26">
        <f t="shared" si="3"/>
        <v>1.6977503580966788</v>
      </c>
      <c r="C26">
        <f t="shared" si="4"/>
        <v>21.117559320800247</v>
      </c>
      <c r="D26" s="4">
        <v>66.638189839099994</v>
      </c>
      <c r="E26">
        <f t="shared" si="5"/>
        <v>17.992311256556999</v>
      </c>
      <c r="F26" s="4">
        <v>6.22</v>
      </c>
      <c r="G26" s="20">
        <f t="shared" si="6"/>
        <v>23.013999999999999</v>
      </c>
      <c r="J26" s="7">
        <v>4.9978642379324993</v>
      </c>
      <c r="K26">
        <f t="shared" si="7"/>
        <v>0.67489208567691839</v>
      </c>
      <c r="L26">
        <f t="shared" si="19"/>
        <v>9.1646655625812077</v>
      </c>
      <c r="M26">
        <f t="shared" si="20"/>
        <v>-0.27052464211369387</v>
      </c>
      <c r="N26">
        <f>M26*$AU$2</f>
        <v>-162.8558345524437</v>
      </c>
      <c r="O26">
        <v>150.6</v>
      </c>
      <c r="P26">
        <f t="shared" si="9"/>
        <v>15.06</v>
      </c>
      <c r="Q26">
        <f t="shared" si="10"/>
        <v>2.9400000000000013</v>
      </c>
      <c r="R26">
        <f t="shared" si="21"/>
        <v>0.34999999999999964</v>
      </c>
      <c r="S26">
        <f>(0.5*$AU$2*(J26*J26))/1000</f>
        <v>7.5185727291821847</v>
      </c>
      <c r="T26">
        <f>($AU$2*9.81*Q26)/1000</f>
        <v>17.362522800000008</v>
      </c>
      <c r="U26">
        <f t="shared" si="0"/>
        <v>3.4929577464788586E-2</v>
      </c>
      <c r="V26">
        <f t="shared" si="1"/>
        <v>3.4915382282334831E-2</v>
      </c>
      <c r="W26">
        <f t="shared" si="11"/>
        <v>2.0005040448636375</v>
      </c>
      <c r="X26">
        <f>($AU$2*9.81*SIN(W26))</f>
        <v>5368.7256444949471</v>
      </c>
      <c r="Y26">
        <f>(0.12*($AU$2*9.81))</f>
        <v>708.67439999999999</v>
      </c>
      <c r="Z26">
        <f t="shared" si="12"/>
        <v>5.9237088755050848</v>
      </c>
      <c r="AA26">
        <f>SUM(Z$3:Z26)</f>
        <v>40.876099347435826</v>
      </c>
      <c r="AB26">
        <v>0.5</v>
      </c>
      <c r="AC26" s="7">
        <f t="shared" si="13"/>
        <v>29.605892744810202</v>
      </c>
      <c r="AD26" s="21">
        <f>IF(AC26&gt;$AX$2,J26-1,AC26)</f>
        <v>3.9978642379324993</v>
      </c>
      <c r="AE26" s="21">
        <f t="shared" si="14"/>
        <v>3.9978642379324993</v>
      </c>
      <c r="AF26" s="22">
        <f t="shared" si="15"/>
        <v>0</v>
      </c>
      <c r="AG26" s="21">
        <f t="shared" si="16"/>
        <v>0</v>
      </c>
      <c r="AH26" s="21">
        <f>SUM(AE$3:AE26)</f>
        <v>162.46832563769001</v>
      </c>
      <c r="AI26" s="21">
        <f>SUM(AG$3:AG26)</f>
        <v>345.00345269097841</v>
      </c>
      <c r="AJ26" s="23">
        <f t="shared" si="17"/>
        <v>3.9978642379324993</v>
      </c>
      <c r="AK26" cm="1">
        <f t="array" ref="AK26">_xlfn.IFS(K26&lt;4,1,K26&lt;8,2,K26&gt;8,3)</f>
        <v>1</v>
      </c>
      <c r="AL26" cm="1">
        <f t="array" ref="AL26">_xlfn.IFS(K26&lt;5,2000,K26&lt;6,3500,K26&lt;7,5000,K26&lt;8,6500)</f>
        <v>2000</v>
      </c>
      <c r="AM26">
        <f>MATCH(AJ26,$AW$10:$BJ$10,1)</f>
        <v>5</v>
      </c>
      <c r="AN26">
        <v>175</v>
      </c>
      <c r="AO26">
        <f>(AE26*AN26/760)/$AS$14</f>
        <v>1.9442466655810779</v>
      </c>
      <c r="AP26">
        <f t="shared" si="18"/>
        <v>0.54006851821696611</v>
      </c>
      <c r="AQ26" s="21">
        <f>SUM(AP$3:AP26)</f>
        <v>21.947725751116476</v>
      </c>
    </row>
    <row r="27" spans="1:69">
      <c r="A27">
        <f t="shared" si="2"/>
        <v>221.875</v>
      </c>
      <c r="B27">
        <f t="shared" si="3"/>
        <v>1.8252842629504169</v>
      </c>
      <c r="C27">
        <f t="shared" si="4"/>
        <v>22.942843583750665</v>
      </c>
      <c r="D27" s="4">
        <v>63.021979522199999</v>
      </c>
      <c r="E27">
        <f t="shared" si="5"/>
        <v>17.015934470994001</v>
      </c>
      <c r="F27" s="4">
        <v>6.49</v>
      </c>
      <c r="G27" s="20">
        <f t="shared" si="6"/>
        <v>24.013000000000002</v>
      </c>
      <c r="J27" s="7">
        <v>4.7266484641650006</v>
      </c>
      <c r="K27">
        <f t="shared" si="7"/>
        <v>1.7450507747636355</v>
      </c>
      <c r="L27">
        <f t="shared" si="19"/>
        <v>8.1969883727217834</v>
      </c>
      <c r="M27">
        <f t="shared" si="20"/>
        <v>-0.1485882387048586</v>
      </c>
      <c r="N27">
        <f>M27*$AU$2</f>
        <v>-89.450119700324876</v>
      </c>
      <c r="O27">
        <v>153.69999999999999</v>
      </c>
      <c r="P27">
        <f t="shared" si="9"/>
        <v>15.37</v>
      </c>
      <c r="Q27">
        <f t="shared" si="10"/>
        <v>3.25</v>
      </c>
      <c r="R27">
        <f t="shared" si="21"/>
        <v>0.30999999999999872</v>
      </c>
      <c r="S27">
        <f>(0.5*$AU$2*(J27*J27))/1000</f>
        <v>6.7247029168418013</v>
      </c>
      <c r="T27">
        <f>($AU$2*9.81*Q27)/1000</f>
        <v>19.193265</v>
      </c>
      <c r="U27">
        <f t="shared" si="0"/>
        <v>4.5070422535212311E-3</v>
      </c>
      <c r="V27">
        <f t="shared" si="1"/>
        <v>4.5070117360642582E-3</v>
      </c>
      <c r="W27">
        <f t="shared" si="11"/>
        <v>0.25823275069241208</v>
      </c>
      <c r="X27">
        <f>($AU$2*9.81*SIN(W27))</f>
        <v>1508.131758241545</v>
      </c>
      <c r="Y27">
        <f>(0.12*($AU$2*9.81))</f>
        <v>708.67439999999999</v>
      </c>
      <c r="Z27">
        <f t="shared" si="12"/>
        <v>2.1355530269139416</v>
      </c>
      <c r="AA27">
        <f>SUM(Z$3:Z27)</f>
        <v>43.011652374349765</v>
      </c>
      <c r="AB27">
        <v>0.5</v>
      </c>
      <c r="AC27" s="7">
        <f t="shared" si="13"/>
        <v>10.0940084348057</v>
      </c>
      <c r="AD27" s="21">
        <f>IF(AC27&gt;$AX$2,J27-1,AC27)</f>
        <v>3.7266484641650006</v>
      </c>
      <c r="AE27" s="21">
        <f t="shared" si="14"/>
        <v>3.7266484641650006</v>
      </c>
      <c r="AF27" s="22">
        <f t="shared" si="15"/>
        <v>0</v>
      </c>
      <c r="AG27" s="21">
        <f t="shared" si="16"/>
        <v>0</v>
      </c>
      <c r="AH27" s="21">
        <f>SUM(AE$3:AE27)</f>
        <v>166.19497410185502</v>
      </c>
      <c r="AI27" s="21">
        <f>SUM(AG$3:AG27)</f>
        <v>345.00345269097841</v>
      </c>
      <c r="AJ27" s="23">
        <f t="shared" si="17"/>
        <v>3.7266484641650006</v>
      </c>
      <c r="AK27" cm="1">
        <f t="array" ref="AK27">_xlfn.IFS(K27&lt;4,1,K27&lt;8,2,K27&gt;8,3)</f>
        <v>1</v>
      </c>
      <c r="AL27" cm="1">
        <f t="array" ref="AL27">_xlfn.IFS(K27&lt;5,2000,K27&lt;6,3500,K27&lt;7,5000,K27&lt;8,6500)</f>
        <v>2000</v>
      </c>
      <c r="AM27">
        <f>MATCH(AJ27,$AW$10:$BJ$10,1)</f>
        <v>5</v>
      </c>
      <c r="AN27">
        <v>175</v>
      </c>
      <c r="AO27">
        <f>(AE27*AN27/760)/$AS$14</f>
        <v>1.8123486489357825</v>
      </c>
      <c r="AP27">
        <f t="shared" si="18"/>
        <v>0.50343018025993957</v>
      </c>
      <c r="AQ27" s="21">
        <f>SUM(AP$3:AP27)</f>
        <v>22.451155931376416</v>
      </c>
    </row>
    <row r="28" spans="1:69">
      <c r="A28">
        <f t="shared" si="2"/>
        <v>230.75</v>
      </c>
      <c r="B28">
        <f t="shared" si="3"/>
        <v>1.8718031033586062</v>
      </c>
      <c r="C28">
        <f t="shared" si="4"/>
        <v>24.814646687109271</v>
      </c>
      <c r="D28" s="4">
        <v>63.415820608600001</v>
      </c>
      <c r="E28">
        <f t="shared" si="5"/>
        <v>17.122271564322002</v>
      </c>
      <c r="F28" s="4">
        <v>6.77</v>
      </c>
      <c r="G28" s="20">
        <f t="shared" si="6"/>
        <v>25.048999999999999</v>
      </c>
      <c r="J28" s="7">
        <v>4.7561865456450008</v>
      </c>
      <c r="K28">
        <f t="shared" si="7"/>
        <v>4.7561865456450008</v>
      </c>
      <c r="L28">
        <f t="shared" si="19"/>
        <v>8.2997588066639523</v>
      </c>
      <c r="M28">
        <f t="shared" si="20"/>
        <v>1.5780549474995267E-2</v>
      </c>
      <c r="N28">
        <f>M28*$AU$2</f>
        <v>9.4998907839471514</v>
      </c>
      <c r="O28">
        <v>154.1</v>
      </c>
      <c r="P28">
        <f t="shared" si="9"/>
        <v>15.41</v>
      </c>
      <c r="Q28">
        <f t="shared" si="10"/>
        <v>3.2900000000000009</v>
      </c>
      <c r="R28">
        <f t="shared" si="21"/>
        <v>4.0000000000000924E-2</v>
      </c>
      <c r="S28">
        <f>(0.5*$AU$2*(J28*J28))/1000</f>
        <v>6.8090144475493313</v>
      </c>
      <c r="T28">
        <f>($AU$2*9.81*Q28)/1000</f>
        <v>19.429489800000006</v>
      </c>
      <c r="U28">
        <f t="shared" si="0"/>
        <v>-1.3521126760563293E-2</v>
      </c>
      <c r="V28">
        <f t="shared" si="1"/>
        <v>-1.352030286955524E-2</v>
      </c>
      <c r="W28">
        <f t="shared" si="11"/>
        <v>-0.77465629216413123</v>
      </c>
      <c r="X28">
        <f>($AU$2*9.81*SIN(W28))</f>
        <v>-4130.8068673975204</v>
      </c>
      <c r="Y28">
        <f>(0.12*($AU$2*9.81))</f>
        <v>708.67439999999999</v>
      </c>
      <c r="Z28">
        <f t="shared" si="12"/>
        <v>-3.4043328178069094</v>
      </c>
      <c r="AA28">
        <f>SUM(Z$3:Z28)</f>
        <v>39.607319556542855</v>
      </c>
      <c r="AB28">
        <v>0.5</v>
      </c>
      <c r="AC28" s="7">
        <f t="shared" si="13"/>
        <v>-16.191641944950955</v>
      </c>
      <c r="AD28" s="21">
        <f>IF(AC28&gt;$AX$2,J28-1,AC28)</f>
        <v>-16.191641944950955</v>
      </c>
      <c r="AE28" s="21">
        <f t="shared" si="14"/>
        <v>0</v>
      </c>
      <c r="AF28" s="22">
        <f t="shared" si="15"/>
        <v>-16.191641944950955</v>
      </c>
      <c r="AG28" s="21">
        <f t="shared" si="16"/>
        <v>16.191641944950955</v>
      </c>
      <c r="AH28" s="21">
        <f>SUM(AE$3:AE28)</f>
        <v>166.19497410185502</v>
      </c>
      <c r="AI28" s="21">
        <f>SUM(AG$3:AG28)</f>
        <v>361.19509463592937</v>
      </c>
      <c r="AJ28" s="23">
        <f t="shared" si="17"/>
        <v>0</v>
      </c>
      <c r="AK28" cm="1">
        <f t="array" ref="AK28">_xlfn.IFS(K28&lt;4,1,K28&lt;8,2,K28&gt;8,3)</f>
        <v>2</v>
      </c>
      <c r="AL28" cm="1">
        <f t="array" ref="AL28">_xlfn.IFS(K28&lt;5,2000,K28&lt;6,3500,K28&lt;7,5000,K28&lt;8,6500)</f>
        <v>2000</v>
      </c>
      <c r="AM28">
        <f>MATCH(AJ28,$AW$10:$BJ$10,1)</f>
        <v>2</v>
      </c>
      <c r="AN28">
        <v>175</v>
      </c>
      <c r="AO28">
        <f>(AE28*AN28/760)/$AS$14</f>
        <v>0</v>
      </c>
      <c r="AP28">
        <f t="shared" si="18"/>
        <v>0</v>
      </c>
      <c r="AQ28" s="21">
        <f>SUM(AP$3:AP28)</f>
        <v>22.451155931376416</v>
      </c>
    </row>
    <row r="29" spans="1:69">
      <c r="A29">
        <f t="shared" si="2"/>
        <v>239.625</v>
      </c>
      <c r="B29">
        <f t="shared" si="3"/>
        <v>1.8413225499121788</v>
      </c>
      <c r="C29">
        <f t="shared" si="4"/>
        <v>26.655969237021448</v>
      </c>
      <c r="D29" s="4">
        <v>65.114982795700001</v>
      </c>
      <c r="E29">
        <f t="shared" si="5"/>
        <v>17.581045354839002</v>
      </c>
      <c r="F29" s="4">
        <v>7.03</v>
      </c>
      <c r="G29" s="20">
        <f t="shared" si="6"/>
        <v>26.011000000000003</v>
      </c>
      <c r="J29" s="7">
        <v>4.8836237096775008</v>
      </c>
      <c r="K29">
        <f t="shared" si="7"/>
        <v>4.8836237096775008</v>
      </c>
      <c r="L29">
        <f t="shared" si="19"/>
        <v>8.750484479291023</v>
      </c>
      <c r="M29">
        <f t="shared" si="20"/>
        <v>6.9209582014068197E-2</v>
      </c>
      <c r="N29">
        <f>M29*$AU$2</f>
        <v>41.664168372469057</v>
      </c>
      <c r="O29">
        <v>152.9</v>
      </c>
      <c r="P29">
        <f t="shared" si="9"/>
        <v>15.290000000000001</v>
      </c>
      <c r="Q29">
        <f t="shared" si="10"/>
        <v>3.1700000000000017</v>
      </c>
      <c r="R29">
        <f t="shared" si="21"/>
        <v>0.11999999999999922</v>
      </c>
      <c r="S29">
        <f>(0.5*$AU$2*(J29*J29))/1000</f>
        <v>7.178783941854995</v>
      </c>
      <c r="T29">
        <f>($AU$2*9.81*Q29)/1000</f>
        <v>18.72081540000001</v>
      </c>
      <c r="U29">
        <f t="shared" si="0"/>
        <v>-3.943661971830982E-2</v>
      </c>
      <c r="V29">
        <f t="shared" si="1"/>
        <v>-3.9416194213776047E-2</v>
      </c>
      <c r="W29">
        <f t="shared" si="11"/>
        <v>-2.2583815729173438</v>
      </c>
      <c r="X29">
        <f>($AU$2*9.81*SIN(W29))</f>
        <v>-4563.7500171066204</v>
      </c>
      <c r="Y29">
        <f>(0.12*($AU$2*9.81))</f>
        <v>708.67439999999999</v>
      </c>
      <c r="Z29">
        <f t="shared" si="12"/>
        <v>-3.8046609642548601</v>
      </c>
      <c r="AA29">
        <f>SUM(Z$3:Z29)</f>
        <v>35.802658592287997</v>
      </c>
      <c r="AB29">
        <v>0.5</v>
      </c>
      <c r="AC29" s="7">
        <f t="shared" si="13"/>
        <v>-18.580532492319499</v>
      </c>
      <c r="AD29" s="21">
        <f>IF(AC29&gt;$AX$2,J29-1,AC29)</f>
        <v>-18.580532492319499</v>
      </c>
      <c r="AE29" s="21">
        <f t="shared" si="14"/>
        <v>0</v>
      </c>
      <c r="AF29" s="22">
        <f t="shared" si="15"/>
        <v>-18.580532492319499</v>
      </c>
      <c r="AG29" s="21">
        <f t="shared" si="16"/>
        <v>18.580532492319499</v>
      </c>
      <c r="AH29" s="21">
        <f>SUM(AE$3:AE29)</f>
        <v>166.19497410185502</v>
      </c>
      <c r="AI29" s="21">
        <f>SUM(AG$3:AG29)</f>
        <v>379.77562712824886</v>
      </c>
      <c r="AJ29" s="23">
        <f t="shared" si="17"/>
        <v>0</v>
      </c>
      <c r="AK29" cm="1">
        <f t="array" ref="AK29">_xlfn.IFS(K29&lt;4,1,K29&lt;8,2,K29&gt;8,3)</f>
        <v>2</v>
      </c>
      <c r="AL29" cm="1">
        <f t="array" ref="AL29">_xlfn.IFS(K29&lt;5,2000,K29&lt;6,3500,K29&lt;7,5000,K29&lt;8,6500)</f>
        <v>2000</v>
      </c>
      <c r="AM29">
        <f>MATCH(AJ29,$AW$10:$BJ$10,1)</f>
        <v>2</v>
      </c>
      <c r="AN29">
        <v>175</v>
      </c>
      <c r="AO29">
        <f>(AE29*AN29/760)/$AS$14</f>
        <v>0</v>
      </c>
      <c r="AP29">
        <f t="shared" si="18"/>
        <v>0</v>
      </c>
      <c r="AQ29" s="21">
        <f>SUM(AP$3:AP29)</f>
        <v>22.451155931376416</v>
      </c>
    </row>
    <row r="30" spans="1:69">
      <c r="A30">
        <f t="shared" si="2"/>
        <v>248.5</v>
      </c>
      <c r="B30">
        <f t="shared" si="3"/>
        <v>1.7616599555720853</v>
      </c>
      <c r="C30">
        <f t="shared" si="4"/>
        <v>28.417629192593534</v>
      </c>
      <c r="D30" s="4">
        <v>69.228007699200006</v>
      </c>
      <c r="E30">
        <f t="shared" si="5"/>
        <v>18.691562078784003</v>
      </c>
      <c r="F30" s="4">
        <v>7.31</v>
      </c>
      <c r="G30" s="20">
        <f t="shared" si="6"/>
        <v>27.047000000000001</v>
      </c>
      <c r="J30" s="7">
        <v>5.1921005774400006</v>
      </c>
      <c r="K30">
        <f t="shared" si="7"/>
        <v>5.1921005774400006</v>
      </c>
      <c r="L30">
        <f t="shared" si="19"/>
        <v>9.8908565942541475</v>
      </c>
      <c r="M30">
        <f t="shared" si="20"/>
        <v>0.17510579541005936</v>
      </c>
      <c r="N30">
        <f>M30*$AU$2</f>
        <v>105.41368883685573</v>
      </c>
      <c r="O30">
        <v>149.4</v>
      </c>
      <c r="P30">
        <f t="shared" si="9"/>
        <v>14.940000000000001</v>
      </c>
      <c r="Q30">
        <f t="shared" si="10"/>
        <v>2.8200000000000021</v>
      </c>
      <c r="R30">
        <f t="shared" si="21"/>
        <v>0.34999999999999964</v>
      </c>
      <c r="S30">
        <f>(0.5*$AU$2*(J30*J30))/1000</f>
        <v>8.114330430282088</v>
      </c>
      <c r="T30">
        <f>($AU$2*9.81*Q30)/1000</f>
        <v>16.653848400000012</v>
      </c>
      <c r="U30">
        <f t="shared" si="0"/>
        <v>-3.943661971830982E-2</v>
      </c>
      <c r="V30">
        <f t="shared" si="1"/>
        <v>-3.9416194213776047E-2</v>
      </c>
      <c r="W30">
        <f t="shared" si="11"/>
        <v>-2.2583815729173438</v>
      </c>
      <c r="X30">
        <f>($AU$2*9.81*SIN(W30))</f>
        <v>-4563.7500171066204</v>
      </c>
      <c r="Y30">
        <f>(0.12*($AU$2*9.81))</f>
        <v>708.67439999999999</v>
      </c>
      <c r="Z30">
        <f t="shared" si="12"/>
        <v>-3.739771071675511</v>
      </c>
      <c r="AA30">
        <f>SUM(Z$3:Z30)</f>
        <v>32.062887520612485</v>
      </c>
      <c r="AB30">
        <v>0.5</v>
      </c>
      <c r="AC30" s="7">
        <f t="shared" si="13"/>
        <v>-19.417267540739832</v>
      </c>
      <c r="AD30" s="21">
        <f>IF(AC30&gt;$AX$2,J30-1,AC30)</f>
        <v>-19.417267540739832</v>
      </c>
      <c r="AE30" s="21">
        <f t="shared" si="14"/>
        <v>0</v>
      </c>
      <c r="AF30" s="22">
        <f t="shared" si="15"/>
        <v>-19.417267540739832</v>
      </c>
      <c r="AG30" s="21">
        <f t="shared" si="16"/>
        <v>19.417267540739832</v>
      </c>
      <c r="AH30" s="21">
        <f>SUM(AE$3:AE30)</f>
        <v>166.19497410185502</v>
      </c>
      <c r="AI30" s="21">
        <f>SUM(AG$3:AG30)</f>
        <v>399.19289466898869</v>
      </c>
      <c r="AJ30" s="23">
        <f t="shared" si="17"/>
        <v>0</v>
      </c>
      <c r="AK30" cm="1">
        <f t="array" ref="AK30">_xlfn.IFS(K30&lt;4,1,K30&lt;8,2,K30&gt;8,3)</f>
        <v>2</v>
      </c>
      <c r="AL30" cm="1">
        <f t="array" ref="AL30">_xlfn.IFS(K30&lt;5,2000,K30&lt;6,3500,K30&lt;7,5000,K30&lt;8,6500)</f>
        <v>3500</v>
      </c>
      <c r="AM30">
        <f>MATCH(AJ30,$AW$10:$BJ$10,1)</f>
        <v>2</v>
      </c>
      <c r="AN30">
        <v>175</v>
      </c>
      <c r="AO30">
        <f>(AE30*AN30/760)/$AS$14</f>
        <v>0</v>
      </c>
      <c r="AP30">
        <f t="shared" si="18"/>
        <v>0</v>
      </c>
      <c r="AQ30" s="21">
        <f>SUM(AP$3:AP30)</f>
        <v>22.451155931376416</v>
      </c>
    </row>
    <row r="31" spans="1:69">
      <c r="A31">
        <f t="shared" si="2"/>
        <v>257.375</v>
      </c>
      <c r="B31">
        <f t="shared" si="3"/>
        <v>1.6655525345728619</v>
      </c>
      <c r="C31">
        <f t="shared" si="4"/>
        <v>30.083181727166394</v>
      </c>
      <c r="D31" s="4">
        <v>72.866979852399993</v>
      </c>
      <c r="E31">
        <f t="shared" si="5"/>
        <v>19.674084560148</v>
      </c>
      <c r="F31" s="4">
        <v>7.58</v>
      </c>
      <c r="G31" s="20">
        <f t="shared" si="6"/>
        <v>28.046000000000003</v>
      </c>
      <c r="J31" s="7">
        <v>5.46502348893</v>
      </c>
      <c r="K31">
        <f t="shared" si="7"/>
        <v>5.46502348893</v>
      </c>
      <c r="L31">
        <f t="shared" si="19"/>
        <v>10.958012148408827</v>
      </c>
      <c r="M31">
        <f t="shared" si="20"/>
        <v>0.16386328610162504</v>
      </c>
      <c r="N31">
        <f>M31*$AU$2</f>
        <v>98.64569823317828</v>
      </c>
      <c r="O31">
        <v>145.9</v>
      </c>
      <c r="P31">
        <f t="shared" si="9"/>
        <v>14.590000000000002</v>
      </c>
      <c r="Q31">
        <f t="shared" si="10"/>
        <v>2.4700000000000024</v>
      </c>
      <c r="R31">
        <f t="shared" si="21"/>
        <v>0.34999999999999964</v>
      </c>
      <c r="S31">
        <f>(0.5*$AU$2*(J31*J31))/1000</f>
        <v>8.9898110021015452</v>
      </c>
      <c r="T31">
        <f>($AU$2*9.81*Q31)/1000</f>
        <v>14.586881400000015</v>
      </c>
      <c r="U31">
        <f t="shared" si="0"/>
        <v>-3.943661971830982E-2</v>
      </c>
      <c r="V31">
        <f t="shared" si="1"/>
        <v>-3.9416194213776047E-2</v>
      </c>
      <c r="W31">
        <f t="shared" si="11"/>
        <v>-2.2583815729173438</v>
      </c>
      <c r="X31">
        <f>($AU$2*9.81*SIN(W31))</f>
        <v>-4563.7500171066204</v>
      </c>
      <c r="Y31">
        <f>(0.12*($AU$2*9.81))</f>
        <v>708.67439999999999</v>
      </c>
      <c r="Z31">
        <f t="shared" si="12"/>
        <v>-3.7454719067250335</v>
      </c>
      <c r="AA31">
        <f>SUM(Z$3:Z31)</f>
        <v>28.317415613887452</v>
      </c>
      <c r="AB31">
        <v>0.5</v>
      </c>
      <c r="AC31" s="7">
        <f t="shared" si="13"/>
        <v>-20.469091947379741</v>
      </c>
      <c r="AD31" s="21">
        <f>IF(AC31&gt;$AX$2,J31-1,AC31)</f>
        <v>-20.469091947379741</v>
      </c>
      <c r="AE31" s="21">
        <f t="shared" si="14"/>
        <v>0</v>
      </c>
      <c r="AF31" s="22">
        <f t="shared" si="15"/>
        <v>-20.469091947379741</v>
      </c>
      <c r="AG31" s="21">
        <f t="shared" si="16"/>
        <v>20.469091947379741</v>
      </c>
      <c r="AH31" s="21">
        <f>SUM(AE$3:AE31)</f>
        <v>166.19497410185502</v>
      </c>
      <c r="AI31" s="21">
        <f>SUM(AG$3:AG31)</f>
        <v>419.66198661636844</v>
      </c>
      <c r="AJ31" s="23">
        <f t="shared" si="17"/>
        <v>0</v>
      </c>
      <c r="AK31" cm="1">
        <f t="array" ref="AK31">_xlfn.IFS(K31&lt;4,1,K31&lt;8,2,K31&gt;8,3)</f>
        <v>2</v>
      </c>
      <c r="AL31" cm="1">
        <f t="array" ref="AL31">_xlfn.IFS(K31&lt;5,2000,K31&lt;6,3500,K31&lt;7,5000,K31&lt;8,6500)</f>
        <v>3500</v>
      </c>
      <c r="AM31">
        <f>MATCH(AJ31,$AW$10:$BJ$10,1)</f>
        <v>2</v>
      </c>
      <c r="AN31">
        <v>175</v>
      </c>
      <c r="AO31">
        <f>(AE31*AN31/760)/$AS$14</f>
        <v>0</v>
      </c>
      <c r="AP31">
        <f t="shared" si="18"/>
        <v>0</v>
      </c>
      <c r="AQ31" s="21">
        <f>SUM(AP$3:AP31)</f>
        <v>22.451155931376416</v>
      </c>
    </row>
    <row r="32" spans="1:69">
      <c r="A32">
        <f t="shared" si="2"/>
        <v>266.25</v>
      </c>
      <c r="B32">
        <f t="shared" si="3"/>
        <v>1.6909430015013716</v>
      </c>
      <c r="C32">
        <f t="shared" si="4"/>
        <v>31.774124728667765</v>
      </c>
      <c r="D32" s="4">
        <v>67.094370977599993</v>
      </c>
      <c r="E32">
        <f t="shared" si="5"/>
        <v>18.115480163952</v>
      </c>
      <c r="F32" s="4">
        <v>7.85</v>
      </c>
      <c r="G32" s="20">
        <f t="shared" si="6"/>
        <v>29.045000000000002</v>
      </c>
      <c r="J32" s="7">
        <v>5.0320778233199999</v>
      </c>
      <c r="K32">
        <f t="shared" si="7"/>
        <v>5.0320778233199999</v>
      </c>
      <c r="L32">
        <f t="shared" si="19"/>
        <v>9.2905710689992684</v>
      </c>
      <c r="M32">
        <f t="shared" si="20"/>
        <v>-0.25603800082296818</v>
      </c>
      <c r="N32">
        <f>M32*$AU$2</f>
        <v>-154.13487649542685</v>
      </c>
      <c r="O32">
        <v>142.4</v>
      </c>
      <c r="P32">
        <f t="shared" si="9"/>
        <v>14.240000000000002</v>
      </c>
      <c r="Q32">
        <f t="shared" si="10"/>
        <v>2.1200000000000028</v>
      </c>
      <c r="R32">
        <f t="shared" si="21"/>
        <v>0.34999999999999964</v>
      </c>
      <c r="S32">
        <f>(0.5*$AU$2*(J32*J32))/1000</f>
        <v>7.6218639732046327</v>
      </c>
      <c r="T32">
        <f>($AU$2*9.81*Q32)/1000</f>
        <v>12.519914400000015</v>
      </c>
      <c r="U32">
        <f t="shared" si="0"/>
        <v>-3.1549295774648017E-2</v>
      </c>
      <c r="V32">
        <f t="shared" si="1"/>
        <v>-3.1538834406302438E-2</v>
      </c>
      <c r="W32">
        <f t="shared" si="11"/>
        <v>-1.8070421022431191</v>
      </c>
      <c r="X32">
        <f>($AU$2*9.81*SIN(W32))</f>
        <v>-5741.5826445944449</v>
      </c>
      <c r="Y32">
        <f>(0.12*($AU$2*9.81))</f>
        <v>708.67439999999999</v>
      </c>
      <c r="Z32">
        <f t="shared" si="12"/>
        <v>-5.1777525500208723</v>
      </c>
      <c r="AA32">
        <f>SUM(Z$3:Z32)</f>
        <v>23.139663063866578</v>
      </c>
      <c r="AB32">
        <v>0.5</v>
      </c>
      <c r="AC32" s="7">
        <f t="shared" si="13"/>
        <v>-26.054853781598609</v>
      </c>
      <c r="AD32" s="21">
        <f>IF(AC32&gt;$AX$2,J32-1,AC32)</f>
        <v>-26.054853781598609</v>
      </c>
      <c r="AE32" s="21">
        <f t="shared" si="14"/>
        <v>0</v>
      </c>
      <c r="AF32" s="22">
        <f t="shared" si="15"/>
        <v>-26.054853781598609</v>
      </c>
      <c r="AG32" s="21">
        <f t="shared" si="16"/>
        <v>26.054853781598609</v>
      </c>
      <c r="AH32" s="21">
        <f>SUM(AE$3:AE32)</f>
        <v>166.19497410185502</v>
      </c>
      <c r="AI32" s="21">
        <f>SUM(AG$3:AG32)</f>
        <v>445.71684039796708</v>
      </c>
      <c r="AJ32" s="23">
        <f t="shared" si="17"/>
        <v>0</v>
      </c>
      <c r="AK32" cm="1">
        <f t="array" ref="AK32">_xlfn.IFS(K32&lt;4,1,K32&lt;8,2,K32&gt;8,3)</f>
        <v>2</v>
      </c>
      <c r="AL32" cm="1">
        <f t="array" ref="AL32">_xlfn.IFS(K32&lt;5,2000,K32&lt;6,3500,K32&lt;7,5000,K32&lt;8,6500)</f>
        <v>3500</v>
      </c>
      <c r="AM32">
        <f>MATCH(AJ32,$AW$10:$BJ$10,1)</f>
        <v>2</v>
      </c>
      <c r="AN32">
        <v>175</v>
      </c>
      <c r="AO32">
        <f>(AE32*AN32/760)/$AS$14</f>
        <v>0</v>
      </c>
      <c r="AP32">
        <f t="shared" si="18"/>
        <v>0</v>
      </c>
      <c r="AQ32" s="21">
        <f>SUM(AP$3:AP32)</f>
        <v>22.451155931376416</v>
      </c>
    </row>
    <row r="33" spans="1:43">
      <c r="A33">
        <f t="shared" si="2"/>
        <v>275.125</v>
      </c>
      <c r="B33">
        <f t="shared" si="3"/>
        <v>1.8156095939931245</v>
      </c>
      <c r="C33">
        <f t="shared" si="4"/>
        <v>33.589734322660888</v>
      </c>
      <c r="D33" s="4">
        <v>63.256706395899997</v>
      </c>
      <c r="E33">
        <f t="shared" si="5"/>
        <v>17.079310726892999</v>
      </c>
      <c r="F33" s="4">
        <v>8.1199999999999992</v>
      </c>
      <c r="G33" s="20">
        <f t="shared" si="6"/>
        <v>30.043999999999997</v>
      </c>
      <c r="J33" s="7">
        <v>4.7442529796924999</v>
      </c>
      <c r="K33">
        <f t="shared" si="7"/>
        <v>4.7442529796924999</v>
      </c>
      <c r="L33">
        <f t="shared" si="19"/>
        <v>8.2581618414293363</v>
      </c>
      <c r="M33">
        <f t="shared" si="20"/>
        <v>-0.15852793716212873</v>
      </c>
      <c r="N33">
        <f>M33*$AU$2</f>
        <v>-95.433818171601501</v>
      </c>
      <c r="O33">
        <v>139.6</v>
      </c>
      <c r="P33">
        <f t="shared" si="9"/>
        <v>13.96</v>
      </c>
      <c r="Q33">
        <f t="shared" si="10"/>
        <v>1.8400000000000016</v>
      </c>
      <c r="R33">
        <f t="shared" si="21"/>
        <v>0.28000000000000114</v>
      </c>
      <c r="S33">
        <f>(0.5*$AU$2*(J33*J33))/1000</f>
        <v>6.7748888369316713</v>
      </c>
      <c r="T33">
        <f>($AU$2*9.81*Q33)/1000</f>
        <v>10.866340800000009</v>
      </c>
      <c r="U33">
        <f t="shared" si="0"/>
        <v>-2.5915492957746328E-2</v>
      </c>
      <c r="V33">
        <f t="shared" si="1"/>
        <v>-2.5909693569150714E-2</v>
      </c>
      <c r="W33">
        <f t="shared" si="11"/>
        <v>-1.4845160899895862</v>
      </c>
      <c r="X33">
        <f>($AU$2*9.81*SIN(W33))</f>
        <v>-5883.6520907604963</v>
      </c>
      <c r="Y33">
        <f>(0.12*($AU$2*9.81))</f>
        <v>708.67439999999999</v>
      </c>
      <c r="Z33">
        <f t="shared" si="12"/>
        <v>-5.2621533470906687</v>
      </c>
      <c r="AA33">
        <f>SUM(Z$3:Z33)</f>
        <v>17.877509716775911</v>
      </c>
      <c r="AB33">
        <v>0.5</v>
      </c>
      <c r="AC33" s="7">
        <f t="shared" si="13"/>
        <v>-24.964986696533767</v>
      </c>
      <c r="AD33" s="21">
        <f>IF(AC33&gt;$AX$2,J33-1,AC33)</f>
        <v>-24.964986696533767</v>
      </c>
      <c r="AE33" s="21">
        <f t="shared" si="14"/>
        <v>0</v>
      </c>
      <c r="AF33" s="22">
        <f t="shared" si="15"/>
        <v>-24.964986696533767</v>
      </c>
      <c r="AG33" s="21">
        <f t="shared" si="16"/>
        <v>24.964986696533767</v>
      </c>
      <c r="AH33" s="21">
        <f>SUM(AE$3:AE33)</f>
        <v>166.19497410185502</v>
      </c>
      <c r="AI33" s="21">
        <f>SUM(AG$3:AG33)</f>
        <v>470.68182709450082</v>
      </c>
      <c r="AJ33" s="23">
        <f t="shared" si="17"/>
        <v>0</v>
      </c>
      <c r="AK33" cm="1">
        <f t="array" ref="AK33">_xlfn.IFS(K33&lt;4,1,K33&lt;8,2,K33&gt;8,3)</f>
        <v>2</v>
      </c>
      <c r="AL33" cm="1">
        <f t="array" ref="AL33">_xlfn.IFS(K33&lt;5,2000,K33&lt;6,3500,K33&lt;7,5000,K33&lt;8,6500)</f>
        <v>2000</v>
      </c>
      <c r="AM33">
        <f>MATCH(AJ33,$AW$10:$BJ$10,1)</f>
        <v>2</v>
      </c>
      <c r="AN33">
        <v>175</v>
      </c>
      <c r="AO33">
        <f>(AE33*AN33/760)/$AS$14</f>
        <v>0</v>
      </c>
      <c r="AP33">
        <f t="shared" si="18"/>
        <v>0</v>
      </c>
      <c r="AQ33" s="21">
        <f>SUM(AP$3:AP33)</f>
        <v>22.451155931376416</v>
      </c>
    </row>
    <row r="34" spans="1:43">
      <c r="A34">
        <f t="shared" si="2"/>
        <v>284</v>
      </c>
      <c r="B34">
        <f t="shared" si="3"/>
        <v>1.9451038115813828</v>
      </c>
      <c r="C34">
        <f t="shared" si="4"/>
        <v>35.534838134242271</v>
      </c>
      <c r="D34" s="4">
        <v>58.416319618199999</v>
      </c>
      <c r="E34">
        <f t="shared" si="5"/>
        <v>15.772406296914001</v>
      </c>
      <c r="F34" s="4">
        <v>8.39</v>
      </c>
      <c r="G34" s="20">
        <f t="shared" si="6"/>
        <v>31.043000000000003</v>
      </c>
      <c r="J34" s="7">
        <v>4.3812239713650003</v>
      </c>
      <c r="K34">
        <f t="shared" si="7"/>
        <v>4.3812239713650003</v>
      </c>
      <c r="L34">
        <f t="shared" si="19"/>
        <v>7.042690807476907</v>
      </c>
      <c r="M34">
        <f t="shared" si="20"/>
        <v>-0.18663734355255543</v>
      </c>
      <c r="N34">
        <f>M34*$AU$2</f>
        <v>-112.35568081863836</v>
      </c>
      <c r="O34">
        <v>137.30000000000001</v>
      </c>
      <c r="P34">
        <f t="shared" si="9"/>
        <v>13.730000000000002</v>
      </c>
      <c r="Q34">
        <f t="shared" si="10"/>
        <v>1.610000000000003</v>
      </c>
      <c r="R34">
        <f t="shared" si="21"/>
        <v>0.22999999999999865</v>
      </c>
      <c r="S34">
        <f>(0.5*$AU$2*(J34*J34))/1000</f>
        <v>5.7777321696662547</v>
      </c>
      <c r="T34">
        <f>($AU$2*9.81*Q34)/1000</f>
        <v>9.508048200000017</v>
      </c>
      <c r="U34">
        <f t="shared" si="0"/>
        <v>-6.7605633802819464E-3</v>
      </c>
      <c r="V34">
        <f t="shared" si="1"/>
        <v>-6.7604603854337668E-3</v>
      </c>
      <c r="W34">
        <f t="shared" si="11"/>
        <v>-0.38734584765074065</v>
      </c>
      <c r="X34">
        <f>($AU$2*9.81*SIN(W34))</f>
        <v>-2230.7430081684161</v>
      </c>
      <c r="Y34">
        <f>(0.12*($AU$2*9.81))</f>
        <v>708.67439999999999</v>
      </c>
      <c r="Z34">
        <f t="shared" si="12"/>
        <v>-1.6273815981795778</v>
      </c>
      <c r="AA34">
        <f>SUM(Z$3:Z34)</f>
        <v>16.250128118596333</v>
      </c>
      <c r="AB34">
        <v>0.5</v>
      </c>
      <c r="AC34" s="7">
        <f t="shared" si="13"/>
        <v>-7.129923268502651</v>
      </c>
      <c r="AD34" s="21">
        <f>IF(AC34&gt;$AX$2,J34-1,AC34)</f>
        <v>-7.129923268502651</v>
      </c>
      <c r="AE34" s="21">
        <f t="shared" si="14"/>
        <v>0</v>
      </c>
      <c r="AF34" s="22">
        <f t="shared" si="15"/>
        <v>-7.129923268502651</v>
      </c>
      <c r="AG34" s="21">
        <f t="shared" si="16"/>
        <v>7.129923268502651</v>
      </c>
      <c r="AH34" s="21">
        <f>SUM(AE$3:AE34)</f>
        <v>166.19497410185502</v>
      </c>
      <c r="AI34" s="21">
        <f>SUM(AG$3:AG34)</f>
        <v>477.81175036300345</v>
      </c>
      <c r="AJ34" s="23">
        <f t="shared" si="17"/>
        <v>0</v>
      </c>
      <c r="AK34" cm="1">
        <f t="array" ref="AK34">_xlfn.IFS(K34&lt;4,1,K34&lt;8,2,K34&gt;8,3)</f>
        <v>2</v>
      </c>
      <c r="AL34" cm="1">
        <f t="array" ref="AL34">_xlfn.IFS(K34&lt;5,2000,K34&lt;6,3500,K34&lt;7,5000,K34&lt;8,6500)</f>
        <v>2000</v>
      </c>
      <c r="AM34">
        <f>MATCH(AJ34,$AW$10:$BJ$10,1)</f>
        <v>2</v>
      </c>
      <c r="AN34">
        <v>175</v>
      </c>
      <c r="AO34">
        <f>(AE34*AN34/760)/$AS$14</f>
        <v>0</v>
      </c>
      <c r="AP34">
        <f t="shared" si="18"/>
        <v>0</v>
      </c>
      <c r="AQ34" s="21">
        <f>SUM(AP$3:AP34)</f>
        <v>22.451155931376416</v>
      </c>
    </row>
    <row r="35" spans="1:43">
      <c r="A35">
        <f t="shared" si="2"/>
        <v>292.875</v>
      </c>
      <c r="B35">
        <f t="shared" si="3"/>
        <v>2.1123427319244312</v>
      </c>
      <c r="C35">
        <f t="shared" si="4"/>
        <v>37.6471808661667</v>
      </c>
      <c r="D35" s="4">
        <v>53.623579537300003</v>
      </c>
      <c r="E35">
        <f t="shared" si="5"/>
        <v>14.478366475071002</v>
      </c>
      <c r="F35" s="4">
        <v>8.66</v>
      </c>
      <c r="G35" s="20">
        <f t="shared" si="6"/>
        <v>32.042000000000002</v>
      </c>
      <c r="J35" s="7">
        <v>4.0217684652975008</v>
      </c>
      <c r="K35">
        <f t="shared" si="7"/>
        <v>0.85642153053509107</v>
      </c>
      <c r="L35">
        <f t="shared" si="19"/>
        <v>5.9344686608064929</v>
      </c>
      <c r="M35">
        <f t="shared" si="20"/>
        <v>-0.17016912105926163</v>
      </c>
      <c r="N35">
        <f>M35*$AU$2</f>
        <v>-102.44181087767551</v>
      </c>
      <c r="O35">
        <v>136.69999999999999</v>
      </c>
      <c r="P35">
        <f t="shared" si="9"/>
        <v>13.67</v>
      </c>
      <c r="Q35">
        <f t="shared" si="10"/>
        <v>1.5500000000000007</v>
      </c>
      <c r="R35">
        <f t="shared" si="21"/>
        <v>6.0000000000002274E-2</v>
      </c>
      <c r="S35">
        <f>(0.5*$AU$2*(J35*J35))/1000</f>
        <v>4.8685610981268859</v>
      </c>
      <c r="T35">
        <f>($AU$2*9.81*Q35)/1000</f>
        <v>9.1537110000000048</v>
      </c>
      <c r="U35">
        <f t="shared" si="0"/>
        <v>9.0140845070422609E-3</v>
      </c>
      <c r="V35">
        <f t="shared" si="1"/>
        <v>9.0138403763127071E-3</v>
      </c>
      <c r="W35">
        <f t="shared" si="11"/>
        <v>0.51645501076733191</v>
      </c>
      <c r="X35">
        <f>($AU$2*9.81*SIN(W35))</f>
        <v>2916.1987732457828</v>
      </c>
      <c r="Y35">
        <f>(0.12*($AU$2*9.81))</f>
        <v>708.67439999999999</v>
      </c>
      <c r="Z35">
        <f t="shared" si="12"/>
        <v>3.5283658310289137</v>
      </c>
      <c r="AA35">
        <f>SUM(Z$3:Z35)</f>
        <v>19.778493949625247</v>
      </c>
      <c r="AB35">
        <v>0.5</v>
      </c>
      <c r="AC35" s="7">
        <f t="shared" si="13"/>
        <v>14.190270433265296</v>
      </c>
      <c r="AD35" s="21">
        <f>IF(AC35&gt;$AX$2,J35-1,AC35)</f>
        <v>3.0217684652975008</v>
      </c>
      <c r="AE35" s="21">
        <f t="shared" si="14"/>
        <v>3.0217684652975008</v>
      </c>
      <c r="AF35" s="22">
        <f t="shared" si="15"/>
        <v>0</v>
      </c>
      <c r="AG35" s="21">
        <f t="shared" si="16"/>
        <v>0</v>
      </c>
      <c r="AH35" s="21">
        <f>SUM(AE$3:AE35)</f>
        <v>169.21674256715252</v>
      </c>
      <c r="AI35" s="21">
        <f>SUM(AG$3:AG35)</f>
        <v>477.81175036300345</v>
      </c>
      <c r="AJ35" s="23">
        <f t="shared" si="17"/>
        <v>3.0217684652975008</v>
      </c>
      <c r="AK35" cm="1">
        <f t="array" ref="AK35">_xlfn.IFS(K35&lt;4,1,K35&lt;8,2,K35&gt;8,3)</f>
        <v>1</v>
      </c>
      <c r="AL35" cm="1">
        <f t="array" ref="AL35">_xlfn.IFS(K35&lt;5,2000,K35&lt;6,3500,K35&lt;7,5000,K35&lt;8,6500)</f>
        <v>2000</v>
      </c>
      <c r="AM35">
        <f>MATCH(AJ35,$AW$10:$BJ$10,1)</f>
        <v>5</v>
      </c>
      <c r="AN35">
        <v>175</v>
      </c>
      <c r="AO35">
        <f>(AE35*AN35/760)/$AS$14</f>
        <v>1.4695504682397655</v>
      </c>
      <c r="AP35">
        <f t="shared" si="18"/>
        <v>0.40820846339993488</v>
      </c>
      <c r="AQ35" s="21">
        <f>SUM(AP$3:AP35)</f>
        <v>22.85936439477635</v>
      </c>
    </row>
    <row r="36" spans="1:43">
      <c r="A36">
        <f t="shared" si="2"/>
        <v>301.75</v>
      </c>
      <c r="B36">
        <f t="shared" si="3"/>
        <v>2.2601282374788529</v>
      </c>
      <c r="C36">
        <f t="shared" si="4"/>
        <v>39.907309103645552</v>
      </c>
      <c r="D36" s="4">
        <v>51.090242776899998</v>
      </c>
      <c r="E36">
        <f t="shared" si="5"/>
        <v>13.794365549763</v>
      </c>
      <c r="F36" s="4">
        <v>8.93</v>
      </c>
      <c r="G36" s="20">
        <f t="shared" si="6"/>
        <v>33.041000000000004</v>
      </c>
      <c r="J36" s="7">
        <v>3.8317682082675</v>
      </c>
      <c r="K36">
        <f t="shared" si="7"/>
        <v>3.8317682082675</v>
      </c>
      <c r="L36">
        <f t="shared" si="19"/>
        <v>5.386990025133267</v>
      </c>
      <c r="M36">
        <f t="shared" si="20"/>
        <v>-8.4066140088557062E-2</v>
      </c>
      <c r="N36">
        <f>M36*$AU$2</f>
        <v>-50.607816333311348</v>
      </c>
      <c r="O36">
        <v>137.5</v>
      </c>
      <c r="P36">
        <f t="shared" si="9"/>
        <v>13.75</v>
      </c>
      <c r="Q36">
        <f t="shared" si="10"/>
        <v>1.6300000000000008</v>
      </c>
      <c r="R36">
        <f t="shared" si="21"/>
        <v>8.0000000000000071E-2</v>
      </c>
      <c r="S36">
        <f>(0.5*$AU$2*(J36*J36))/1000</f>
        <v>4.4194167281687475</v>
      </c>
      <c r="T36">
        <f>($AU$2*9.81*Q36)/1000</f>
        <v>9.626160600000004</v>
      </c>
      <c r="U36">
        <f t="shared" si="0"/>
        <v>-3.3802816901409732E-3</v>
      </c>
      <c r="V36">
        <f t="shared" si="1"/>
        <v>-3.3802688155201628E-3</v>
      </c>
      <c r="W36">
        <f t="shared" si="11"/>
        <v>-0.1936751367489912</v>
      </c>
      <c r="X36">
        <f>($AU$2*9.81*SIN(W36))</f>
        <v>-1136.6346689205536</v>
      </c>
      <c r="Y36">
        <f>(0.12*($AU$2*9.81))</f>
        <v>708.67439999999999</v>
      </c>
      <c r="Z36">
        <f t="shared" si="12"/>
        <v>-0.47318109522873181</v>
      </c>
      <c r="AA36">
        <f>SUM(Z$3:Z36)</f>
        <v>19.305312854396515</v>
      </c>
      <c r="AB36">
        <v>0.5</v>
      </c>
      <c r="AC36" s="7">
        <f t="shared" si="13"/>
        <v>-1.813120277450651</v>
      </c>
      <c r="AD36" s="21">
        <f>IF(AC36&gt;$AX$2,J36-1,AC36)</f>
        <v>-1.813120277450651</v>
      </c>
      <c r="AE36" s="21">
        <f t="shared" si="14"/>
        <v>0</v>
      </c>
      <c r="AF36" s="22">
        <f t="shared" si="15"/>
        <v>-1.813120277450651</v>
      </c>
      <c r="AG36" s="21">
        <f t="shared" si="16"/>
        <v>1.813120277450651</v>
      </c>
      <c r="AH36" s="21">
        <f>SUM(AE$3:AE36)</f>
        <v>169.21674256715252</v>
      </c>
      <c r="AI36" s="21">
        <f>SUM(AG$3:AG36)</f>
        <v>479.62487064045411</v>
      </c>
      <c r="AJ36" s="23">
        <f t="shared" si="17"/>
        <v>0</v>
      </c>
      <c r="AK36" cm="1">
        <f t="array" ref="AK36">_xlfn.IFS(K36&lt;4,1,K36&lt;8,2,K36&gt;8,3)</f>
        <v>1</v>
      </c>
      <c r="AL36" cm="1">
        <f t="array" ref="AL36">_xlfn.IFS(K36&lt;1,2000,K36&lt;2,3500,K36&lt;3,5000,K36&lt;4,6500)</f>
        <v>6500</v>
      </c>
      <c r="AM36">
        <f>MATCH(AJ36,$AW$10:$BJ$10,1)</f>
        <v>2</v>
      </c>
      <c r="AN36">
        <v>175</v>
      </c>
      <c r="AO36">
        <f>(AE36*AN36/760)/$AS$14</f>
        <v>0</v>
      </c>
      <c r="AP36">
        <f t="shared" si="18"/>
        <v>0</v>
      </c>
      <c r="AQ36" s="21">
        <f>SUM(AP$3:AP36)</f>
        <v>22.85936439477635</v>
      </c>
    </row>
    <row r="37" spans="1:43">
      <c r="A37">
        <f t="shared" si="2"/>
        <v>310.625</v>
      </c>
      <c r="B37">
        <f t="shared" si="3"/>
        <v>2.357511741664458</v>
      </c>
      <c r="C37">
        <f t="shared" si="4"/>
        <v>42.264820845310012</v>
      </c>
      <c r="D37" s="4">
        <v>49.2980872085</v>
      </c>
      <c r="E37">
        <f t="shared" si="5"/>
        <v>13.310483546295002</v>
      </c>
      <c r="F37" s="4">
        <v>9.19</v>
      </c>
      <c r="G37" s="20">
        <f t="shared" si="6"/>
        <v>34.003</v>
      </c>
      <c r="J37" s="7">
        <v>3.6973565406375002</v>
      </c>
      <c r="K37">
        <f t="shared" si="7"/>
        <v>0.42442945070310378</v>
      </c>
      <c r="L37">
        <f t="shared" si="19"/>
        <v>5.0156864130754704</v>
      </c>
      <c r="M37">
        <f t="shared" si="20"/>
        <v>-5.7014209199697095E-2</v>
      </c>
      <c r="N37">
        <f>M37*$AU$2</f>
        <v>-34.322553938217652</v>
      </c>
      <c r="O37">
        <v>137.19999999999999</v>
      </c>
      <c r="P37">
        <f t="shared" si="9"/>
        <v>13.719999999999999</v>
      </c>
      <c r="Q37">
        <f t="shared" si="10"/>
        <v>1.5999999999999996</v>
      </c>
      <c r="R37">
        <f t="shared" si="21"/>
        <v>3.0000000000001137E-2</v>
      </c>
      <c r="S37">
        <f>(0.5*$AU$2*(J37*J37))/1000</f>
        <v>4.1148040619670656</v>
      </c>
      <c r="T37">
        <f>($AU$2*9.81*Q37)/1000</f>
        <v>9.4489919999999987</v>
      </c>
      <c r="U37">
        <f t="shared" si="0"/>
        <v>2.2535211267605753E-2</v>
      </c>
      <c r="V37">
        <f t="shared" si="1"/>
        <v>2.2531397700922592E-2</v>
      </c>
      <c r="W37">
        <f t="shared" si="11"/>
        <v>1.2909539947936308</v>
      </c>
      <c r="X37">
        <f>($AU$2*9.81*SIN(W37))</f>
        <v>5675.8854693352141</v>
      </c>
      <c r="Y37">
        <f>(0.12*($AU$2*9.81))</f>
        <v>708.67439999999999</v>
      </c>
      <c r="Z37">
        <f t="shared" si="12"/>
        <v>6.3552530018100715</v>
      </c>
      <c r="AA37">
        <f>SUM(Z$3:Z37)</f>
        <v>25.660565856206588</v>
      </c>
      <c r="AB37">
        <v>0.5</v>
      </c>
      <c r="AC37" s="7">
        <f t="shared" si="13"/>
        <v>23.497636253648576</v>
      </c>
      <c r="AD37" s="21">
        <f>IF(AC37&gt;$AX$2,J37-1,AC37)</f>
        <v>2.6973565406375002</v>
      </c>
      <c r="AE37" s="21">
        <f t="shared" si="14"/>
        <v>2.6973565406375002</v>
      </c>
      <c r="AF37" s="22">
        <f t="shared" si="15"/>
        <v>0</v>
      </c>
      <c r="AG37" s="21">
        <f t="shared" si="16"/>
        <v>0</v>
      </c>
      <c r="AH37" s="21">
        <f>SUM(AE$3:AE37)</f>
        <v>171.91409910779004</v>
      </c>
      <c r="AI37" s="21">
        <f>SUM(AG$3:AG37)</f>
        <v>479.62487064045411</v>
      </c>
      <c r="AJ37" s="23">
        <f t="shared" si="17"/>
        <v>2.6973565406375002</v>
      </c>
      <c r="AK37" cm="1">
        <f t="array" ref="AK37">_xlfn.IFS(K37&lt;4,1,K37&lt;8,2,K37&gt;8,3)</f>
        <v>1</v>
      </c>
      <c r="AL37" cm="1">
        <f t="array" ref="AL37">_xlfn.IFS(K37&lt;1,2000,K37&lt;2,3500,K37&lt;3,5000,K37&lt;4,6500)</f>
        <v>2000</v>
      </c>
      <c r="AM37">
        <f>MATCH(AJ37,$AW$10:$BJ$10,1)</f>
        <v>4</v>
      </c>
      <c r="AN37">
        <v>175</v>
      </c>
      <c r="AO37">
        <f>(AE37*AN37/760)/$AS$14</f>
        <v>1.3117820285788098</v>
      </c>
      <c r="AP37">
        <f t="shared" si="18"/>
        <v>0.36438389682744721</v>
      </c>
      <c r="AQ37" s="21">
        <f>SUM(AP$3:AP37)</f>
        <v>23.223748291603798</v>
      </c>
    </row>
    <row r="38" spans="1:43">
      <c r="A38">
        <f t="shared" si="2"/>
        <v>319.5</v>
      </c>
      <c r="B38">
        <f t="shared" si="3"/>
        <v>2.3991473060448758</v>
      </c>
      <c r="C38">
        <f t="shared" si="4"/>
        <v>44.663968151354887</v>
      </c>
      <c r="D38" s="4">
        <v>49.348071812400001</v>
      </c>
      <c r="E38">
        <f t="shared" si="5"/>
        <v>13.323979389348001</v>
      </c>
      <c r="F38" s="4">
        <v>9.4700000000000006</v>
      </c>
      <c r="G38" s="20">
        <f t="shared" si="6"/>
        <v>35.039000000000001</v>
      </c>
      <c r="J38" s="7">
        <v>3.70110538593</v>
      </c>
      <c r="K38">
        <f t="shared" si="7"/>
        <v>0.41658709727085785</v>
      </c>
      <c r="L38">
        <f t="shared" si="19"/>
        <v>5.0258626374301638</v>
      </c>
      <c r="M38">
        <f t="shared" si="20"/>
        <v>1.5625740374733536E-3</v>
      </c>
      <c r="N38">
        <f>M38*$AU$2</f>
        <v>0.94066957055895883</v>
      </c>
      <c r="O38">
        <v>139.19999999999999</v>
      </c>
      <c r="P38">
        <f t="shared" si="9"/>
        <v>13.92</v>
      </c>
      <c r="Q38">
        <f t="shared" si="10"/>
        <v>1.8000000000000007</v>
      </c>
      <c r="R38">
        <f t="shared" si="21"/>
        <v>0.20000000000000107</v>
      </c>
      <c r="S38">
        <f>(0.5*$AU$2*(J38*J38))/1000</f>
        <v>4.123152504405776</v>
      </c>
      <c r="T38">
        <f>($AU$2*9.81*Q38)/1000</f>
        <v>10.630116000000003</v>
      </c>
      <c r="U38">
        <f t="shared" si="0"/>
        <v>2.3661971830986211E-2</v>
      </c>
      <c r="V38">
        <f t="shared" si="1"/>
        <v>2.3657557288670347E-2</v>
      </c>
      <c r="W38">
        <f t="shared" si="11"/>
        <v>1.3554781862297698</v>
      </c>
      <c r="X38">
        <f>($AU$2*9.81*SIN(W38))</f>
        <v>5769.2502003437885</v>
      </c>
      <c r="Y38">
        <f>(0.12*($AU$2*9.81))</f>
        <v>708.67439999999999</v>
      </c>
      <c r="Z38">
        <f t="shared" si="12"/>
        <v>6.4838911325517774</v>
      </c>
      <c r="AA38">
        <f>SUM(Z$3:Z38)</f>
        <v>32.144456988758364</v>
      </c>
      <c r="AB38">
        <v>0.5</v>
      </c>
      <c r="AC38" s="7">
        <f t="shared" si="13"/>
        <v>23.997564392471151</v>
      </c>
      <c r="AD38" s="21">
        <f>IF(AC38&gt;$AX$2,J38-1,AC38)</f>
        <v>2.70110538593</v>
      </c>
      <c r="AE38" s="21">
        <f t="shared" si="14"/>
        <v>2.70110538593</v>
      </c>
      <c r="AF38" s="22">
        <f t="shared" si="15"/>
        <v>0</v>
      </c>
      <c r="AG38" s="21">
        <f t="shared" si="16"/>
        <v>0</v>
      </c>
      <c r="AH38" s="21">
        <f>SUM(AE$3:AE38)</f>
        <v>174.61520449372003</v>
      </c>
      <c r="AI38" s="21">
        <f>SUM(AG$3:AG38)</f>
        <v>479.62487064045411</v>
      </c>
      <c r="AJ38" s="23">
        <f t="shared" si="17"/>
        <v>2.70110538593</v>
      </c>
      <c r="AK38" cm="1">
        <f t="array" ref="AK38">_xlfn.IFS(K38&lt;4,1,K38&lt;8,2,K38&gt;8,3)</f>
        <v>1</v>
      </c>
      <c r="AL38" cm="1">
        <f t="array" ref="AL38">_xlfn.IFS(K38&lt;1,2000,K38&lt;2,3500,K38&lt;3,5000,K38&lt;4,6500)</f>
        <v>2000</v>
      </c>
      <c r="AM38">
        <f>MATCH(AJ38,$AW$10:$BJ$10,1)</f>
        <v>4</v>
      </c>
      <c r="AN38">
        <v>175</v>
      </c>
      <c r="AO38">
        <f>(AE38*AN38/760)/$AS$14</f>
        <v>1.313605172018891</v>
      </c>
      <c r="AP38">
        <f t="shared" si="18"/>
        <v>0.36489032556080309</v>
      </c>
      <c r="AQ38" s="21">
        <f>SUM(AP$3:AP38)</f>
        <v>23.588638617164602</v>
      </c>
    </row>
    <row r="39" spans="1:43">
      <c r="A39">
        <f t="shared" si="2"/>
        <v>328.375</v>
      </c>
      <c r="B39">
        <f t="shared" si="3"/>
        <v>2.347120797872337</v>
      </c>
      <c r="C39">
        <f t="shared" si="4"/>
        <v>47.011088949227222</v>
      </c>
      <c r="D39" s="4">
        <v>51.484687575700001</v>
      </c>
      <c r="E39">
        <f t="shared" si="5"/>
        <v>13.900865645439001</v>
      </c>
      <c r="F39" s="4">
        <v>9.74</v>
      </c>
      <c r="G39" s="20">
        <f t="shared" si="6"/>
        <v>36.038000000000004</v>
      </c>
      <c r="J39" s="7">
        <v>3.8613515681775006</v>
      </c>
      <c r="K39">
        <f t="shared" si="7"/>
        <v>1.2641955725003906</v>
      </c>
      <c r="L39">
        <f t="shared" si="19"/>
        <v>5.4704921838422242</v>
      </c>
      <c r="M39">
        <f t="shared" si="20"/>
        <v>6.827351297503037E-2</v>
      </c>
      <c r="N39">
        <f>M39*$AU$2</f>
        <v>41.10065481096828</v>
      </c>
      <c r="O39">
        <v>141.30000000000001</v>
      </c>
      <c r="P39">
        <f t="shared" si="9"/>
        <v>14.130000000000003</v>
      </c>
      <c r="Q39">
        <f t="shared" si="10"/>
        <v>2.0100000000000033</v>
      </c>
      <c r="R39">
        <f t="shared" si="21"/>
        <v>0.21000000000000263</v>
      </c>
      <c r="S39">
        <f>(0.5*$AU$2*(J39*J39))/1000</f>
        <v>4.4879208158531192</v>
      </c>
      <c r="T39">
        <f>($AU$2*9.81*Q39)/1000</f>
        <v>11.870296200000018</v>
      </c>
      <c r="U39">
        <f t="shared" si="0"/>
        <v>4.5070422535208304E-3</v>
      </c>
      <c r="V39">
        <f t="shared" si="1"/>
        <v>4.5070117360638574E-3</v>
      </c>
      <c r="W39">
        <f t="shared" si="11"/>
        <v>0.25823275069238916</v>
      </c>
      <c r="X39">
        <f>($AU$2*9.81*SIN(W39))</f>
        <v>1508.1317582414142</v>
      </c>
      <c r="Y39">
        <f>(0.12*($AU$2*9.81))</f>
        <v>708.67439999999999</v>
      </c>
      <c r="Z39">
        <f t="shared" si="12"/>
        <v>2.2633773052362249</v>
      </c>
      <c r="AA39">
        <f>SUM(Z$3:Z39)</f>
        <v>34.40783429399459</v>
      </c>
      <c r="AB39">
        <v>0.5</v>
      </c>
      <c r="AC39" s="7">
        <f t="shared" si="13"/>
        <v>8.7396955069512625</v>
      </c>
      <c r="AD39" s="21">
        <f>IF(AC39&gt;$AX$2,J39-1,AC39)</f>
        <v>2.8613515681775006</v>
      </c>
      <c r="AE39" s="21">
        <f t="shared" si="14"/>
        <v>2.8613515681775006</v>
      </c>
      <c r="AF39" s="22">
        <f t="shared" si="15"/>
        <v>0</v>
      </c>
      <c r="AG39" s="21">
        <f t="shared" si="16"/>
        <v>0</v>
      </c>
      <c r="AH39" s="21">
        <f>SUM(AE$3:AE39)</f>
        <v>177.47655606189753</v>
      </c>
      <c r="AI39" s="21">
        <f>SUM(AG$3:AG39)</f>
        <v>479.62487064045411</v>
      </c>
      <c r="AJ39" s="23">
        <f t="shared" si="17"/>
        <v>2.8613515681775006</v>
      </c>
      <c r="AK39" cm="1">
        <f t="array" ref="AK39">_xlfn.IFS(K39&lt;4,1,K39&lt;8,2,K39&gt;8,3)</f>
        <v>1</v>
      </c>
      <c r="AL39" cm="1">
        <f t="array" ref="AL39">_xlfn.IFS(K39&lt;1,2000,K39&lt;2,3500,K39&lt;3,5000,K39&lt;4,6500)</f>
        <v>3500</v>
      </c>
      <c r="AM39">
        <v>13</v>
      </c>
      <c r="AN39">
        <v>175</v>
      </c>
      <c r="AO39">
        <f>(AE39*AN39/760)/$AS$14</f>
        <v>1.3915363089871446</v>
      </c>
      <c r="AP39">
        <f t="shared" si="18"/>
        <v>0.38653786360754017</v>
      </c>
      <c r="AQ39" s="21">
        <f>SUM(AP$3:AP39)</f>
        <v>23.975176480772141</v>
      </c>
    </row>
    <row r="40" spans="1:43">
      <c r="A40">
        <f t="shared" si="2"/>
        <v>337.25</v>
      </c>
      <c r="B40">
        <f t="shared" si="3"/>
        <v>2.2174253768195413</v>
      </c>
      <c r="C40">
        <f t="shared" si="4"/>
        <v>49.228514326046763</v>
      </c>
      <c r="D40" s="4">
        <v>55.2456985472</v>
      </c>
      <c r="E40">
        <f t="shared" si="5"/>
        <v>14.916338607744001</v>
      </c>
      <c r="F40" s="4">
        <v>10.01</v>
      </c>
      <c r="G40" s="20">
        <f t="shared" si="6"/>
        <v>37.036999999999999</v>
      </c>
      <c r="J40" s="7">
        <v>4.1434273910400004</v>
      </c>
      <c r="K40">
        <f t="shared" si="7"/>
        <v>4.1434273910400004</v>
      </c>
      <c r="L40">
        <f t="shared" si="19"/>
        <v>6.2989357308946579</v>
      </c>
      <c r="M40">
        <f t="shared" si="20"/>
        <v>0.12720871052133526</v>
      </c>
      <c r="N40">
        <f>M40*$AU$2</f>
        <v>76.579643733843824</v>
      </c>
      <c r="O40">
        <v>141.69999999999999</v>
      </c>
      <c r="P40">
        <f t="shared" si="9"/>
        <v>14.17</v>
      </c>
      <c r="Q40">
        <f t="shared" si="10"/>
        <v>2.0500000000000007</v>
      </c>
      <c r="R40">
        <f t="shared" si="21"/>
        <v>3.9999999999997371E-2</v>
      </c>
      <c r="S40">
        <f>(0.5*$AU$2*(J40*J40))/1000</f>
        <v>5.1675651539909842</v>
      </c>
      <c r="T40">
        <f>($AU$2*9.81*Q40)/1000</f>
        <v>12.106521000000004</v>
      </c>
      <c r="U40">
        <f t="shared" si="0"/>
        <v>-1.4647887323943549E-2</v>
      </c>
      <c r="V40">
        <f t="shared" si="1"/>
        <v>-1.4646839838943748E-2</v>
      </c>
      <c r="W40">
        <f t="shared" si="11"/>
        <v>-0.83920210597555123</v>
      </c>
      <c r="X40">
        <f>($AU$2*9.81*SIN(W40))</f>
        <v>-4394.4327785152145</v>
      </c>
      <c r="Y40">
        <f>(0.12*($AU$2*9.81))</f>
        <v>708.67439999999999</v>
      </c>
      <c r="Z40">
        <f t="shared" si="12"/>
        <v>-3.6028797990504762</v>
      </c>
      <c r="AA40">
        <f>SUM(Z$3:Z40)</f>
        <v>30.804954494944113</v>
      </c>
      <c r="AB40">
        <v>0.5</v>
      </c>
      <c r="AC40" s="7">
        <f t="shared" si="13"/>
        <v>-14.928270846010435</v>
      </c>
      <c r="AD40" s="21">
        <f>IF(AC40&gt;$AX$2,J40-1,AC40)</f>
        <v>-14.928270846010435</v>
      </c>
      <c r="AE40" s="21">
        <f t="shared" si="14"/>
        <v>0</v>
      </c>
      <c r="AF40" s="22">
        <f t="shared" si="15"/>
        <v>-14.928270846010435</v>
      </c>
      <c r="AG40" s="21">
        <f t="shared" si="16"/>
        <v>14.928270846010435</v>
      </c>
      <c r="AH40" s="21">
        <f>SUM(AE$3:AE40)</f>
        <v>177.47655606189753</v>
      </c>
      <c r="AI40" s="21">
        <f>SUM(AG$3:AG40)</f>
        <v>494.55314148646454</v>
      </c>
      <c r="AJ40" s="23">
        <f t="shared" si="17"/>
        <v>0</v>
      </c>
      <c r="AK40" cm="1">
        <f t="array" ref="AK40">_xlfn.IFS(K40&lt;4,1,K40&lt;8,2,K40&gt;8,3)</f>
        <v>2</v>
      </c>
      <c r="AL40" cm="1">
        <f t="array" ref="AL40">_xlfn.IFS(K40&lt;5,2000,K40&lt;6,3500,K40&lt;7,5000,K40&lt;8,6500)</f>
        <v>2000</v>
      </c>
      <c r="AM40">
        <f>MATCH(AJ40,$AW$10:$BJ$10,1)</f>
        <v>2</v>
      </c>
      <c r="AN40">
        <v>175</v>
      </c>
      <c r="AO40">
        <f>(AE40*AN40/760)/$AS$14</f>
        <v>0</v>
      </c>
      <c r="AP40">
        <f t="shared" si="18"/>
        <v>0</v>
      </c>
      <c r="AQ40" s="21">
        <f>SUM(AP$3:AP40)</f>
        <v>23.975176480772141</v>
      </c>
    </row>
    <row r="41" spans="1:43">
      <c r="A41">
        <f t="shared" si="2"/>
        <v>346.125</v>
      </c>
      <c r="B41">
        <f t="shared" si="3"/>
        <v>2.04624262250154</v>
      </c>
      <c r="C41">
        <f t="shared" si="4"/>
        <v>51.274756948548301</v>
      </c>
      <c r="D41" s="4">
        <v>60.413443757899998</v>
      </c>
      <c r="E41">
        <f t="shared" si="5"/>
        <v>16.311629814633001</v>
      </c>
      <c r="F41" s="4">
        <v>10.28</v>
      </c>
      <c r="G41" s="20">
        <f t="shared" si="6"/>
        <v>38.036000000000001</v>
      </c>
      <c r="J41" s="7">
        <v>4.5310082818425004</v>
      </c>
      <c r="K41">
        <f t="shared" si="7"/>
        <v>4.5310082818425004</v>
      </c>
      <c r="L41">
        <f t="shared" si="19"/>
        <v>7.5324702267909833</v>
      </c>
      <c r="M41">
        <f t="shared" si="20"/>
        <v>0.1894110143833683</v>
      </c>
      <c r="N41">
        <f>M41*$AU$2</f>
        <v>114.02543065878771</v>
      </c>
      <c r="O41">
        <v>140.4</v>
      </c>
      <c r="P41">
        <f t="shared" si="9"/>
        <v>14.040000000000001</v>
      </c>
      <c r="Q41">
        <f t="shared" si="10"/>
        <v>1.9200000000000017</v>
      </c>
      <c r="R41">
        <f t="shared" si="21"/>
        <v>0.12999999999999901</v>
      </c>
      <c r="S41">
        <f>(0.5*$AU$2*(J41*J41))/1000</f>
        <v>6.1795408510877241</v>
      </c>
      <c r="T41">
        <f>($AU$2*9.81*Q41)/1000</f>
        <v>11.338790400000009</v>
      </c>
      <c r="U41">
        <f t="shared" si="0"/>
        <v>-4.7323943661972026E-2</v>
      </c>
      <c r="V41">
        <f t="shared" si="1"/>
        <v>-4.7288662856144761E-2</v>
      </c>
      <c r="W41">
        <f t="shared" si="11"/>
        <v>-2.7094408004741561</v>
      </c>
      <c r="X41">
        <f>($AU$2*9.81*SIN(W41))</f>
        <v>-2473.4260005995907</v>
      </c>
      <c r="Y41">
        <f>(0.12*($AU$2*9.81))</f>
        <v>708.67439999999999</v>
      </c>
      <c r="Z41">
        <f t="shared" si="12"/>
        <v>-1.643193699714012</v>
      </c>
      <c r="AA41">
        <f>SUM(Z$3:Z41)</f>
        <v>29.161760795230101</v>
      </c>
      <c r="AB41">
        <v>0.5</v>
      </c>
      <c r="AC41" s="7">
        <f t="shared" si="13"/>
        <v>-7.4453242620756068</v>
      </c>
      <c r="AD41" s="21">
        <f>IF(AC41&gt;$AX$2,J41-1,AC41)</f>
        <v>-7.4453242620756068</v>
      </c>
      <c r="AE41" s="21">
        <f t="shared" si="14"/>
        <v>0</v>
      </c>
      <c r="AF41" s="22">
        <f t="shared" si="15"/>
        <v>-7.4453242620756068</v>
      </c>
      <c r="AG41" s="21">
        <f t="shared" si="16"/>
        <v>7.4453242620756068</v>
      </c>
      <c r="AH41" s="21">
        <f>SUM(AE$3:AE41)</f>
        <v>177.47655606189753</v>
      </c>
      <c r="AI41" s="21">
        <f>SUM(AG$3:AG41)</f>
        <v>501.99846574854013</v>
      </c>
      <c r="AJ41" s="23">
        <f t="shared" si="17"/>
        <v>0</v>
      </c>
      <c r="AK41" cm="1">
        <f t="array" ref="AK41">_xlfn.IFS(K41&lt;4,1,K41&lt;8,2,K41&gt;8,3)</f>
        <v>2</v>
      </c>
      <c r="AL41" cm="1">
        <f t="array" ref="AL41">_xlfn.IFS(K41&lt;5,2000,K41&lt;6,3500,K41&lt;7,5000,K41&lt;8,6500)</f>
        <v>2000</v>
      </c>
      <c r="AM41">
        <f>MATCH(AJ41,$AW$10:$BJ$10,1)</f>
        <v>2</v>
      </c>
      <c r="AN41">
        <v>175</v>
      </c>
      <c r="AO41">
        <f>(AE41*AN41/760)/$AS$14</f>
        <v>0</v>
      </c>
      <c r="AP41">
        <f t="shared" si="18"/>
        <v>0</v>
      </c>
      <c r="AQ41" s="21">
        <f>SUM(AP$3:AP41)</f>
        <v>23.975176480772141</v>
      </c>
    </row>
    <row r="42" spans="1:43">
      <c r="A42">
        <f t="shared" si="2"/>
        <v>355</v>
      </c>
      <c r="B42">
        <f t="shared" si="3"/>
        <v>1.8871068362476109</v>
      </c>
      <c r="C42">
        <f t="shared" si="4"/>
        <v>53.161863784795912</v>
      </c>
      <c r="D42" s="4">
        <v>64.998992952500004</v>
      </c>
      <c r="E42">
        <f t="shared" si="5"/>
        <v>17.549728097175002</v>
      </c>
      <c r="F42" s="4">
        <v>10.55</v>
      </c>
      <c r="G42" s="20">
        <f t="shared" si="6"/>
        <v>39.035000000000004</v>
      </c>
      <c r="J42" s="7">
        <v>4.8749244714374997</v>
      </c>
      <c r="K42">
        <f t="shared" si="7"/>
        <v>0.77137069340863829</v>
      </c>
      <c r="L42">
        <f t="shared" si="19"/>
        <v>8.7193376281545856</v>
      </c>
      <c r="M42">
        <f t="shared" si="20"/>
        <v>0.18224521420252726</v>
      </c>
      <c r="N42">
        <f>M42*$AU$2</f>
        <v>109.71161894992142</v>
      </c>
      <c r="O42">
        <v>136.19999999999999</v>
      </c>
      <c r="P42">
        <f t="shared" si="9"/>
        <v>13.62</v>
      </c>
      <c r="Q42">
        <f t="shared" si="10"/>
        <v>1.5</v>
      </c>
      <c r="R42">
        <f t="shared" si="21"/>
        <v>0.42000000000000171</v>
      </c>
      <c r="S42">
        <f>(0.5*$AU$2*(J42*J42))/1000</f>
        <v>7.1532314692682757</v>
      </c>
      <c r="T42">
        <f>($AU$2*9.81*Q42)/1000</f>
        <v>8.8584300000000002</v>
      </c>
      <c r="U42">
        <f t="shared" si="0"/>
        <v>-6.8732394366197117E-2</v>
      </c>
      <c r="V42">
        <f t="shared" si="1"/>
        <v>-6.8624466257585434E-2</v>
      </c>
      <c r="W42">
        <f t="shared" si="11"/>
        <v>-3.9318922878975728</v>
      </c>
      <c r="X42">
        <f>($AU$2*9.81*SIN(W42))</f>
        <v>4196.3217771576556</v>
      </c>
      <c r="Y42">
        <f>(0.12*($AU$2*9.81))</f>
        <v>708.67439999999999</v>
      </c>
      <c r="Z42">
        <f t="shared" si="12"/>
        <v>5.0234271337357317</v>
      </c>
      <c r="AA42">
        <f>SUM(Z$3:Z42)</f>
        <v>34.185187928965831</v>
      </c>
      <c r="AB42">
        <v>0.5</v>
      </c>
      <c r="AC42" s="7">
        <f t="shared" si="13"/>
        <v>24.488827864731455</v>
      </c>
      <c r="AD42" s="21">
        <f>IF(AC42&gt;$AX$2,J42-1,AC42)</f>
        <v>3.8749244714374997</v>
      </c>
      <c r="AE42" s="21">
        <f t="shared" si="14"/>
        <v>3.8749244714374997</v>
      </c>
      <c r="AF42" s="22">
        <f t="shared" si="15"/>
        <v>0</v>
      </c>
      <c r="AG42" s="21">
        <f t="shared" si="16"/>
        <v>0</v>
      </c>
      <c r="AH42" s="21">
        <f>SUM(AE$3:AE42)</f>
        <v>181.35148053333504</v>
      </c>
      <c r="AI42" s="21">
        <f>SUM(AG$3:AG42)</f>
        <v>501.99846574854013</v>
      </c>
      <c r="AJ42" s="23">
        <f t="shared" si="17"/>
        <v>3.8749244714374997</v>
      </c>
      <c r="AK42" cm="1">
        <f t="array" ref="AK42">_xlfn.IFS(K42&lt;4,1,K42&lt;8,2,K42&gt;8,3)</f>
        <v>1</v>
      </c>
      <c r="AL42" cm="1">
        <f t="array" ref="AL42">_xlfn.IFS(K42&lt;5,2000,K42&lt;6,3500,K42&lt;7,5000,K42&lt;8,6500)</f>
        <v>2000</v>
      </c>
      <c r="AM42">
        <f>MATCH(AJ42,$AW$10:$BJ$10,1)</f>
        <v>5</v>
      </c>
      <c r="AN42">
        <v>175</v>
      </c>
      <c r="AO42">
        <f>(AE42*AN42/760)/$AS$14</f>
        <v>1.8844584344532416</v>
      </c>
      <c r="AP42">
        <f t="shared" si="18"/>
        <v>0.52346067623701165</v>
      </c>
      <c r="AQ42" s="21">
        <f>SUM(AP$3:AP42)</f>
        <v>24.498637157009153</v>
      </c>
    </row>
    <row r="43" spans="1:43">
      <c r="A43">
        <f t="shared" si="2"/>
        <v>363.875</v>
      </c>
      <c r="B43">
        <f t="shared" si="3"/>
        <v>1.7526600605133165</v>
      </c>
      <c r="C43">
        <f t="shared" si="4"/>
        <v>54.914523845309226</v>
      </c>
      <c r="D43" s="4">
        <v>70.033847698499997</v>
      </c>
      <c r="E43">
        <f t="shared" si="5"/>
        <v>18.909138878595002</v>
      </c>
      <c r="F43" s="4">
        <v>10.82</v>
      </c>
      <c r="G43" s="20">
        <f t="shared" si="6"/>
        <v>40.034000000000006</v>
      </c>
      <c r="J43" s="7">
        <v>5.2525385773875</v>
      </c>
      <c r="K43">
        <f t="shared" si="7"/>
        <v>0.9050905635982025</v>
      </c>
      <c r="L43">
        <f t="shared" si="19"/>
        <v>10.122463356897718</v>
      </c>
      <c r="M43">
        <f t="shared" si="20"/>
        <v>0.21545199463232231</v>
      </c>
      <c r="N43">
        <f>M43*$AU$2</f>
        <v>129.70210076865803</v>
      </c>
      <c r="O43">
        <v>130.1</v>
      </c>
      <c r="P43">
        <f t="shared" si="9"/>
        <v>13.01</v>
      </c>
      <c r="Q43">
        <f t="shared" si="10"/>
        <v>0.89000000000000057</v>
      </c>
      <c r="R43">
        <f t="shared" si="21"/>
        <v>0.60999999999999943</v>
      </c>
      <c r="S43">
        <f>(0.5*$AU$2*(J43*J43))/1000</f>
        <v>8.3043376135901141</v>
      </c>
      <c r="T43">
        <f>($AU$2*9.81*Q43)/1000</f>
        <v>5.2560018000000035</v>
      </c>
      <c r="U43">
        <f t="shared" si="0"/>
        <v>1.2394366197183034E-2</v>
      </c>
      <c r="V43">
        <f t="shared" si="1"/>
        <v>1.2393731580202717E-2</v>
      </c>
      <c r="W43">
        <f t="shared" si="11"/>
        <v>0.71010851196362035</v>
      </c>
      <c r="X43">
        <f>($AU$2*9.81*SIN(W43))</f>
        <v>3849.9685135171926</v>
      </c>
      <c r="Y43">
        <f>(0.12*($AU$2*9.81))</f>
        <v>708.67439999999999</v>
      </c>
      <c r="Z43">
        <f t="shared" si="12"/>
        <v>4.6984674776427484</v>
      </c>
      <c r="AA43">
        <f>SUM(Z$3:Z43)</f>
        <v>38.883655406608582</v>
      </c>
      <c r="AB43">
        <v>0.5</v>
      </c>
      <c r="AC43" s="7">
        <f t="shared" si="13"/>
        <v>24.678881680919076</v>
      </c>
      <c r="AD43" s="21">
        <f>IF(AC43&gt;$AX$2,J43-1,AC43)</f>
        <v>4.2525385773875</v>
      </c>
      <c r="AE43" s="21">
        <f t="shared" si="14"/>
        <v>4.2525385773875</v>
      </c>
      <c r="AF43" s="22">
        <f t="shared" si="15"/>
        <v>0</v>
      </c>
      <c r="AG43" s="21">
        <f t="shared" si="16"/>
        <v>0</v>
      </c>
      <c r="AH43" s="21">
        <f>SUM(AE$3:AE43)</f>
        <v>185.60401911072253</v>
      </c>
      <c r="AI43" s="21">
        <f>SUM(AG$3:AG43)</f>
        <v>501.99846574854013</v>
      </c>
      <c r="AJ43" s="23">
        <f t="shared" si="17"/>
        <v>4.2525385773875</v>
      </c>
      <c r="AK43" cm="1">
        <f t="array" ref="AK43">_xlfn.IFS(K43&lt;4,1,K43&lt;8,2,K43&gt;8,3)</f>
        <v>1</v>
      </c>
      <c r="AL43" cm="1">
        <f t="array" ref="AL43">_xlfn.IFS(K43&lt;1,2000,K43&lt;2,3500,K43&lt;3,5000,K43&lt;4,6500)</f>
        <v>2000</v>
      </c>
      <c r="AM43">
        <f>MATCH(AJ43,$AW$10:$BJ$10,1)</f>
        <v>6</v>
      </c>
      <c r="AN43">
        <v>175</v>
      </c>
      <c r="AO43">
        <f>(AE43*AN43/760)/$AS$14</f>
        <v>2.068100229840808</v>
      </c>
      <c r="AP43">
        <f t="shared" si="18"/>
        <v>0.57447228606689116</v>
      </c>
      <c r="AQ43" s="21">
        <f>SUM(AP$3:AP43)</f>
        <v>25.073109443076042</v>
      </c>
    </row>
    <row r="44" spans="1:43">
      <c r="A44">
        <f t="shared" si="2"/>
        <v>372.75</v>
      </c>
      <c r="B44">
        <f t="shared" si="3"/>
        <v>1.6806472923969897</v>
      </c>
      <c r="C44">
        <f t="shared" si="4"/>
        <v>56.595171137706217</v>
      </c>
      <c r="D44" s="4">
        <v>70.784911679100006</v>
      </c>
      <c r="E44">
        <f t="shared" si="5"/>
        <v>19.111926153357004</v>
      </c>
      <c r="F44" s="4">
        <v>11.09</v>
      </c>
      <c r="G44" s="20">
        <f t="shared" si="6"/>
        <v>41.033000000000001</v>
      </c>
      <c r="J44" s="7">
        <v>5.3088683759325006</v>
      </c>
      <c r="K44">
        <f t="shared" si="7"/>
        <v>0.64898279963325811</v>
      </c>
      <c r="L44">
        <f t="shared" si="19"/>
        <v>10.340740211558963</v>
      </c>
      <c r="M44">
        <f t="shared" si="20"/>
        <v>3.3516728227170951E-2</v>
      </c>
      <c r="N44">
        <f>M44*$AU$2</f>
        <v>20.177070392756914</v>
      </c>
      <c r="O44">
        <v>131.19999999999999</v>
      </c>
      <c r="P44">
        <f t="shared" si="9"/>
        <v>13.12</v>
      </c>
      <c r="Q44">
        <f t="shared" si="10"/>
        <v>1</v>
      </c>
      <c r="R44">
        <f t="shared" si="21"/>
        <v>0.10999999999999943</v>
      </c>
      <c r="S44">
        <f>(0.5*$AU$2*(J44*J44))/1000</f>
        <v>8.4834091133258323</v>
      </c>
      <c r="T44">
        <f>($AU$2*9.81*Q44)/1000</f>
        <v>5.9056199999999999</v>
      </c>
      <c r="U44">
        <f t="shared" si="0"/>
        <v>2.8169014084507043E-2</v>
      </c>
      <c r="V44">
        <f t="shared" si="1"/>
        <v>2.8161566987892423E-2</v>
      </c>
      <c r="W44">
        <f t="shared" si="11"/>
        <v>1.6135389328811822</v>
      </c>
      <c r="X44">
        <f>($AU$2*9.81*SIN(W44))</f>
        <v>5900.2262429624861</v>
      </c>
      <c r="Y44">
        <f>(0.12*($AU$2*9.81))</f>
        <v>708.67439999999999</v>
      </c>
      <c r="Z44">
        <f t="shared" si="12"/>
        <v>6.6394184535668019</v>
      </c>
      <c r="AA44">
        <f>SUM(Z$3:Z44)</f>
        <v>45.523073860175387</v>
      </c>
      <c r="AB44">
        <v>0.5</v>
      </c>
      <c r="AC44" s="7">
        <f t="shared" si="13"/>
        <v>35.247798662723461</v>
      </c>
      <c r="AD44" s="21">
        <f>IF(AC44&gt;$AX$2,J44-1,AC44)</f>
        <v>4.3088683759325006</v>
      </c>
      <c r="AE44" s="21">
        <f t="shared" si="14"/>
        <v>4.3088683759325006</v>
      </c>
      <c r="AF44" s="22">
        <f t="shared" si="15"/>
        <v>0</v>
      </c>
      <c r="AG44" s="21">
        <f t="shared" si="16"/>
        <v>0</v>
      </c>
      <c r="AH44" s="21">
        <f>SUM(AE$3:AE44)</f>
        <v>189.91288748665502</v>
      </c>
      <c r="AI44" s="21">
        <f>SUM(AG$3:AG44)</f>
        <v>501.99846574854013</v>
      </c>
      <c r="AJ44" s="23">
        <f t="shared" si="17"/>
        <v>4.3088683759325006</v>
      </c>
      <c r="AK44" cm="1">
        <f t="array" ref="AK44">_xlfn.IFS(K44&lt;4,1,K44&lt;8,2,K44&gt;8,3)</f>
        <v>1</v>
      </c>
      <c r="AL44" cm="1">
        <f t="array" ref="AL44">_xlfn.IFS(K44&lt;5,2000,K44&lt;6,3500,K44&lt;7,5000,K44&lt;8,6500)</f>
        <v>2000</v>
      </c>
      <c r="AM44">
        <f>MATCH(AJ44,$AW$10:$BJ$10,1)</f>
        <v>6</v>
      </c>
      <c r="AN44">
        <v>175</v>
      </c>
      <c r="AO44">
        <f>(AE44*AN44/760)/$AS$14</f>
        <v>2.0954946125601692</v>
      </c>
      <c r="AP44">
        <f t="shared" si="18"/>
        <v>0.58208183682226933</v>
      </c>
      <c r="AQ44" s="21">
        <f>SUM(AP$3:AP44)</f>
        <v>25.655191279898311</v>
      </c>
    </row>
    <row r="45" spans="1:43">
      <c r="A45">
        <f t="shared" si="2"/>
        <v>381.625</v>
      </c>
      <c r="B45">
        <f t="shared" si="3"/>
        <v>1.6574825391823196</v>
      </c>
      <c r="C45">
        <f t="shared" si="4"/>
        <v>58.252653676888535</v>
      </c>
      <c r="D45" s="4">
        <v>72.001911754600002</v>
      </c>
      <c r="E45">
        <f t="shared" si="5"/>
        <v>19.440516173742001</v>
      </c>
      <c r="F45" s="4">
        <v>11.36</v>
      </c>
      <c r="G45" s="20">
        <f t="shared" si="6"/>
        <v>42.031999999999996</v>
      </c>
      <c r="J45" s="7">
        <v>5.4001433815950008</v>
      </c>
      <c r="K45">
        <f t="shared" si="7"/>
        <v>5.4001433815950008</v>
      </c>
      <c r="L45">
        <f t="shared" si="19"/>
        <v>10.699372159980657</v>
      </c>
      <c r="M45">
        <f t="shared" si="20"/>
        <v>5.5068456834259448E-2</v>
      </c>
      <c r="N45">
        <f>M45*$AU$2</f>
        <v>33.151211014224188</v>
      </c>
      <c r="O45">
        <v>133.69999999999999</v>
      </c>
      <c r="P45">
        <f t="shared" si="9"/>
        <v>13.37</v>
      </c>
      <c r="Q45">
        <f t="shared" si="10"/>
        <v>1.25</v>
      </c>
      <c r="R45">
        <f t="shared" si="21"/>
        <v>0.25</v>
      </c>
      <c r="S45">
        <f>(0.5*$AU$2*(J45*J45))/1000</f>
        <v>8.7776261110770726</v>
      </c>
      <c r="T45">
        <f>($AU$2*9.81*Q45)/1000</f>
        <v>7.3820249999999996</v>
      </c>
      <c r="U45">
        <f t="shared" si="0"/>
        <v>-2.9295774647887299E-2</v>
      </c>
      <c r="V45">
        <f t="shared" si="1"/>
        <v>-2.9287398002212733E-2</v>
      </c>
      <c r="W45">
        <f t="shared" si="11"/>
        <v>-1.6780442984466684</v>
      </c>
      <c r="X45">
        <f>($AU$2*9.81*SIN(W45))</f>
        <v>-5871.6889451121488</v>
      </c>
      <c r="Y45">
        <f>(0.12*($AU$2*9.81))</f>
        <v>708.67439999999999</v>
      </c>
      <c r="Z45">
        <f t="shared" si="12"/>
        <v>-5.1191639619379439</v>
      </c>
      <c r="AA45">
        <f>SUM(Z$3:Z45)</f>
        <v>40.403909898237444</v>
      </c>
      <c r="AB45">
        <v>0.5</v>
      </c>
      <c r="AC45" s="7">
        <f t="shared" si="13"/>
        <v>-27.644219388358831</v>
      </c>
      <c r="AD45" s="21">
        <f>IF(AC45&gt;$AX$2,J45-1,AC45)</f>
        <v>-27.644219388358831</v>
      </c>
      <c r="AE45" s="21">
        <f t="shared" si="14"/>
        <v>0</v>
      </c>
      <c r="AF45" s="22">
        <f t="shared" si="15"/>
        <v>-27.644219388358831</v>
      </c>
      <c r="AG45" s="21">
        <f t="shared" si="16"/>
        <v>27.644219388358831</v>
      </c>
      <c r="AH45" s="21">
        <f>SUM(AE$3:AE45)</f>
        <v>189.91288748665502</v>
      </c>
      <c r="AI45" s="21">
        <f>SUM(AG$3:AG45)</f>
        <v>529.64268513689899</v>
      </c>
      <c r="AJ45" s="23">
        <f t="shared" si="17"/>
        <v>0</v>
      </c>
      <c r="AK45" cm="1">
        <f t="array" ref="AK45">_xlfn.IFS(K45&lt;4,1,K45&lt;8,2,K45&gt;8,3)</f>
        <v>2</v>
      </c>
      <c r="AL45" cm="1">
        <f t="array" ref="AL45">_xlfn.IFS(K45&lt;5,2000,K45&lt;6,3500,K45&lt;7,5000,K45&lt;8,6500)</f>
        <v>3500</v>
      </c>
      <c r="AM45">
        <f>MATCH(AJ45,$AW$10:$BJ$10,1)</f>
        <v>2</v>
      </c>
      <c r="AN45">
        <v>175</v>
      </c>
      <c r="AO45">
        <f>(AE45*AN45/760)/$AS$14</f>
        <v>0</v>
      </c>
      <c r="AP45">
        <f t="shared" si="18"/>
        <v>0</v>
      </c>
      <c r="AQ45" s="21">
        <f>SUM(AP$3:AP45)</f>
        <v>25.655191279898311</v>
      </c>
    </row>
    <row r="46" spans="1:43">
      <c r="A46">
        <f t="shared" si="2"/>
        <v>390.5</v>
      </c>
      <c r="B46">
        <f t="shared" si="3"/>
        <v>1.6119473762155725</v>
      </c>
      <c r="C46">
        <f t="shared" si="4"/>
        <v>59.86460105310411</v>
      </c>
      <c r="D46" s="4">
        <v>74.818431240899997</v>
      </c>
      <c r="E46">
        <f t="shared" si="5"/>
        <v>20.200976435043</v>
      </c>
      <c r="F46" s="4">
        <v>11.63</v>
      </c>
      <c r="G46" s="20">
        <f t="shared" si="6"/>
        <v>43.031000000000006</v>
      </c>
      <c r="J46" s="7">
        <v>5.6113823430675005</v>
      </c>
      <c r="K46">
        <f t="shared" si="7"/>
        <v>1.476184537690673</v>
      </c>
      <c r="L46">
        <f t="shared" si="19"/>
        <v>11.552804769452916</v>
      </c>
      <c r="M46">
        <f t="shared" si="20"/>
        <v>0.13104581736931931</v>
      </c>
      <c r="N46">
        <f>M46*$AU$2</f>
        <v>78.889582056330227</v>
      </c>
      <c r="O46">
        <v>131.1</v>
      </c>
      <c r="P46">
        <f t="shared" si="9"/>
        <v>13.11</v>
      </c>
      <c r="Q46">
        <f t="shared" si="10"/>
        <v>0.99000000000000021</v>
      </c>
      <c r="R46">
        <f t="shared" si="21"/>
        <v>0.25999999999999979</v>
      </c>
      <c r="S46">
        <f>(0.5*$AU$2*(J46*J46))/1000</f>
        <v>9.4777711518270049</v>
      </c>
      <c r="T46">
        <f>($AU$2*9.81*Q46)/1000</f>
        <v>5.8465638000000011</v>
      </c>
      <c r="U46">
        <f t="shared" si="0"/>
        <v>-6.1971830985915376E-2</v>
      </c>
      <c r="V46">
        <f t="shared" si="1"/>
        <v>-6.1892678862462663E-2</v>
      </c>
      <c r="W46">
        <f t="shared" si="11"/>
        <v>-3.5461892815776714</v>
      </c>
      <c r="X46">
        <f>($AU$2*9.81*SIN(W46))</f>
        <v>2324.7354317332165</v>
      </c>
      <c r="Y46">
        <f>(0.12*($AU$2*9.81))</f>
        <v>708.67439999999999</v>
      </c>
      <c r="Z46">
        <f t="shared" si="12"/>
        <v>3.1238522185589996</v>
      </c>
      <c r="AA46">
        <f>SUM(Z$3:Z46)</f>
        <v>43.527762116796445</v>
      </c>
      <c r="AB46">
        <v>0.5</v>
      </c>
      <c r="AC46" s="7">
        <f t="shared" si="13"/>
        <v>17.529129181574209</v>
      </c>
      <c r="AD46" s="21">
        <f>IF(AC46&gt;$AX$2,J46-1,AC46)</f>
        <v>4.6113823430675005</v>
      </c>
      <c r="AE46" s="21">
        <f t="shared" si="14"/>
        <v>4.6113823430675005</v>
      </c>
      <c r="AF46" s="22">
        <f t="shared" si="15"/>
        <v>0</v>
      </c>
      <c r="AG46" s="21">
        <f t="shared" si="16"/>
        <v>0</v>
      </c>
      <c r="AH46" s="21">
        <f>SUM(AE$3:AE46)</f>
        <v>194.52426982972253</v>
      </c>
      <c r="AI46" s="21">
        <f>SUM(AG$3:AG46)</f>
        <v>529.64268513689899</v>
      </c>
      <c r="AJ46" s="23">
        <f t="shared" si="17"/>
        <v>4.6113823430675005</v>
      </c>
      <c r="AK46" cm="1">
        <f t="array" ref="AK46">_xlfn.IFS(K46&lt;4,1,K46&lt;8,2,K46&gt;8,3)</f>
        <v>1</v>
      </c>
      <c r="AL46" cm="1">
        <f t="array" ref="AL46">_xlfn.IFS(K46&lt;5,2000,K46&lt;6,3500,K46&lt;7,5000,K46&lt;8,6500)</f>
        <v>2000</v>
      </c>
      <c r="AM46">
        <f>MATCH(AJ46,$AW$10:$BJ$10,1)</f>
        <v>6</v>
      </c>
      <c r="AN46">
        <v>175</v>
      </c>
      <c r="AO46">
        <f>(AE46*AN46/760)/$AS$14</f>
        <v>2.2426136083262924</v>
      </c>
      <c r="AP46">
        <f t="shared" si="18"/>
        <v>0.62294822453508114</v>
      </c>
      <c r="AQ46" s="21">
        <f>SUM(AP$3:AP46)</f>
        <v>26.278139504433391</v>
      </c>
    </row>
    <row r="47" spans="1:43">
      <c r="A47">
        <f t="shared" si="2"/>
        <v>399.375</v>
      </c>
      <c r="B47">
        <f t="shared" si="3"/>
        <v>1.5355569639992552</v>
      </c>
      <c r="C47">
        <f t="shared" si="4"/>
        <v>61.400158017103365</v>
      </c>
      <c r="D47" s="4">
        <v>79.305884701300002</v>
      </c>
      <c r="E47">
        <f t="shared" si="5"/>
        <v>21.412588869351001</v>
      </c>
      <c r="F47" s="4">
        <v>11.9</v>
      </c>
      <c r="G47" s="20">
        <f t="shared" si="6"/>
        <v>44.03</v>
      </c>
      <c r="J47" s="7">
        <v>5.9479413525975007</v>
      </c>
      <c r="K47">
        <f t="shared" si="7"/>
        <v>5.9479413525975007</v>
      </c>
      <c r="L47">
        <f t="shared" si="19"/>
        <v>12.980190523922362</v>
      </c>
      <c r="M47">
        <f t="shared" si="20"/>
        <v>0.21917715683660136</v>
      </c>
      <c r="N47">
        <f>M47*$AU$2</f>
        <v>131.94464841563402</v>
      </c>
      <c r="O47">
        <v>125.6</v>
      </c>
      <c r="P47">
        <f t="shared" si="9"/>
        <v>12.56</v>
      </c>
      <c r="Q47">
        <f t="shared" si="10"/>
        <v>0.44000000000000128</v>
      </c>
      <c r="R47">
        <f t="shared" si="21"/>
        <v>0.54999999999999893</v>
      </c>
      <c r="S47">
        <f>(0.5*$AU$2*(J47*J47))/1000</f>
        <v>10.648779906515756</v>
      </c>
      <c r="T47">
        <f>($AU$2*9.81*Q47)/1000</f>
        <v>2.5984728000000072</v>
      </c>
      <c r="U47">
        <f t="shared" si="0"/>
        <v>-2.4788732394366068E-2</v>
      </c>
      <c r="V47">
        <f t="shared" si="1"/>
        <v>-2.4783656861739885E-2</v>
      </c>
      <c r="W47">
        <f t="shared" si="11"/>
        <v>-1.4199989390781382</v>
      </c>
      <c r="X47">
        <f>($AU$2*9.81*SIN(W47))</f>
        <v>-5838.6006825062232</v>
      </c>
      <c r="Y47">
        <f>(0.12*($AU$2*9.81))</f>
        <v>708.67439999999999</v>
      </c>
      <c r="Z47">
        <f t="shared" si="12"/>
        <v>-4.9850014435666674</v>
      </c>
      <c r="AA47">
        <f>SUM(Z$3:Z47)</f>
        <v>38.542760673229779</v>
      </c>
      <c r="AB47">
        <v>0.5</v>
      </c>
      <c r="AC47" s="7">
        <f t="shared" si="13"/>
        <v>-29.650496228948416</v>
      </c>
      <c r="AD47" s="21">
        <f>IF(AC47&gt;$AX$2,J47-1,AC47)</f>
        <v>-29.650496228948416</v>
      </c>
      <c r="AE47" s="21">
        <f t="shared" si="14"/>
        <v>0</v>
      </c>
      <c r="AF47" s="22">
        <f t="shared" si="15"/>
        <v>-29.650496228948416</v>
      </c>
      <c r="AG47" s="21">
        <f t="shared" si="16"/>
        <v>29.650496228948416</v>
      </c>
      <c r="AH47" s="21">
        <f>SUM(AE$3:AE47)</f>
        <v>194.52426982972253</v>
      </c>
      <c r="AI47" s="21">
        <f>SUM(AG$3:AG47)</f>
        <v>559.29318136584743</v>
      </c>
      <c r="AJ47" s="23">
        <f t="shared" si="17"/>
        <v>0</v>
      </c>
      <c r="AK47" cm="1">
        <f t="array" ref="AK47">_xlfn.IFS(K47&lt;4,1,K47&lt;8,2,K47&gt;8,3)</f>
        <v>2</v>
      </c>
      <c r="AL47" cm="1">
        <f t="array" ref="AL47">_xlfn.IFS(K47&lt;5,2000,K47&lt;6,3500,K47&lt;7,5000,K47&lt;8,6500)</f>
        <v>3500</v>
      </c>
      <c r="AM47">
        <f>MATCH(AJ47,$AW$10:$BJ$10,1)</f>
        <v>2</v>
      </c>
      <c r="AN47">
        <v>175</v>
      </c>
      <c r="AO47">
        <f>(AE47*AN47/760)/$AS$14</f>
        <v>0</v>
      </c>
      <c r="AP47">
        <f t="shared" si="18"/>
        <v>0</v>
      </c>
      <c r="AQ47" s="21">
        <f>SUM(AP$3:AP47)</f>
        <v>26.278139504433391</v>
      </c>
    </row>
    <row r="48" spans="1:43">
      <c r="A48">
        <f t="shared" si="2"/>
        <v>408.25</v>
      </c>
      <c r="B48">
        <f t="shared" si="3"/>
        <v>1.4381649163036845</v>
      </c>
      <c r="C48">
        <f t="shared" si="4"/>
        <v>62.838322933407049</v>
      </c>
      <c r="D48" s="4">
        <v>85.255678429400007</v>
      </c>
      <c r="E48">
        <f t="shared" si="5"/>
        <v>23.019033175938002</v>
      </c>
      <c r="F48" s="4">
        <v>12.17</v>
      </c>
      <c r="G48" s="20">
        <f t="shared" si="6"/>
        <v>45.029000000000003</v>
      </c>
      <c r="J48" s="7">
        <v>6.3941758822050003</v>
      </c>
      <c r="K48">
        <f t="shared" si="7"/>
        <v>6.3941758822050003</v>
      </c>
      <c r="L48">
        <f t="shared" si="19"/>
        <v>15.000884524492701</v>
      </c>
      <c r="M48">
        <f t="shared" si="20"/>
        <v>0.31028050020465969</v>
      </c>
      <c r="N48">
        <f>M48*$AU$2</f>
        <v>186.78886112320512</v>
      </c>
      <c r="O48">
        <v>123.4</v>
      </c>
      <c r="P48">
        <f t="shared" si="9"/>
        <v>12.340000000000002</v>
      </c>
      <c r="Q48">
        <f t="shared" si="10"/>
        <v>0.22000000000000242</v>
      </c>
      <c r="R48">
        <f t="shared" si="21"/>
        <v>0.21999999999999886</v>
      </c>
      <c r="S48">
        <f>(0.5*$AU$2*(J48*J48))/1000</f>
        <v>12.306531048984199</v>
      </c>
      <c r="T48">
        <f>($AU$2*9.81*Q48)/1000</f>
        <v>1.2992364000000143</v>
      </c>
      <c r="U48">
        <f t="shared" si="0"/>
        <v>7.2112676056338088E-2</v>
      </c>
      <c r="V48">
        <f t="shared" si="1"/>
        <v>7.1988063607258373E-2</v>
      </c>
      <c r="W48">
        <f t="shared" si="11"/>
        <v>4.1246122200152211</v>
      </c>
      <c r="X48">
        <f>($AU$2*9.81*SIN(W48))</f>
        <v>-4914.5125619799874</v>
      </c>
      <c r="Y48">
        <f>(0.12*($AU$2*9.81))</f>
        <v>708.67439999999999</v>
      </c>
      <c r="Z48">
        <f t="shared" si="12"/>
        <v>-4.0040484163322896</v>
      </c>
      <c r="AA48">
        <f>SUM(Z$3:Z48)</f>
        <v>34.53871225689749</v>
      </c>
      <c r="AB48">
        <v>0.5</v>
      </c>
      <c r="AC48" s="7">
        <f t="shared" si="13"/>
        <v>-25.602589814893051</v>
      </c>
      <c r="AD48" s="21">
        <f>IF(AC48&gt;$AX$2,J48-1,AC48)</f>
        <v>-25.602589814893051</v>
      </c>
      <c r="AE48" s="21">
        <f t="shared" si="14"/>
        <v>0</v>
      </c>
      <c r="AF48" s="22">
        <f t="shared" si="15"/>
        <v>-25.602589814893051</v>
      </c>
      <c r="AG48" s="21">
        <f t="shared" si="16"/>
        <v>25.602589814893051</v>
      </c>
      <c r="AH48" s="21">
        <f>SUM(AE$3:AE48)</f>
        <v>194.52426982972253</v>
      </c>
      <c r="AI48" s="21">
        <f>SUM(AG$3:AG48)</f>
        <v>584.89577118074044</v>
      </c>
      <c r="AJ48" s="23">
        <f t="shared" si="17"/>
        <v>0</v>
      </c>
      <c r="AK48" cm="1">
        <f t="array" ref="AK48">_xlfn.IFS(K48&lt;4,1,K48&lt;8,2,K48&gt;8,3)</f>
        <v>2</v>
      </c>
      <c r="AL48" cm="1">
        <f t="array" ref="AL48">_xlfn.IFS(K48&lt;5,2000,K48&lt;6,3500,K48&lt;7,5000,K48&lt;8,6500)</f>
        <v>5000</v>
      </c>
      <c r="AM48">
        <f>MATCH(AJ48,$AW$10:$BJ$10,1)</f>
        <v>2</v>
      </c>
      <c r="AN48">
        <v>175</v>
      </c>
      <c r="AO48">
        <f>(AE48*AN48/760)/$AS$14</f>
        <v>0</v>
      </c>
      <c r="AP48">
        <f t="shared" si="18"/>
        <v>0</v>
      </c>
      <c r="AQ48" s="21">
        <f>SUM(AP$3:AP48)</f>
        <v>26.278139504433391</v>
      </c>
    </row>
    <row r="49" spans="1:43">
      <c r="A49">
        <f t="shared" si="2"/>
        <v>417.125</v>
      </c>
      <c r="B49">
        <f t="shared" si="3"/>
        <v>1.3513658654608276</v>
      </c>
      <c r="C49">
        <f t="shared" si="4"/>
        <v>64.189688798867877</v>
      </c>
      <c r="D49" s="4">
        <v>89.875773914899995</v>
      </c>
      <c r="E49">
        <f t="shared" si="5"/>
        <v>24.266458957023001</v>
      </c>
      <c r="F49" s="4">
        <v>12.44</v>
      </c>
      <c r="G49" s="20">
        <f t="shared" si="6"/>
        <v>46.027999999999999</v>
      </c>
      <c r="J49" s="7">
        <v>6.7406830436175005</v>
      </c>
      <c r="K49">
        <f t="shared" si="7"/>
        <v>1.0114993811694342</v>
      </c>
      <c r="L49">
        <f t="shared" si="19"/>
        <v>16.670764816496632</v>
      </c>
      <c r="M49">
        <f t="shared" si="20"/>
        <v>0.25641254546143072</v>
      </c>
      <c r="N49">
        <f>M49*$AU$2</f>
        <v>154.3603523677813</v>
      </c>
      <c r="O49">
        <v>129.80000000000001</v>
      </c>
      <c r="P49">
        <f t="shared" si="9"/>
        <v>12.980000000000002</v>
      </c>
      <c r="Q49">
        <f t="shared" si="10"/>
        <v>0.86000000000000298</v>
      </c>
      <c r="R49">
        <f t="shared" si="21"/>
        <v>0.64000000000000057</v>
      </c>
      <c r="S49">
        <f>(0.5*$AU$2*(J49*J49))/1000</f>
        <v>13.676479176248261</v>
      </c>
      <c r="T49">
        <f>($AU$2*9.81*Q49)/1000</f>
        <v>5.0788332000000169</v>
      </c>
      <c r="U49">
        <f t="shared" si="0"/>
        <v>3.8309859154929363E-2</v>
      </c>
      <c r="V49">
        <f t="shared" si="1"/>
        <v>3.8291133879717436E-2</v>
      </c>
      <c r="W49">
        <f t="shared" si="11"/>
        <v>2.1939203640782066</v>
      </c>
      <c r="X49">
        <f>($AU$2*9.81*SIN(W49))</f>
        <v>4795.7137173588726</v>
      </c>
      <c r="Y49">
        <f>(0.12*($AU$2*9.81))</f>
        <v>708.67439999999999</v>
      </c>
      <c r="Z49">
        <f t="shared" si="12"/>
        <v>5.67541923454315</v>
      </c>
      <c r="AA49">
        <f>SUM(Z$3:Z49)</f>
        <v>40.214131491440639</v>
      </c>
      <c r="AB49">
        <v>0.5</v>
      </c>
      <c r="AC49" s="7">
        <f t="shared" si="13"/>
        <v>38.256202199705626</v>
      </c>
      <c r="AD49" s="21">
        <f>IF(AC49&gt;$AX$2,J49-1,AC49)</f>
        <v>5.7406830436175005</v>
      </c>
      <c r="AE49" s="21">
        <f t="shared" si="14"/>
        <v>5.7406830436175005</v>
      </c>
      <c r="AF49" s="22">
        <f t="shared" si="15"/>
        <v>0</v>
      </c>
      <c r="AG49" s="21">
        <f t="shared" si="16"/>
        <v>0</v>
      </c>
      <c r="AH49" s="21">
        <f>SUM(AE$3:AE49)</f>
        <v>200.26495287334004</v>
      </c>
      <c r="AI49" s="21">
        <f>SUM(AG$3:AG49)</f>
        <v>584.89577118074044</v>
      </c>
      <c r="AJ49" s="23">
        <f t="shared" si="17"/>
        <v>5.7406830436175005</v>
      </c>
      <c r="AK49" cm="1">
        <f t="array" ref="AK49">_xlfn.IFS(K49&lt;4,1,K49&lt;8,2,K49&gt;8,3)</f>
        <v>1</v>
      </c>
      <c r="AL49" cm="1">
        <f t="array" ref="AL49">_xlfn.IFS(K49&lt;9,2000,K49&lt;10,3500,K49&lt;12,5000,K49&lt;14,6500)</f>
        <v>2000</v>
      </c>
      <c r="AM49">
        <f>MATCH(AJ49,$AW$10:$BJ$10,1)</f>
        <v>7</v>
      </c>
      <c r="AN49">
        <v>175</v>
      </c>
      <c r="AO49">
        <f>(AE49*AN49/760)/$AS$14</f>
        <v>2.7918166304424692</v>
      </c>
      <c r="AP49">
        <f t="shared" si="18"/>
        <v>0.77550461956735262</v>
      </c>
      <c r="AQ49" s="21">
        <f>SUM(AP$3:AP49)</f>
        <v>27.053644124000744</v>
      </c>
    </row>
    <row r="50" spans="1:43">
      <c r="A50">
        <f t="shared" si="2"/>
        <v>426</v>
      </c>
      <c r="B50">
        <f t="shared" si="3"/>
        <v>1.2912754805949531</v>
      </c>
      <c r="C50">
        <f t="shared" si="4"/>
        <v>65.480964279462825</v>
      </c>
      <c r="D50" s="4">
        <v>93.405539966800006</v>
      </c>
      <c r="E50">
        <f t="shared" si="5"/>
        <v>25.219495791036003</v>
      </c>
      <c r="F50" s="4">
        <v>12.71</v>
      </c>
      <c r="G50" s="20">
        <f t="shared" si="6"/>
        <v>47.027000000000008</v>
      </c>
      <c r="J50" s="7">
        <v>7.0054154975100005</v>
      </c>
      <c r="K50">
        <f t="shared" si="7"/>
        <v>7.0054154975100005</v>
      </c>
      <c r="L50">
        <f t="shared" si="19"/>
        <v>18.005928004811182</v>
      </c>
      <c r="M50">
        <f t="shared" si="20"/>
        <v>0.20501624778821487</v>
      </c>
      <c r="N50">
        <f>M50*$AU$2</f>
        <v>123.41978116850535</v>
      </c>
      <c r="O50">
        <v>133.19999999999999</v>
      </c>
      <c r="P50">
        <f t="shared" si="9"/>
        <v>13.32</v>
      </c>
      <c r="Q50">
        <f t="shared" si="10"/>
        <v>1.2000000000000011</v>
      </c>
      <c r="R50">
        <f t="shared" si="21"/>
        <v>0.33999999999999808</v>
      </c>
      <c r="S50">
        <f>(0.5*$AU$2*(J50*J50))/1000</f>
        <v>14.771829734118741</v>
      </c>
      <c r="T50">
        <f>($AU$2*9.81*Q50)/1000</f>
        <v>7.0867440000000057</v>
      </c>
      <c r="U50">
        <f t="shared" si="0"/>
        <v>-4.5070422535210307E-3</v>
      </c>
      <c r="V50">
        <f t="shared" si="1"/>
        <v>-4.5070117360640578E-3</v>
      </c>
      <c r="W50">
        <f t="shared" si="11"/>
        <v>-0.25823275069240065</v>
      </c>
      <c r="X50">
        <f>($AU$2*9.81*SIN(W50))</f>
        <v>-1508.1317582414797</v>
      </c>
      <c r="Y50">
        <f>(0.06*($AU$2*9.81))</f>
        <v>354.3372</v>
      </c>
      <c r="Z50">
        <f t="shared" si="12"/>
        <v>-1.0123688490681633</v>
      </c>
      <c r="AA50">
        <f>SUM(Z$3:Z50)</f>
        <v>39.201762642372479</v>
      </c>
      <c r="AB50">
        <v>0.3</v>
      </c>
      <c r="AC50" s="7">
        <f t="shared" si="13"/>
        <v>-7.0920644244584734</v>
      </c>
      <c r="AD50" s="21">
        <f>IF(AC50&gt;$AX$2,J50-1,AC50)</f>
        <v>-7.0920644244584734</v>
      </c>
      <c r="AE50" s="21">
        <f t="shared" si="14"/>
        <v>0</v>
      </c>
      <c r="AF50" s="22">
        <f t="shared" si="15"/>
        <v>-7.0920644244584734</v>
      </c>
      <c r="AG50" s="21">
        <f t="shared" si="16"/>
        <v>7.0920644244584734</v>
      </c>
      <c r="AH50" s="21">
        <f>SUM(AE$3:AE50)</f>
        <v>200.26495287334004</v>
      </c>
      <c r="AI50" s="21">
        <f>SUM(AG$3:AG50)</f>
        <v>591.98783560519894</v>
      </c>
      <c r="AJ50" s="23">
        <f t="shared" si="17"/>
        <v>0</v>
      </c>
      <c r="AK50" cm="1">
        <f t="array" ref="AK50">_xlfn.IFS(K50&lt;4,1,K50&lt;8,2,K50&gt;8,3)</f>
        <v>2</v>
      </c>
      <c r="AL50" cm="1">
        <f t="array" ref="AL50">_xlfn.IFS(K50&lt;5,2000,K50&lt;6,3500,K50&lt;7,5000,K50&lt;8,6500)</f>
        <v>6500</v>
      </c>
      <c r="AM50">
        <f>MATCH(AJ50,$AW$10:$BJ$10,1)</f>
        <v>2</v>
      </c>
      <c r="AN50">
        <v>175</v>
      </c>
      <c r="AO50">
        <f>(AE50*AN50/760)/$AS$14</f>
        <v>0</v>
      </c>
      <c r="AP50">
        <f t="shared" si="18"/>
        <v>0</v>
      </c>
      <c r="AQ50" s="21">
        <f>SUM(AP$3:AP50)</f>
        <v>27.053644124000744</v>
      </c>
    </row>
    <row r="51" spans="1:43">
      <c r="A51">
        <f t="shared" si="2"/>
        <v>434.875</v>
      </c>
      <c r="B51">
        <f t="shared" si="3"/>
        <v>1.3037616548050408</v>
      </c>
      <c r="C51">
        <f t="shared" si="4"/>
        <v>66.784725934267868</v>
      </c>
      <c r="D51" s="4">
        <v>88.120481905700004</v>
      </c>
      <c r="E51">
        <f t="shared" si="5"/>
        <v>23.792530114539002</v>
      </c>
      <c r="F51" s="4">
        <v>12.98</v>
      </c>
      <c r="G51" s="20">
        <f t="shared" si="6"/>
        <v>48.026000000000003</v>
      </c>
      <c r="J51" s="7">
        <v>6.6090361429274997</v>
      </c>
      <c r="K51">
        <f t="shared" si="7"/>
        <v>6.6090361429274997</v>
      </c>
      <c r="L51">
        <f t="shared" si="19"/>
        <v>16.025956721163723</v>
      </c>
      <c r="M51">
        <f t="shared" si="20"/>
        <v>-0.30402746784401541</v>
      </c>
      <c r="N51">
        <f>M51*$AU$2</f>
        <v>-183.02453564209728</v>
      </c>
      <c r="O51">
        <v>132.80000000000001</v>
      </c>
      <c r="P51">
        <f t="shared" si="9"/>
        <v>13.280000000000001</v>
      </c>
      <c r="Q51">
        <f t="shared" si="10"/>
        <v>1.1600000000000019</v>
      </c>
      <c r="R51">
        <f t="shared" si="21"/>
        <v>3.9999999999999147E-2</v>
      </c>
      <c r="S51">
        <f>(0.5*$AU$2*(J51*J51))/1000</f>
        <v>13.147486980295124</v>
      </c>
      <c r="T51">
        <f>($AU$2*9.81*Q51)/1000</f>
        <v>6.8505192000000115</v>
      </c>
      <c r="U51">
        <f t="shared" si="0"/>
        <v>-5.0704225352112595E-2</v>
      </c>
      <c r="V51">
        <f t="shared" si="1"/>
        <v>-5.066084011329134E-2</v>
      </c>
      <c r="W51">
        <f t="shared" si="11"/>
        <v>-2.9026523250786571</v>
      </c>
      <c r="X51">
        <f>($AU$2*9.81*SIN(W51))</f>
        <v>-1397.7019479692042</v>
      </c>
      <c r="Y51">
        <f>(0.06*($AU$2*9.81))</f>
        <v>354.3372</v>
      </c>
      <c r="Z51">
        <f t="shared" si="12"/>
        <v>-1.2103633268901379</v>
      </c>
      <c r="AA51">
        <f>SUM(Z$3:Z51)</f>
        <v>37.99139931548234</v>
      </c>
      <c r="AB51">
        <v>0.3</v>
      </c>
      <c r="AC51" s="7">
        <f t="shared" si="13"/>
        <v>-7.9993349734908934</v>
      </c>
      <c r="AD51" s="21">
        <f>IF(AC51&gt;$AX$2,J51-1,AC51)</f>
        <v>-7.9993349734908934</v>
      </c>
      <c r="AE51" s="21">
        <f t="shared" si="14"/>
        <v>0</v>
      </c>
      <c r="AF51" s="22">
        <f t="shared" si="15"/>
        <v>-7.9993349734908934</v>
      </c>
      <c r="AG51" s="21">
        <f t="shared" si="16"/>
        <v>7.9993349734908934</v>
      </c>
      <c r="AH51" s="21">
        <f>SUM(AE$3:AE51)</f>
        <v>200.26495287334004</v>
      </c>
      <c r="AI51" s="21">
        <f>SUM(AG$3:AG51)</f>
        <v>599.98717057868987</v>
      </c>
      <c r="AJ51" s="23">
        <f t="shared" si="17"/>
        <v>0</v>
      </c>
      <c r="AK51" cm="1">
        <f t="array" ref="AK51">_xlfn.IFS(K51&lt;4,1,K51&lt;8,2,K51&gt;8,3)</f>
        <v>2</v>
      </c>
      <c r="AL51" cm="1">
        <f t="array" ref="AL51">_xlfn.IFS(K51&lt;5,2000,K51&lt;6,3500,K51&lt;7,5000,K51&lt;8,6500)</f>
        <v>5000</v>
      </c>
      <c r="AM51">
        <f>MATCH(AJ51,$AW$10:$BJ$10,1)</f>
        <v>2</v>
      </c>
      <c r="AN51">
        <v>175</v>
      </c>
      <c r="AO51">
        <f>(AE51*AN51/760)/$AS$14</f>
        <v>0</v>
      </c>
      <c r="AP51">
        <f t="shared" si="18"/>
        <v>0</v>
      </c>
      <c r="AQ51" s="21">
        <f>SUM(AP$3:AP51)</f>
        <v>27.053644124000744</v>
      </c>
    </row>
    <row r="52" spans="1:43">
      <c r="A52">
        <f t="shared" si="2"/>
        <v>443.75</v>
      </c>
      <c r="B52">
        <f t="shared" si="3"/>
        <v>1.3775078022007077</v>
      </c>
      <c r="C52">
        <f t="shared" si="4"/>
        <v>68.162233736468579</v>
      </c>
      <c r="D52" s="4">
        <v>83.687377395400006</v>
      </c>
      <c r="E52">
        <f t="shared" si="5"/>
        <v>22.595591896758002</v>
      </c>
      <c r="F52" s="4">
        <v>13.24</v>
      </c>
      <c r="G52" s="20">
        <f t="shared" si="6"/>
        <v>48.988000000000007</v>
      </c>
      <c r="J52" s="7">
        <v>6.2765533046549997</v>
      </c>
      <c r="K52">
        <f t="shared" si="7"/>
        <v>6.2765533046549997</v>
      </c>
      <c r="L52">
        <f t="shared" si="19"/>
        <v>14.454070036587826</v>
      </c>
      <c r="M52">
        <f t="shared" si="20"/>
        <v>-0.24136548463923355</v>
      </c>
      <c r="N52">
        <f>M52*$AU$2</f>
        <v>-145.3020217528186</v>
      </c>
      <c r="O52">
        <v>128.30000000000001</v>
      </c>
      <c r="P52">
        <f t="shared" si="9"/>
        <v>12.830000000000002</v>
      </c>
      <c r="Q52">
        <f t="shared" si="10"/>
        <v>0.71000000000000263</v>
      </c>
      <c r="R52">
        <f t="shared" si="21"/>
        <v>0.44999999999999929</v>
      </c>
      <c r="S52">
        <f>(0.5*$AU$2*(J52*J52))/1000</f>
        <v>11.857931537238853</v>
      </c>
      <c r="T52">
        <f>($AU$2*9.81*Q52)/1000</f>
        <v>4.1929902000000157</v>
      </c>
      <c r="U52">
        <f t="shared" si="0"/>
        <v>-3.6056338028169245E-2</v>
      </c>
      <c r="V52">
        <f t="shared" si="1"/>
        <v>-3.6040725076613517E-2</v>
      </c>
      <c r="W52">
        <f t="shared" si="11"/>
        <v>-2.0649814374812654</v>
      </c>
      <c r="X52">
        <f>($AU$2*9.81*SIN(W52))</f>
        <v>-5199.0451414574054</v>
      </c>
      <c r="Y52">
        <f>(0.06*($AU$2*9.81))</f>
        <v>354.3372</v>
      </c>
      <c r="Z52">
        <f t="shared" si="12"/>
        <v>-4.9755558931736363</v>
      </c>
      <c r="AA52">
        <f>SUM(Z$3:Z52)</f>
        <v>33.015843422308706</v>
      </c>
      <c r="AB52">
        <v>0.3</v>
      </c>
      <c r="AC52" s="7">
        <f t="shared" si="13"/>
        <v>-31.229341783794645</v>
      </c>
      <c r="AD52" s="21">
        <f>IF(AC52&gt;$AX$2,J52-1,AC52)</f>
        <v>-31.229341783794645</v>
      </c>
      <c r="AE52" s="21">
        <f t="shared" si="14"/>
        <v>0</v>
      </c>
      <c r="AF52" s="22">
        <f t="shared" si="15"/>
        <v>-31.229341783794645</v>
      </c>
      <c r="AG52" s="21">
        <f t="shared" si="16"/>
        <v>31.229341783794645</v>
      </c>
      <c r="AH52" s="21">
        <f>SUM(AE$3:AE52)</f>
        <v>200.26495287334004</v>
      </c>
      <c r="AI52" s="21">
        <f>SUM(AG$3:AG52)</f>
        <v>631.21651236248454</v>
      </c>
      <c r="AJ52" s="23">
        <f t="shared" si="17"/>
        <v>0</v>
      </c>
      <c r="AK52" cm="1">
        <f t="array" ref="AK52">_xlfn.IFS(K52&lt;4,1,K52&lt;8,2,K52&gt;8,3)</f>
        <v>2</v>
      </c>
      <c r="AL52" cm="1">
        <f t="array" ref="AL52">_xlfn.IFS(K52&lt;5,2000,K52&lt;6,3500,K52&lt;7,5000,K52&lt;8,6500)</f>
        <v>5000</v>
      </c>
      <c r="AM52">
        <f>MATCH(AJ52,$AW$10:$BJ$10,1)</f>
        <v>2</v>
      </c>
      <c r="AN52">
        <v>175</v>
      </c>
      <c r="AO52">
        <f>(AE52*AN52/760)/$AS$14</f>
        <v>0</v>
      </c>
      <c r="AP52">
        <f t="shared" si="18"/>
        <v>0</v>
      </c>
      <c r="AQ52" s="21">
        <f>SUM(AP$3:AP52)</f>
        <v>27.053644124000744</v>
      </c>
    </row>
    <row r="53" spans="1:43">
      <c r="A53">
        <f t="shared" si="2"/>
        <v>452.625</v>
      </c>
      <c r="B53">
        <f t="shared" si="3"/>
        <v>1.4310781872851539</v>
      </c>
      <c r="C53">
        <f t="shared" si="4"/>
        <v>69.593311923753731</v>
      </c>
      <c r="D53" s="4">
        <v>81.689098026699995</v>
      </c>
      <c r="E53">
        <f t="shared" si="5"/>
        <v>22.056056467209</v>
      </c>
      <c r="F53" s="4">
        <v>13.52</v>
      </c>
      <c r="G53" s="20">
        <f t="shared" si="6"/>
        <v>50.024000000000001</v>
      </c>
      <c r="J53" s="7">
        <v>6.1266823520024998</v>
      </c>
      <c r="K53">
        <f t="shared" si="7"/>
        <v>0.83446646358478438</v>
      </c>
      <c r="L53">
        <f t="shared" si="19"/>
        <v>13.772045224074137</v>
      </c>
      <c r="M53">
        <f t="shared" si="20"/>
        <v>-0.10472590106122352</v>
      </c>
      <c r="N53">
        <f>M53*$AU$2</f>
        <v>-63.044992438856561</v>
      </c>
      <c r="O53">
        <v>125.1</v>
      </c>
      <c r="P53">
        <f t="shared" si="9"/>
        <v>12.51</v>
      </c>
      <c r="Q53">
        <f t="shared" si="10"/>
        <v>0.39000000000000057</v>
      </c>
      <c r="R53">
        <f t="shared" si="21"/>
        <v>0.32000000000000206</v>
      </c>
      <c r="S53">
        <f>(0.5*$AU$2*(J53*J53))/1000</f>
        <v>11.298407229344004</v>
      </c>
      <c r="T53">
        <f>($AU$2*9.81*Q53)/1000</f>
        <v>2.3031918000000031</v>
      </c>
      <c r="U53">
        <f t="shared" si="0"/>
        <v>2.478873239436627E-2</v>
      </c>
      <c r="V53">
        <f t="shared" si="1"/>
        <v>2.4783656861740087E-2</v>
      </c>
      <c r="W53">
        <f t="shared" si="11"/>
        <v>1.4199989390781498</v>
      </c>
      <c r="X53">
        <f>($AU$2*9.81*SIN(W53))</f>
        <v>5838.6006825062332</v>
      </c>
      <c r="Y53">
        <f>(0.06*($AU$2*9.81))</f>
        <v>354.3372</v>
      </c>
      <c r="Z53">
        <f t="shared" si="12"/>
        <v>6.1436649352914507</v>
      </c>
      <c r="AA53">
        <f>SUM(Z$3:Z53)</f>
        <v>39.15950835760016</v>
      </c>
      <c r="AB53">
        <v>0.3</v>
      </c>
      <c r="AC53" s="7">
        <f t="shared" si="13"/>
        <v>37.640283535666711</v>
      </c>
      <c r="AD53" s="21">
        <f>IF(AC53&gt;$AX$2,J53-1,AC53)</f>
        <v>5.1266823520024998</v>
      </c>
      <c r="AE53" s="21">
        <f t="shared" si="14"/>
        <v>5.1266823520024998</v>
      </c>
      <c r="AF53" s="22">
        <f t="shared" si="15"/>
        <v>0</v>
      </c>
      <c r="AG53" s="21">
        <f t="shared" si="16"/>
        <v>0</v>
      </c>
      <c r="AH53" s="21">
        <f>SUM(AE$3:AE53)</f>
        <v>205.39163522534253</v>
      </c>
      <c r="AI53" s="21">
        <f>SUM(AG$3:AG53)</f>
        <v>631.21651236248454</v>
      </c>
      <c r="AJ53" s="23">
        <f t="shared" si="17"/>
        <v>5.1266823520024998</v>
      </c>
      <c r="AK53" cm="1">
        <f t="array" ref="AK53">_xlfn.IFS(K53&lt;4,1,K53&lt;8,2,K53&gt;8,3)</f>
        <v>1</v>
      </c>
      <c r="AL53" cm="1">
        <f t="array" ref="AL53">_xlfn.IFS(K53&lt;1,2000,K53&lt;2,3500,K53&lt;3,5000,K53&lt;4,6500)</f>
        <v>2000</v>
      </c>
      <c r="AM53">
        <f>MATCH(AJ53,$AW$10:$BJ$10,1)</f>
        <v>7</v>
      </c>
      <c r="AN53">
        <v>175</v>
      </c>
      <c r="AO53">
        <f>(AE53*AN53/760)/$AS$14</f>
        <v>2.4932149955969845</v>
      </c>
      <c r="AP53">
        <f t="shared" si="18"/>
        <v>0.6925597209991623</v>
      </c>
      <c r="AQ53" s="21">
        <f>SUM(AP$3:AP53)</f>
        <v>27.746203844999908</v>
      </c>
    </row>
    <row r="54" spans="1:43">
      <c r="A54">
        <f t="shared" si="2"/>
        <v>461.5</v>
      </c>
      <c r="B54">
        <f t="shared" si="3"/>
        <v>1.4500316537106113</v>
      </c>
      <c r="C54">
        <f t="shared" si="4"/>
        <v>71.043343577464341</v>
      </c>
      <c r="D54" s="4">
        <v>81.525729774499993</v>
      </c>
      <c r="E54">
        <f t="shared" si="5"/>
        <v>22.011947039115</v>
      </c>
      <c r="F54" s="4">
        <v>13.79</v>
      </c>
      <c r="G54" s="20">
        <f t="shared" si="6"/>
        <v>51.022999999999996</v>
      </c>
      <c r="J54" s="7">
        <v>6.1144297330874995</v>
      </c>
      <c r="K54">
        <f t="shared" si="7"/>
        <v>6.1144297330874995</v>
      </c>
      <c r="L54">
        <f t="shared" si="19"/>
        <v>13.717015477541175</v>
      </c>
      <c r="M54">
        <f t="shared" si="20"/>
        <v>-8.4498975478542251E-3</v>
      </c>
      <c r="N54">
        <f>M54*$AU$2</f>
        <v>-5.0868383238082435</v>
      </c>
      <c r="O54">
        <v>127.3</v>
      </c>
      <c r="P54">
        <f t="shared" si="9"/>
        <v>12.73</v>
      </c>
      <c r="Q54">
        <f t="shared" si="10"/>
        <v>0.61000000000000121</v>
      </c>
      <c r="R54">
        <f t="shared" si="21"/>
        <v>0.22000000000000064</v>
      </c>
      <c r="S54">
        <f>(0.5*$AU$2*(J54*J54))/1000</f>
        <v>11.253261539220206</v>
      </c>
      <c r="T54">
        <f>($AU$2*9.81*Q54)/1000</f>
        <v>3.602428200000007</v>
      </c>
      <c r="U54">
        <f t="shared" si="0"/>
        <v>-1.3521126760563492E-2</v>
      </c>
      <c r="V54">
        <f t="shared" si="1"/>
        <v>-1.3520302869555439E-2</v>
      </c>
      <c r="W54">
        <f t="shared" si="11"/>
        <v>-0.77465629216414267</v>
      </c>
      <c r="X54">
        <f>($AU$2*9.81*SIN(W54))</f>
        <v>-4130.8068673975686</v>
      </c>
      <c r="Y54">
        <f>(0.06*($AU$2*9.81))</f>
        <v>354.3372</v>
      </c>
      <c r="Z54">
        <f t="shared" si="12"/>
        <v>-3.7678394902438357</v>
      </c>
      <c r="AA54">
        <f>SUM(Z$3:Z54)</f>
        <v>35.391668867356323</v>
      </c>
      <c r="AB54">
        <v>0.3</v>
      </c>
      <c r="AC54" s="7">
        <f t="shared" si="13"/>
        <v>-23.038189808648156</v>
      </c>
      <c r="AD54" s="21">
        <f>IF(AC54&gt;$AX$2,J54-1,AC54)</f>
        <v>-23.038189808648156</v>
      </c>
      <c r="AE54" s="21">
        <f t="shared" si="14"/>
        <v>0</v>
      </c>
      <c r="AF54" s="22">
        <f t="shared" si="15"/>
        <v>-23.038189808648156</v>
      </c>
      <c r="AG54" s="21">
        <f t="shared" si="16"/>
        <v>23.038189808648156</v>
      </c>
      <c r="AH54" s="21">
        <f>SUM(AE$3:AE54)</f>
        <v>205.39163522534253</v>
      </c>
      <c r="AI54" s="21">
        <f>SUM(AG$3:AG54)</f>
        <v>654.25470217113275</v>
      </c>
      <c r="AJ54" s="23">
        <f t="shared" si="17"/>
        <v>0</v>
      </c>
      <c r="AK54" cm="1">
        <f t="array" ref="AK54">_xlfn.IFS(K54&lt;4,1,K54&lt;8,2,K54&gt;8,3)</f>
        <v>2</v>
      </c>
      <c r="AL54" cm="1">
        <f t="array" ref="AL54">_xlfn.IFS(K54&lt;5,2000,K54&lt;6,3500,K54&lt;7,5000,K54&lt;8,6500)</f>
        <v>5000</v>
      </c>
      <c r="AM54">
        <f>MATCH(AJ54,$AW$10:$BJ$10,1)</f>
        <v>2</v>
      </c>
      <c r="AN54">
        <v>175</v>
      </c>
      <c r="AO54">
        <f>(AE54*AN54/760)/$AS$14</f>
        <v>0</v>
      </c>
      <c r="AP54">
        <f t="shared" si="18"/>
        <v>0</v>
      </c>
      <c r="AQ54" s="21">
        <f>SUM(AP$3:AP54)</f>
        <v>27.746203844999908</v>
      </c>
    </row>
    <row r="55" spans="1:43">
      <c r="A55">
        <f t="shared" si="2"/>
        <v>470.375</v>
      </c>
      <c r="B55">
        <f t="shared" si="3"/>
        <v>1.4518774143535873</v>
      </c>
      <c r="C55">
        <f t="shared" si="4"/>
        <v>72.495220991817931</v>
      </c>
      <c r="D55" s="4">
        <v>81.481604265499996</v>
      </c>
      <c r="E55">
        <f t="shared" si="5"/>
        <v>22.000033151684999</v>
      </c>
      <c r="F55" s="4">
        <v>14.06</v>
      </c>
      <c r="G55" s="20">
        <f t="shared" si="6"/>
        <v>52.022000000000006</v>
      </c>
      <c r="J55" s="7">
        <v>6.1111203199124997</v>
      </c>
      <c r="K55">
        <f t="shared" si="7"/>
        <v>5.0307861024375073</v>
      </c>
      <c r="L55">
        <f t="shared" si="19"/>
        <v>13.702170924995771</v>
      </c>
      <c r="M55">
        <f t="shared" si="20"/>
        <v>-2.2794026150432306E-3</v>
      </c>
      <c r="N55">
        <f>M55*$AU$2</f>
        <v>-1.3722003742560247</v>
      </c>
      <c r="O55">
        <v>126.1</v>
      </c>
      <c r="P55">
        <f t="shared" si="9"/>
        <v>12.61</v>
      </c>
      <c r="Q55">
        <f t="shared" si="10"/>
        <v>0.49000000000000021</v>
      </c>
      <c r="R55">
        <f t="shared" si="21"/>
        <v>0.12000000000000099</v>
      </c>
      <c r="S55">
        <f>(0.5*$AU$2*(J55*J55))/1000</f>
        <v>11.241083260898684</v>
      </c>
      <c r="T55">
        <f>($AU$2*9.81*Q55)/1000</f>
        <v>2.8937538000000012</v>
      </c>
      <c r="U55">
        <f t="shared" si="0"/>
        <v>5.295774647887351E-2</v>
      </c>
      <c r="V55">
        <f t="shared" si="1"/>
        <v>5.2908322547459516E-2</v>
      </c>
      <c r="W55">
        <f t="shared" si="11"/>
        <v>3.0314235830862821</v>
      </c>
      <c r="X55">
        <f>($AU$2*9.81*SIN(W55))</f>
        <v>649.30135123476589</v>
      </c>
      <c r="Y55">
        <f>(0.06*($AU$2*9.81))</f>
        <v>354.3372</v>
      </c>
      <c r="Z55">
        <f t="shared" si="12"/>
        <v>1.0159685217855057</v>
      </c>
      <c r="AA55">
        <f>SUM(Z$3:Z55)</f>
        <v>36.407637389141826</v>
      </c>
      <c r="AB55">
        <v>0.3</v>
      </c>
      <c r="AC55" s="7">
        <f t="shared" si="13"/>
        <v>6.2087058778748689</v>
      </c>
      <c r="AD55" s="21">
        <f>IF(AC55&gt;$AX$2,J55-1,AC55)</f>
        <v>5.1111203199124997</v>
      </c>
      <c r="AE55" s="21">
        <f t="shared" si="14"/>
        <v>5.1111203199124997</v>
      </c>
      <c r="AF55" s="22">
        <f t="shared" si="15"/>
        <v>0</v>
      </c>
      <c r="AG55" s="21">
        <f t="shared" si="16"/>
        <v>0</v>
      </c>
      <c r="AH55" s="21">
        <f>SUM(AE$3:AE55)</f>
        <v>210.50275554525501</v>
      </c>
      <c r="AI55" s="21">
        <f>SUM(AG$3:AG55)</f>
        <v>654.25470217113275</v>
      </c>
      <c r="AJ55" s="23">
        <f t="shared" si="17"/>
        <v>5.1111203199124997</v>
      </c>
      <c r="AK55" cm="1">
        <f t="array" ref="AK55">_xlfn.IFS(K55&lt;4,1,K55&lt;8,2,K55&gt;8,3)</f>
        <v>2</v>
      </c>
      <c r="AL55" cm="1">
        <f t="array" ref="AL55">_xlfn.IFS(K55&lt;5,2000,K55&lt;6,3500,K55&lt;7,5000,K55&lt;8,6500)</f>
        <v>3500</v>
      </c>
      <c r="AM55">
        <f>MATCH(AJ55,$AW$10:$BJ$10,1)</f>
        <v>7</v>
      </c>
      <c r="AN55">
        <v>175</v>
      </c>
      <c r="AO55">
        <f>(AE55*AN55/760)/$AS$14</f>
        <v>2.4856468474058651</v>
      </c>
      <c r="AP55">
        <f t="shared" si="18"/>
        <v>0.69045745761274024</v>
      </c>
      <c r="AQ55" s="21">
        <f>SUM(AP$3:AP55)</f>
        <v>28.436661302612649</v>
      </c>
    </row>
    <row r="56" spans="1:43">
      <c r="A56">
        <f t="shared" si="2"/>
        <v>479.25</v>
      </c>
      <c r="B56">
        <f t="shared" si="3"/>
        <v>1.4512131967032398</v>
      </c>
      <c r="C56">
        <f t="shared" si="4"/>
        <v>73.946434188521167</v>
      </c>
      <c r="D56" s="4">
        <v>81.600337935900001</v>
      </c>
      <c r="E56">
        <f t="shared" si="5"/>
        <v>22.032091242693003</v>
      </c>
      <c r="F56" s="4">
        <v>14.33</v>
      </c>
      <c r="G56" s="20">
        <f t="shared" si="6"/>
        <v>53.021000000000001</v>
      </c>
      <c r="J56" s="7">
        <v>6.1200253451925013</v>
      </c>
      <c r="K56">
        <f t="shared" si="7"/>
        <v>6.1200253451925013</v>
      </c>
      <c r="L56">
        <f t="shared" si="19"/>
        <v>13.742133181845503</v>
      </c>
      <c r="M56">
        <f t="shared" si="20"/>
        <v>6.136262611331952E-3</v>
      </c>
      <c r="N56">
        <f>M56*$AU$2</f>
        <v>3.6940300920218352</v>
      </c>
      <c r="O56">
        <v>130.80000000000001</v>
      </c>
      <c r="P56">
        <f t="shared" si="9"/>
        <v>13.080000000000002</v>
      </c>
      <c r="Q56">
        <f t="shared" si="10"/>
        <v>0.96000000000000263</v>
      </c>
      <c r="R56">
        <f t="shared" si="21"/>
        <v>0.47000000000000242</v>
      </c>
      <c r="S56">
        <f>(0.5*$AU$2*(J56*J56))/1000</f>
        <v>11.273867777965377</v>
      </c>
      <c r="T56">
        <f>($AU$2*9.81*Q56)/1000</f>
        <v>5.6693952000000154</v>
      </c>
      <c r="U56">
        <f t="shared" si="0"/>
        <v>7.549295774647867E-2</v>
      </c>
      <c r="V56">
        <f t="shared" si="1"/>
        <v>7.5350030019339931E-2</v>
      </c>
      <c r="W56">
        <f t="shared" si="11"/>
        <v>4.3172387062922351</v>
      </c>
      <c r="X56">
        <f>($AU$2*9.81*SIN(W56))</f>
        <v>-5450.5254063648517</v>
      </c>
      <c r="Y56">
        <f>(0.06*($AU$2*9.81))</f>
        <v>354.3372</v>
      </c>
      <c r="Z56">
        <f t="shared" si="12"/>
        <v>-5.0787520430909847</v>
      </c>
      <c r="AA56">
        <f>SUM(Z$3:Z56)</f>
        <v>31.328885346050839</v>
      </c>
      <c r="AB56">
        <v>0.3</v>
      </c>
      <c r="AC56" s="7">
        <f t="shared" si="13"/>
        <v>-31.082091225665025</v>
      </c>
      <c r="AD56" s="21">
        <f>IF(AC56&gt;$AX$2,J56-1,AC56)</f>
        <v>-31.082091225665025</v>
      </c>
      <c r="AE56" s="21">
        <f t="shared" si="14"/>
        <v>0</v>
      </c>
      <c r="AF56" s="22">
        <f t="shared" si="15"/>
        <v>-31.082091225665025</v>
      </c>
      <c r="AG56" s="21">
        <f t="shared" si="16"/>
        <v>31.082091225665025</v>
      </c>
      <c r="AH56" s="21">
        <f>SUM(AE$3:AE56)</f>
        <v>210.50275554525501</v>
      </c>
      <c r="AI56" s="21">
        <f>SUM(AG$3:AG56)</f>
        <v>685.33679339679782</v>
      </c>
      <c r="AJ56" s="23">
        <f t="shared" si="17"/>
        <v>0</v>
      </c>
      <c r="AK56" cm="1">
        <f t="array" ref="AK56">_xlfn.IFS(K56&lt;4,1,K56&lt;8,2,K56&gt;8,3)</f>
        <v>2</v>
      </c>
      <c r="AL56" cm="1">
        <f t="array" ref="AL56">_xlfn.IFS(K56&lt;5,2000,K56&lt;6,3500,K56&lt;7,5000,K56&lt;8,6500)</f>
        <v>5000</v>
      </c>
      <c r="AM56">
        <f>MATCH(AJ56,$AW$10:$BJ$10,1)</f>
        <v>2</v>
      </c>
      <c r="AN56">
        <v>175</v>
      </c>
      <c r="AO56">
        <f>(AE56*AN56/760)/$AS$14</f>
        <v>0</v>
      </c>
      <c r="AP56">
        <f t="shared" si="18"/>
        <v>0</v>
      </c>
      <c r="AQ56" s="21">
        <f>SUM(AP$3:AP56)</f>
        <v>28.436661302612649</v>
      </c>
    </row>
    <row r="57" spans="1:43">
      <c r="A57">
        <f t="shared" si="2"/>
        <v>488.125</v>
      </c>
      <c r="B57">
        <f t="shared" si="3"/>
        <v>1.4461208238402339</v>
      </c>
      <c r="C57">
        <f t="shared" si="4"/>
        <v>75.392555012361399</v>
      </c>
      <c r="D57" s="4">
        <v>82.0558813544</v>
      </c>
      <c r="E57">
        <f t="shared" si="5"/>
        <v>22.155087965688001</v>
      </c>
      <c r="F57" s="4">
        <v>14.6</v>
      </c>
      <c r="G57" s="20">
        <f t="shared" si="6"/>
        <v>54.02</v>
      </c>
      <c r="J57" s="7">
        <v>6.1541911015800004</v>
      </c>
      <c r="K57">
        <f t="shared" si="7"/>
        <v>1.422295734758511</v>
      </c>
      <c r="L57">
        <f t="shared" si="19"/>
        <v>13.895995591307814</v>
      </c>
      <c r="M57">
        <f t="shared" si="20"/>
        <v>2.3625796561569826E-2</v>
      </c>
      <c r="N57">
        <f>M57*$AU$2</f>
        <v>14.222729530065035</v>
      </c>
      <c r="O57">
        <v>137.5</v>
      </c>
      <c r="P57">
        <f t="shared" si="9"/>
        <v>13.75</v>
      </c>
      <c r="Q57">
        <f t="shared" si="10"/>
        <v>1.6300000000000008</v>
      </c>
      <c r="R57">
        <f t="shared" si="21"/>
        <v>0.66999999999999815</v>
      </c>
      <c r="S57">
        <f>(0.5*$AU$2*(J57*J57))/1000</f>
        <v>11.400094502544704</v>
      </c>
      <c r="T57">
        <f>($AU$2*9.81*Q57)/1000</f>
        <v>9.626160600000004</v>
      </c>
      <c r="U57">
        <f t="shared" si="0"/>
        <v>1.0140845070422719E-2</v>
      </c>
      <c r="V57">
        <f t="shared" si="1"/>
        <v>1.0140497474724787E-2</v>
      </c>
      <c r="W57">
        <f t="shared" si="11"/>
        <v>0.58100770746479946</v>
      </c>
      <c r="X57">
        <f>($AU$2*9.81*SIN(W57))</f>
        <v>3241.397381627889</v>
      </c>
      <c r="Y57">
        <f>(0.06*($AU$2*9.81))</f>
        <v>354.3372</v>
      </c>
      <c r="Z57">
        <f t="shared" si="12"/>
        <v>3.6238533067492615</v>
      </c>
      <c r="AA57">
        <f>SUM(Z$3:Z57)</f>
        <v>34.9527386528001</v>
      </c>
      <c r="AB57">
        <v>0.3</v>
      </c>
      <c r="AC57" s="7">
        <f t="shared" si="13"/>
        <v>22.301885773827564</v>
      </c>
      <c r="AD57" s="21">
        <f>IF(AC57&gt;$AX$2,J57-1,AC57)</f>
        <v>5.1541911015800004</v>
      </c>
      <c r="AE57" s="21">
        <f t="shared" si="14"/>
        <v>5.1541911015800004</v>
      </c>
      <c r="AF57" s="22">
        <f t="shared" si="15"/>
        <v>0</v>
      </c>
      <c r="AG57" s="21">
        <f t="shared" si="16"/>
        <v>0</v>
      </c>
      <c r="AH57" s="21">
        <f>SUM(AE$3:AE57)</f>
        <v>215.65694664683502</v>
      </c>
      <c r="AI57" s="21">
        <f>SUM(AG$3:AG57)</f>
        <v>685.33679339679782</v>
      </c>
      <c r="AJ57" s="23">
        <f t="shared" si="17"/>
        <v>5.1541911015800004</v>
      </c>
      <c r="AK57" cm="1">
        <f t="array" ref="AK57">_xlfn.IFS(K57&lt;4,1,K57&lt;8,2,K57&gt;8,3)</f>
        <v>1</v>
      </c>
      <c r="AL57" cm="1">
        <f t="array" ref="AL57">_xlfn.IFS(K57&lt;5,2000,K57&lt;6,3500,K57&lt;7,5000,K57&lt;8,6500)</f>
        <v>2000</v>
      </c>
      <c r="AM57">
        <f>MATCH(AJ57,$AW$10:$BJ$10,1)</f>
        <v>7</v>
      </c>
      <c r="AN57">
        <v>175</v>
      </c>
      <c r="AO57">
        <f>(AE57*AN57/760)/$AS$14</f>
        <v>2.5065930873623068</v>
      </c>
      <c r="AP57">
        <f t="shared" si="18"/>
        <v>0.69627585760064081</v>
      </c>
      <c r="AQ57" s="21">
        <f>SUM(AP$3:AP57)</f>
        <v>29.132937160213288</v>
      </c>
    </row>
    <row r="58" spans="1:43">
      <c r="A58">
        <f t="shared" si="2"/>
        <v>497</v>
      </c>
      <c r="B58">
        <f t="shared" si="3"/>
        <v>1.4290812225970724</v>
      </c>
      <c r="C58">
        <f t="shared" si="4"/>
        <v>76.821636234958476</v>
      </c>
      <c r="D58" s="4">
        <v>83.551687287899995</v>
      </c>
      <c r="E58">
        <f t="shared" si="5"/>
        <v>22.558955567733001</v>
      </c>
      <c r="F58" s="4">
        <v>14.87</v>
      </c>
      <c r="G58" s="20">
        <f t="shared" si="6"/>
        <v>55.018999999999998</v>
      </c>
      <c r="J58" s="7">
        <v>6.2663765465925003</v>
      </c>
      <c r="K58">
        <f t="shared" si="7"/>
        <v>6.2663765465925003</v>
      </c>
      <c r="L58">
        <f t="shared" si="19"/>
        <v>14.40723658618986</v>
      </c>
      <c r="M58">
        <f t="shared" si="20"/>
        <v>7.8501797685526051E-2</v>
      </c>
      <c r="N58">
        <f>M58*$AU$2</f>
        <v>47.25808220668668</v>
      </c>
      <c r="O58">
        <v>138.4</v>
      </c>
      <c r="P58">
        <f t="shared" si="9"/>
        <v>13.840000000000002</v>
      </c>
      <c r="Q58">
        <f t="shared" si="10"/>
        <v>1.7200000000000024</v>
      </c>
      <c r="R58">
        <f t="shared" si="21"/>
        <v>9.0000000000001634E-2</v>
      </c>
      <c r="S58">
        <f>(0.5*$AU$2*(J58*J58))/1000</f>
        <v>11.819509982129048</v>
      </c>
      <c r="T58">
        <f>($AU$2*9.81*Q58)/1000</f>
        <v>10.157666400000014</v>
      </c>
      <c r="U58">
        <f t="shared" si="0"/>
        <v>-3.3802816901408531E-2</v>
      </c>
      <c r="V58">
        <f t="shared" si="1"/>
        <v>-3.3789951011755859E-2</v>
      </c>
      <c r="W58">
        <f t="shared" si="11"/>
        <v>-1.9360215829274166</v>
      </c>
      <c r="X58">
        <f>($AU$2*9.81*SIN(W58))</f>
        <v>-5516.1049849768833</v>
      </c>
      <c r="Y58">
        <f>(0.06*($AU$2*9.81))</f>
        <v>354.3372</v>
      </c>
      <c r="Z58">
        <f t="shared" si="12"/>
        <v>-5.1001024661840066</v>
      </c>
      <c r="AA58">
        <f>SUM(Z$3:Z58)</f>
        <v>29.852636186616095</v>
      </c>
      <c r="AB58">
        <v>0.3</v>
      </c>
      <c r="AC58" s="7">
        <f t="shared" si="13"/>
        <v>-31.959162479314031</v>
      </c>
      <c r="AD58" s="21">
        <f>IF(AC58&gt;$AX$2,J58-1,AC58)</f>
        <v>-31.959162479314031</v>
      </c>
      <c r="AE58" s="21">
        <f t="shared" si="14"/>
        <v>0</v>
      </c>
      <c r="AF58" s="22">
        <f t="shared" si="15"/>
        <v>-31.959162479314031</v>
      </c>
      <c r="AG58" s="21">
        <f t="shared" si="16"/>
        <v>31.959162479314031</v>
      </c>
      <c r="AH58" s="21">
        <f>SUM(AE$3:AE58)</f>
        <v>215.65694664683502</v>
      </c>
      <c r="AI58" s="21">
        <f>SUM(AG$3:AG58)</f>
        <v>717.29595587611186</v>
      </c>
      <c r="AJ58" s="23">
        <f t="shared" si="17"/>
        <v>0</v>
      </c>
      <c r="AK58" cm="1">
        <f t="array" ref="AK58">_xlfn.IFS(K58&lt;4,1,K58&lt;8,2,K58&gt;8,3)</f>
        <v>2</v>
      </c>
      <c r="AL58" cm="1">
        <f t="array" ref="AL58">_xlfn.IFS(K58&lt;5,2000,K58&lt;6,3500,K58&lt;7,5000,K58&lt;8,6500)</f>
        <v>5000</v>
      </c>
      <c r="AM58">
        <f>MATCH(AJ58,$AW$10:$BJ$10,1)</f>
        <v>2</v>
      </c>
      <c r="AN58">
        <v>175</v>
      </c>
      <c r="AO58">
        <f>(AE58*AN58/760)/$AS$14</f>
        <v>0</v>
      </c>
      <c r="AP58">
        <f t="shared" si="18"/>
        <v>0</v>
      </c>
      <c r="AQ58" s="21">
        <f>SUM(AP$3:AP58)</f>
        <v>29.132937160213288</v>
      </c>
    </row>
    <row r="59" spans="1:43">
      <c r="A59">
        <f t="shared" si="2"/>
        <v>505.875</v>
      </c>
      <c r="B59">
        <f t="shared" si="3"/>
        <v>1.3898125572255713</v>
      </c>
      <c r="C59">
        <f t="shared" si="4"/>
        <v>78.211448792184044</v>
      </c>
      <c r="D59" s="4">
        <v>86.735065005600006</v>
      </c>
      <c r="E59">
        <f t="shared" si="5"/>
        <v>23.418467551512002</v>
      </c>
      <c r="F59" s="4">
        <v>15.14</v>
      </c>
      <c r="G59" s="20">
        <f t="shared" si="6"/>
        <v>56.018000000000008</v>
      </c>
      <c r="J59" s="7">
        <v>6.5051298754200007</v>
      </c>
      <c r="K59">
        <f t="shared" si="7"/>
        <v>6.5051298754200007</v>
      </c>
      <c r="L59">
        <f t="shared" si="19"/>
        <v>15.526002621992424</v>
      </c>
      <c r="M59">
        <f t="shared" si="20"/>
        <v>0.17178815055759381</v>
      </c>
      <c r="N59">
        <f>M59*$AU$2</f>
        <v>103.41646663567147</v>
      </c>
      <c r="O59">
        <v>135.4</v>
      </c>
      <c r="P59">
        <f t="shared" si="9"/>
        <v>13.540000000000001</v>
      </c>
      <c r="Q59">
        <f t="shared" si="10"/>
        <v>1.4200000000000017</v>
      </c>
      <c r="R59">
        <f t="shared" si="21"/>
        <v>0.30000000000000071</v>
      </c>
      <c r="S59">
        <f>(0.5*$AU$2*(J59*J59))/1000</f>
        <v>12.737331123520631</v>
      </c>
      <c r="T59">
        <f>($AU$2*9.81*Q59)/1000</f>
        <v>8.38598040000001</v>
      </c>
      <c r="U59">
        <f t="shared" si="0"/>
        <v>-3.3802816901408329E-2</v>
      </c>
      <c r="V59">
        <f t="shared" si="1"/>
        <v>-3.3789951011755658E-2</v>
      </c>
      <c r="W59">
        <f t="shared" si="11"/>
        <v>-1.936021582927405</v>
      </c>
      <c r="X59">
        <f>($AU$2*9.81*SIN(W59))</f>
        <v>-5516.1049849769079</v>
      </c>
      <c r="Y59">
        <f>(0.06*($AU$2*9.81))</f>
        <v>354.3372</v>
      </c>
      <c r="Z59">
        <f t="shared" si="12"/>
        <v>-5.0428253157192442</v>
      </c>
      <c r="AA59">
        <f>SUM(Z$3:Z59)</f>
        <v>24.80981087089685</v>
      </c>
      <c r="AB59">
        <v>0.3</v>
      </c>
      <c r="AC59" s="7">
        <f t="shared" si="13"/>
        <v>-32.804233617809551</v>
      </c>
      <c r="AD59" s="21">
        <f>IF(AC59&gt;$AX$2,J59-1,AC59)</f>
        <v>-32.804233617809551</v>
      </c>
      <c r="AE59" s="21">
        <f t="shared" si="14"/>
        <v>0</v>
      </c>
      <c r="AF59" s="22">
        <f t="shared" si="15"/>
        <v>-32.804233617809551</v>
      </c>
      <c r="AG59" s="21">
        <f t="shared" si="16"/>
        <v>32.804233617809551</v>
      </c>
      <c r="AH59" s="21">
        <f>SUM(AE$3:AE59)</f>
        <v>215.65694664683502</v>
      </c>
      <c r="AI59" s="21">
        <f>SUM(AG$3:AG59)</f>
        <v>750.10018949392145</v>
      </c>
      <c r="AJ59" s="23">
        <f t="shared" si="17"/>
        <v>0</v>
      </c>
      <c r="AK59" cm="1">
        <f t="array" ref="AK59">_xlfn.IFS(K59&lt;4,1,K59&lt;8,2,K59&gt;8,3)</f>
        <v>2</v>
      </c>
      <c r="AL59" cm="1">
        <f t="array" ref="AL59">_xlfn.IFS(K59&lt;5,2000,K59&lt;6,3500,K59&lt;7,5000,K59&lt;8,6500)</f>
        <v>5000</v>
      </c>
      <c r="AM59">
        <f>MATCH(AJ59,$AW$10:$BJ$10,1)</f>
        <v>2</v>
      </c>
      <c r="AN59">
        <v>175</v>
      </c>
      <c r="AO59">
        <f>(AE59*AN59/760)/$AS$14</f>
        <v>0</v>
      </c>
      <c r="AP59">
        <f t="shared" si="18"/>
        <v>0</v>
      </c>
      <c r="AQ59" s="21">
        <f>SUM(AP$3:AP59)</f>
        <v>29.132937160213288</v>
      </c>
    </row>
    <row r="60" spans="1:43">
      <c r="A60">
        <f t="shared" si="2"/>
        <v>514.75</v>
      </c>
      <c r="B60">
        <f t="shared" si="3"/>
        <v>1.3289178974553433</v>
      </c>
      <c r="C60">
        <f t="shared" si="4"/>
        <v>79.540366689639384</v>
      </c>
      <c r="D60" s="4">
        <v>91.354692924399998</v>
      </c>
      <c r="E60">
        <f t="shared" si="5"/>
        <v>24.665767089588002</v>
      </c>
      <c r="F60" s="4">
        <v>15.41</v>
      </c>
      <c r="G60" s="20">
        <f t="shared" si="6"/>
        <v>57.017000000000003</v>
      </c>
      <c r="J60" s="7">
        <v>6.8516019693299999</v>
      </c>
      <c r="K60">
        <f t="shared" si="7"/>
        <v>1.3728329951351792</v>
      </c>
      <c r="L60">
        <f t="shared" si="19"/>
        <v>17.2239185384739</v>
      </c>
      <c r="M60">
        <f t="shared" si="20"/>
        <v>0.26071745634055821</v>
      </c>
      <c r="N60">
        <f>M60*$AU$2</f>
        <v>156.95190871701604</v>
      </c>
      <c r="O60">
        <v>132.4</v>
      </c>
      <c r="P60">
        <f t="shared" si="9"/>
        <v>13.240000000000002</v>
      </c>
      <c r="Q60">
        <f t="shared" si="10"/>
        <v>1.1200000000000028</v>
      </c>
      <c r="R60">
        <f t="shared" si="21"/>
        <v>0.29999999999999893</v>
      </c>
      <c r="S60">
        <f>(0.5*$AU$2*(J60*J60))/1000</f>
        <v>14.130279313384147</v>
      </c>
      <c r="T60">
        <f>($AU$2*9.81*Q60)/1000</f>
        <v>6.6142944000000163</v>
      </c>
      <c r="U60">
        <f t="shared" si="0"/>
        <v>-9.8028169014084621E-2</v>
      </c>
      <c r="V60">
        <f t="shared" si="1"/>
        <v>-9.7715965841130792E-2</v>
      </c>
      <c r="W60">
        <f t="shared" si="11"/>
        <v>-5.598712433741313</v>
      </c>
      <c r="X60">
        <f>($AU$2*9.81*SIN(W60))</f>
        <v>3733.9150976992191</v>
      </c>
      <c r="Y60">
        <f>(0.06*($AU$2*9.81))</f>
        <v>354.3372</v>
      </c>
      <c r="Z60">
        <f t="shared" si="12"/>
        <v>4.2624281249547096</v>
      </c>
      <c r="AA60">
        <f>SUM(Z$3:Z60)</f>
        <v>29.07223899585156</v>
      </c>
      <c r="AB60">
        <v>0.3</v>
      </c>
      <c r="AC60" s="7">
        <f t="shared" si="13"/>
        <v>29.204460935067267</v>
      </c>
      <c r="AD60" s="21">
        <f>IF(AC60&gt;$AX$2,J60-1,AC60)</f>
        <v>5.8516019693299999</v>
      </c>
      <c r="AE60" s="21">
        <f t="shared" si="14"/>
        <v>5.8516019693299999</v>
      </c>
      <c r="AF60" s="22">
        <f t="shared" si="15"/>
        <v>0</v>
      </c>
      <c r="AG60" s="21">
        <f t="shared" si="16"/>
        <v>0</v>
      </c>
      <c r="AH60" s="21">
        <f>SUM(AE$3:AE60)</f>
        <v>221.50854861616503</v>
      </c>
      <c r="AI60" s="21">
        <f>SUM(AG$3:AG60)</f>
        <v>750.10018949392145</v>
      </c>
      <c r="AJ60" s="23">
        <f t="shared" si="17"/>
        <v>5.8516019693299999</v>
      </c>
      <c r="AK60" cm="1">
        <f t="array" ref="AK60">_xlfn.IFS(K60&lt;4,1,K60&lt;8,2,K60&gt;8,3)</f>
        <v>1</v>
      </c>
      <c r="AL60" cm="1">
        <f t="array" ref="AL60">_xlfn.IFS(K60&lt;5,2000,K60&lt;6,3500,K60&lt;7,5000,K60&lt;8,6500)</f>
        <v>2000</v>
      </c>
      <c r="AM60">
        <f>MATCH(AJ60,$AW$10:$BJ$10,1)</f>
        <v>7</v>
      </c>
      <c r="AN60">
        <v>175</v>
      </c>
      <c r="AO60">
        <f>(AE60*AN60/760)/$AS$14</f>
        <v>2.8457588702564673</v>
      </c>
      <c r="AP60">
        <f t="shared" si="18"/>
        <v>0.79048857507124093</v>
      </c>
      <c r="AQ60" s="21">
        <f>SUM(AP$3:AP60)</f>
        <v>29.923425735284528</v>
      </c>
    </row>
    <row r="61" spans="1:43">
      <c r="A61">
        <f t="shared" si="2"/>
        <v>523.625</v>
      </c>
      <c r="B61">
        <f t="shared" si="3"/>
        <v>1.2709162812988875</v>
      </c>
      <c r="C61">
        <f t="shared" si="4"/>
        <v>80.811282970938265</v>
      </c>
      <c r="D61" s="4">
        <v>94.862660766900007</v>
      </c>
      <c r="E61">
        <f t="shared" si="5"/>
        <v>25.612918407063002</v>
      </c>
      <c r="F61" s="4">
        <v>15.68</v>
      </c>
      <c r="G61" s="20">
        <f t="shared" si="6"/>
        <v>58.015999999999998</v>
      </c>
      <c r="J61" s="7">
        <v>7.1146995575175014</v>
      </c>
      <c r="K61">
        <f t="shared" si="7"/>
        <v>3.7417850315933849</v>
      </c>
      <c r="L61">
        <f t="shared" si="19"/>
        <v>18.572092679323106</v>
      </c>
      <c r="M61">
        <f t="shared" si="20"/>
        <v>0.20701409845707136</v>
      </c>
      <c r="N61">
        <f>M61*$AU$2</f>
        <v>124.62248727115696</v>
      </c>
      <c r="O61">
        <v>123.7</v>
      </c>
      <c r="P61">
        <f t="shared" si="9"/>
        <v>12.370000000000001</v>
      </c>
      <c r="Q61">
        <f t="shared" si="10"/>
        <v>0.25000000000000178</v>
      </c>
      <c r="R61">
        <f t="shared" si="21"/>
        <v>0.87000000000000099</v>
      </c>
      <c r="S61">
        <f>(0.5*$AU$2*(J61*J61))/1000</f>
        <v>15.236303887915659</v>
      </c>
      <c r="T61">
        <f>($AU$2*9.81*Q61)/1000</f>
        <v>1.4764050000000104</v>
      </c>
      <c r="U61">
        <f t="shared" si="0"/>
        <v>3.3802816901407728E-3</v>
      </c>
      <c r="V61">
        <f t="shared" si="1"/>
        <v>3.3802688155199624E-3</v>
      </c>
      <c r="W61">
        <f t="shared" si="11"/>
        <v>0.19367513674897971</v>
      </c>
      <c r="X61">
        <f>($AU$2*9.81*SIN(W61))</f>
        <v>1136.634668920487</v>
      </c>
      <c r="Y61">
        <f>(0.06*($AU$2*9.81))</f>
        <v>354.3372</v>
      </c>
      <c r="Z61">
        <f t="shared" si="12"/>
        <v>1.6341664488709671</v>
      </c>
      <c r="AA61">
        <f>SUM(Z$3:Z61)</f>
        <v>30.706405444722527</v>
      </c>
      <c r="AB61">
        <v>0.3</v>
      </c>
      <c r="AC61" s="7">
        <f t="shared" si="13"/>
        <v>11.626603310692216</v>
      </c>
      <c r="AD61" s="21">
        <f>IF(AC61&gt;$AX$2,J61-1,AC61)</f>
        <v>6.1146995575175014</v>
      </c>
      <c r="AE61" s="21">
        <f t="shared" si="14"/>
        <v>6.1146995575175014</v>
      </c>
      <c r="AF61" s="22">
        <f t="shared" si="15"/>
        <v>0</v>
      </c>
      <c r="AG61" s="21">
        <f t="shared" si="16"/>
        <v>0</v>
      </c>
      <c r="AH61" s="21">
        <f>SUM(AE$3:AE61)</f>
        <v>227.62324817368253</v>
      </c>
      <c r="AI61" s="21">
        <f>SUM(AG$3:AG61)</f>
        <v>750.10018949392145</v>
      </c>
      <c r="AJ61" s="23">
        <f t="shared" si="17"/>
        <v>6.1146995575175014</v>
      </c>
      <c r="AK61" cm="1">
        <f t="array" ref="AK61">_xlfn.IFS(K61&lt;4,1,K61&lt;8,2,K61&gt;8,3)</f>
        <v>1</v>
      </c>
      <c r="AL61" cm="1">
        <f t="array" ref="AL61">_xlfn.IFS(K61&lt;5,2000,K61&lt;6,3500,K61&lt;7,5000,K61&lt;8,6500)</f>
        <v>2000</v>
      </c>
      <c r="AM61">
        <f>MATCH(AJ61,$AW$10:$BJ$10,1)</f>
        <v>8</v>
      </c>
      <c r="AN61">
        <v>175</v>
      </c>
      <c r="AO61">
        <f>(AE61*AN61/760)/$AS$14</f>
        <v>2.9737088400684755</v>
      </c>
      <c r="AP61">
        <f t="shared" si="18"/>
        <v>0.82603023335235437</v>
      </c>
      <c r="AQ61" s="21">
        <f>SUM(AP$3:AP61)</f>
        <v>30.749455968636884</v>
      </c>
    </row>
    <row r="62" spans="1:43">
      <c r="A62">
        <f t="shared" si="2"/>
        <v>532.5</v>
      </c>
      <c r="B62">
        <f t="shared" si="3"/>
        <v>1.2251861709123548</v>
      </c>
      <c r="C62">
        <f t="shared" si="4"/>
        <v>82.036469141850617</v>
      </c>
      <c r="D62" s="4">
        <v>98.305261207300006</v>
      </c>
      <c r="E62">
        <f t="shared" si="5"/>
        <v>26.542420525971004</v>
      </c>
      <c r="F62" s="4">
        <v>15.95</v>
      </c>
      <c r="G62" s="20">
        <f t="shared" si="6"/>
        <v>59.015000000000001</v>
      </c>
      <c r="J62" s="7">
        <v>7.3728945905475012</v>
      </c>
      <c r="K62">
        <f t="shared" si="7"/>
        <v>7.3728945905475012</v>
      </c>
      <c r="L62">
        <f t="shared" si="19"/>
        <v>19.944527936635797</v>
      </c>
      <c r="M62">
        <f t="shared" si="20"/>
        <v>0.21073942814562729</v>
      </c>
      <c r="N62">
        <f>M62*$AU$2</f>
        <v>126.86513574366764</v>
      </c>
      <c r="O62">
        <v>124</v>
      </c>
      <c r="P62">
        <f t="shared" si="9"/>
        <v>12.4</v>
      </c>
      <c r="Q62">
        <f t="shared" si="10"/>
        <v>0.28000000000000114</v>
      </c>
      <c r="R62">
        <f t="shared" si="21"/>
        <v>2.9999999999999361E-2</v>
      </c>
      <c r="S62">
        <f>(0.5*$AU$2*(J62*J62))/1000</f>
        <v>16.362231967640707</v>
      </c>
      <c r="T62">
        <f>($AU$2*9.81*Q62)/1000</f>
        <v>1.6535736000000067</v>
      </c>
      <c r="U62">
        <f t="shared" si="0"/>
        <v>6.4225352112675882E-2</v>
      </c>
      <c r="V62">
        <f t="shared" si="1"/>
        <v>6.4137262397106515E-2</v>
      </c>
      <c r="W62">
        <f t="shared" si="11"/>
        <v>3.6747944448773207</v>
      </c>
      <c r="X62">
        <f>($AU$2*9.81*SIN(W62))</f>
        <v>-3001.7869213685008</v>
      </c>
      <c r="Y62">
        <f>(0.06*($AU$2*9.81))</f>
        <v>354.3372</v>
      </c>
      <c r="Z62">
        <f t="shared" si="12"/>
        <v>-2.5006400576881975</v>
      </c>
      <c r="AA62">
        <f>SUM(Z$3:Z62)</f>
        <v>28.205765387034329</v>
      </c>
      <c r="AB62">
        <v>0.3</v>
      </c>
      <c r="AC62" s="7">
        <f t="shared" si="13"/>
        <v>-18.436955554235702</v>
      </c>
      <c r="AD62" s="21">
        <f>IF(AC62&gt;$AX$2,J62-1,AC62)</f>
        <v>-18.436955554235702</v>
      </c>
      <c r="AE62" s="21">
        <f t="shared" si="14"/>
        <v>0</v>
      </c>
      <c r="AF62" s="22">
        <f t="shared" si="15"/>
        <v>-18.436955554235702</v>
      </c>
      <c r="AG62" s="21">
        <f t="shared" si="16"/>
        <v>18.436955554235702</v>
      </c>
      <c r="AH62" s="21">
        <f>SUM(AE$3:AE62)</f>
        <v>227.62324817368253</v>
      </c>
      <c r="AI62" s="21">
        <f>SUM(AG$3:AG62)</f>
        <v>768.53714504815719</v>
      </c>
      <c r="AJ62" s="23">
        <f t="shared" si="17"/>
        <v>0</v>
      </c>
      <c r="AK62" cm="1">
        <f t="array" ref="AK62">_xlfn.IFS(K62&lt;4,1,K62&lt;8,2,K62&gt;8,3)</f>
        <v>2</v>
      </c>
      <c r="AL62" cm="1">
        <f t="array" ref="AL62">_xlfn.IFS(K62&lt;5,2000,K62&lt;6,3500,K62&lt;7,5000,K62&lt;8,6500)</f>
        <v>6500</v>
      </c>
      <c r="AM62">
        <f>MATCH(AJ62,$AW$10:$BJ$10,1)</f>
        <v>2</v>
      </c>
      <c r="AN62">
        <v>175</v>
      </c>
      <c r="AO62">
        <f>(AE62*AN62/760)/$AS$14</f>
        <v>0</v>
      </c>
      <c r="AP62">
        <f t="shared" si="18"/>
        <v>0</v>
      </c>
      <c r="AQ62" s="21">
        <f>SUM(AP$3:AP62)</f>
        <v>30.749455968636884</v>
      </c>
    </row>
    <row r="63" spans="1:43">
      <c r="A63">
        <f t="shared" si="2"/>
        <v>541.375</v>
      </c>
      <c r="B63">
        <f t="shared" si="3"/>
        <v>1.1780038224621185</v>
      </c>
      <c r="C63">
        <f t="shared" si="4"/>
        <v>83.214472964312733</v>
      </c>
      <c r="D63" s="4">
        <v>102.599576412</v>
      </c>
      <c r="E63">
        <f t="shared" si="5"/>
        <v>27.701885631240003</v>
      </c>
      <c r="F63" s="4">
        <v>16.22</v>
      </c>
      <c r="G63" s="20">
        <f t="shared" si="6"/>
        <v>60.013999999999996</v>
      </c>
      <c r="J63" s="7">
        <v>7.6949682309000007</v>
      </c>
      <c r="K63">
        <f t="shared" si="7"/>
        <v>1.936724205623866</v>
      </c>
      <c r="L63">
        <f t="shared" si="19"/>
        <v>21.725079485756169</v>
      </c>
      <c r="M63">
        <f t="shared" si="20"/>
        <v>0.27340627781609522</v>
      </c>
      <c r="N63">
        <f>M63*$AU$2</f>
        <v>164.59057924528932</v>
      </c>
      <c r="O63">
        <v>129.69999999999999</v>
      </c>
      <c r="P63">
        <f t="shared" si="9"/>
        <v>12.969999999999999</v>
      </c>
      <c r="Q63">
        <f t="shared" si="10"/>
        <v>0.84999999999999964</v>
      </c>
      <c r="R63">
        <f t="shared" si="21"/>
        <v>0.56999999999999851</v>
      </c>
      <c r="S63">
        <f>(0.5*$AU$2*(J63*J63))/1000</f>
        <v>17.822973358442646</v>
      </c>
      <c r="T63">
        <f>($AU$2*9.81*Q63)/1000</f>
        <v>5.0197769999999986</v>
      </c>
      <c r="U63">
        <f t="shared" si="0"/>
        <v>9.0140845070424622E-3</v>
      </c>
      <c r="V63">
        <f t="shared" si="1"/>
        <v>9.0138403763129083E-3</v>
      </c>
      <c r="W63">
        <f t="shared" si="11"/>
        <v>0.51645501076734335</v>
      </c>
      <c r="X63">
        <f>($AU$2*9.81*SIN(W63))</f>
        <v>2916.1987732458415</v>
      </c>
      <c r="Y63">
        <f>(0.06*($AU$2*9.81))</f>
        <v>354.3372</v>
      </c>
      <c r="Z63">
        <f t="shared" si="12"/>
        <v>3.4568516319768867</v>
      </c>
      <c r="AA63">
        <f>SUM(Z$3:Z63)</f>
        <v>31.662617019011215</v>
      </c>
      <c r="AB63">
        <v>0.3</v>
      </c>
      <c r="AC63" s="7">
        <f t="shared" si="13"/>
        <v>26.600363486996965</v>
      </c>
      <c r="AD63" s="21">
        <f>IF(AC63&gt;$AX$2,J63-1,AC63)</f>
        <v>6.6949682309000007</v>
      </c>
      <c r="AE63" s="21">
        <f t="shared" si="14"/>
        <v>6.6949682309000007</v>
      </c>
      <c r="AF63" s="22">
        <f t="shared" si="15"/>
        <v>0</v>
      </c>
      <c r="AG63" s="21">
        <f t="shared" si="16"/>
        <v>0</v>
      </c>
      <c r="AH63" s="21">
        <f>SUM(AE$3:AE63)</f>
        <v>234.31821640458253</v>
      </c>
      <c r="AI63" s="21">
        <f>SUM(AG$3:AG63)</f>
        <v>768.53714504815719</v>
      </c>
      <c r="AJ63" s="23">
        <f t="shared" si="17"/>
        <v>6.6949682309000007</v>
      </c>
      <c r="AK63" cm="1">
        <f t="array" ref="AK63">_xlfn.IFS(K63&lt;4,1,K63&lt;8,2,K63&gt;8,3)</f>
        <v>1</v>
      </c>
      <c r="AL63" cm="1">
        <f t="array" ref="AL63">_xlfn.IFS(K63&lt;5,2000,K63&lt;6,3500,K63&lt;7,5000,K63&lt;8,6500)</f>
        <v>2000</v>
      </c>
      <c r="AM63">
        <f>MATCH(AJ63,$AW$10:$BJ$10,1)</f>
        <v>8</v>
      </c>
      <c r="AN63">
        <v>175</v>
      </c>
      <c r="AO63">
        <f>(AE63*AN63/760)/$AS$14</f>
        <v>3.2559058748403529</v>
      </c>
      <c r="AP63">
        <f t="shared" si="18"/>
        <v>0.9044182985667647</v>
      </c>
      <c r="AQ63" s="21">
        <f>SUM(AP$3:AP63)</f>
        <v>31.653874267203648</v>
      </c>
    </row>
    <row r="64" spans="1:43">
      <c r="A64">
        <f t="shared" si="2"/>
        <v>550.25</v>
      </c>
      <c r="B64">
        <f t="shared" si="3"/>
        <v>1.1318302983437296</v>
      </c>
      <c r="C64">
        <f t="shared" si="4"/>
        <v>84.346303262656463</v>
      </c>
      <c r="D64" s="4">
        <v>106.50126407</v>
      </c>
      <c r="E64">
        <f t="shared" si="5"/>
        <v>28.755341298900003</v>
      </c>
      <c r="F64" s="4">
        <v>16.489999999999998</v>
      </c>
      <c r="G64" s="20">
        <f t="shared" si="6"/>
        <v>61.012999999999998</v>
      </c>
      <c r="J64" s="7">
        <v>7.9875948052500005</v>
      </c>
      <c r="K64">
        <f t="shared" si="7"/>
        <v>7.9875948052500005</v>
      </c>
      <c r="L64">
        <f t="shared" si="19"/>
        <v>23.40883300656116</v>
      </c>
      <c r="M64">
        <f t="shared" si="20"/>
        <v>0.25854279990402868</v>
      </c>
      <c r="N64">
        <f>M64*$AU$2</f>
        <v>155.64276554222525</v>
      </c>
      <c r="O64">
        <v>130.5</v>
      </c>
      <c r="P64">
        <f t="shared" si="9"/>
        <v>13.05</v>
      </c>
      <c r="Q64">
        <f t="shared" si="10"/>
        <v>0.93000000000000149</v>
      </c>
      <c r="R64">
        <f t="shared" si="21"/>
        <v>8.0000000000001847E-2</v>
      </c>
      <c r="S64">
        <f>(0.5*$AU$2*(J64*J64))/1000</f>
        <v>19.204302902629895</v>
      </c>
      <c r="T64">
        <f>($AU$2*9.81*Q64)/1000</f>
        <v>5.4922266000000093</v>
      </c>
      <c r="U64">
        <f t="shared" si="0"/>
        <v>-4.5070422535211305E-2</v>
      </c>
      <c r="V64">
        <f t="shared" si="1"/>
        <v>-4.5039941847713989E-2</v>
      </c>
      <c r="W64">
        <f t="shared" si="11"/>
        <v>-2.5805985773886699</v>
      </c>
      <c r="X64">
        <f>($AU$2*9.81*SIN(W64))</f>
        <v>-3141.9562099880995</v>
      </c>
      <c r="Y64">
        <f>(0.06*($AU$2*9.81))</f>
        <v>354.3372</v>
      </c>
      <c r="Z64">
        <f t="shared" si="12"/>
        <v>-2.6085674114393131</v>
      </c>
      <c r="AA64">
        <f>SUM(Z$3:Z64)</f>
        <v>29.054049607571901</v>
      </c>
      <c r="AB64">
        <v>0.3</v>
      </c>
      <c r="AC64" s="7">
        <f t="shared" si="13"/>
        <v>-20.836179504757098</v>
      </c>
      <c r="AD64" s="21">
        <f>IF(AC64&gt;$AX$2,J64-1,AC64)</f>
        <v>-20.836179504757098</v>
      </c>
      <c r="AE64" s="21">
        <f t="shared" si="14"/>
        <v>0</v>
      </c>
      <c r="AF64" s="22">
        <f t="shared" si="15"/>
        <v>-20.836179504757098</v>
      </c>
      <c r="AG64" s="21">
        <f t="shared" si="16"/>
        <v>20.836179504757098</v>
      </c>
      <c r="AH64" s="21">
        <f>SUM(AE$3:AE64)</f>
        <v>234.31821640458253</v>
      </c>
      <c r="AI64" s="21">
        <f>SUM(AG$3:AG64)</f>
        <v>789.37332455291426</v>
      </c>
      <c r="AJ64" s="23">
        <f t="shared" si="17"/>
        <v>0</v>
      </c>
      <c r="AK64" cm="1">
        <f t="array" ref="AK64">_xlfn.IFS(K64&lt;4,1,K64&lt;8,2,K64&gt;8,3)</f>
        <v>2</v>
      </c>
      <c r="AL64" cm="1">
        <f t="array" ref="AL64">_xlfn.IFS(K64&lt;5,2000,K64&lt;6,3500,K64&lt;7,5000,K64&lt;8,6500)</f>
        <v>6500</v>
      </c>
      <c r="AM64">
        <f>MATCH(AJ64,$AW$10:$BJ$10,1)</f>
        <v>2</v>
      </c>
      <c r="AN64">
        <v>175</v>
      </c>
      <c r="AO64">
        <f>(AE64*AN64/760)/$AS$14</f>
        <v>0</v>
      </c>
      <c r="AP64">
        <f t="shared" si="18"/>
        <v>0</v>
      </c>
      <c r="AQ64" s="21">
        <f>SUM(AP$3:AP64)</f>
        <v>31.653874267203648</v>
      </c>
    </row>
    <row r="65" spans="1:43">
      <c r="A65">
        <f t="shared" si="2"/>
        <v>559.125</v>
      </c>
      <c r="B65">
        <f t="shared" si="3"/>
        <v>1.0919368534105451</v>
      </c>
      <c r="C65">
        <f t="shared" si="4"/>
        <v>85.438240116067007</v>
      </c>
      <c r="D65" s="4">
        <v>110.238985998</v>
      </c>
      <c r="E65">
        <f t="shared" si="5"/>
        <v>29.764526219460002</v>
      </c>
      <c r="F65" s="4">
        <v>16.760000000000002</v>
      </c>
      <c r="G65" s="20">
        <f t="shared" si="6"/>
        <v>62.012000000000008</v>
      </c>
      <c r="J65" s="7">
        <v>8.267923949850001</v>
      </c>
      <c r="K65">
        <f t="shared" si="7"/>
        <v>3.3913903938895302</v>
      </c>
      <c r="L65">
        <f t="shared" si="19"/>
        <v>25.080758027020639</v>
      </c>
      <c r="M65">
        <f t="shared" si="20"/>
        <v>0.25672651648712402</v>
      </c>
      <c r="N65">
        <f>M65*$AU$2</f>
        <v>154.54936292524866</v>
      </c>
      <c r="O65">
        <v>126.5</v>
      </c>
      <c r="P65">
        <f t="shared" si="9"/>
        <v>12.65</v>
      </c>
      <c r="Q65">
        <f t="shared" si="10"/>
        <v>0.53000000000000114</v>
      </c>
      <c r="R65">
        <f t="shared" si="21"/>
        <v>0.40000000000000036</v>
      </c>
      <c r="S65">
        <f>(0.5*$AU$2*(J65*J65))/1000</f>
        <v>20.575928498591473</v>
      </c>
      <c r="T65">
        <f>($AU$2*9.81*Q65)/1000</f>
        <v>3.1299786000000069</v>
      </c>
      <c r="U65">
        <f t="shared" si="0"/>
        <v>-5.9718309859155057E-2</v>
      </c>
      <c r="V65">
        <f t="shared" si="1"/>
        <v>-5.9647470707687229E-2</v>
      </c>
      <c r="W65">
        <f t="shared" si="11"/>
        <v>-3.4175483301806842</v>
      </c>
      <c r="X65">
        <f>($AU$2*9.81*SIN(W65))</f>
        <v>1609.0840844374059</v>
      </c>
      <c r="Y65">
        <f>(0.06*($AU$2*9.81))</f>
        <v>354.3372</v>
      </c>
      <c r="Z65">
        <f t="shared" si="12"/>
        <v>2.143051405389675</v>
      </c>
      <c r="AA65">
        <f>SUM(Z$3:Z65)</f>
        <v>31.197101012961575</v>
      </c>
      <c r="AB65">
        <v>0.3</v>
      </c>
      <c r="AC65" s="7">
        <f t="shared" si="13"/>
        <v>17.718586040380998</v>
      </c>
      <c r="AD65" s="21">
        <f>IF(AC65&gt;$AX$2,J65-1,AC65)</f>
        <v>7.267923949850001</v>
      </c>
      <c r="AE65" s="21">
        <f t="shared" si="14"/>
        <v>7.267923949850001</v>
      </c>
      <c r="AF65" s="22">
        <f t="shared" si="15"/>
        <v>0</v>
      </c>
      <c r="AG65" s="21">
        <f t="shared" si="16"/>
        <v>0</v>
      </c>
      <c r="AH65" s="21">
        <f>SUM(AE$3:AE65)</f>
        <v>241.58614035443253</v>
      </c>
      <c r="AI65" s="21">
        <f>SUM(AG$3:AG65)</f>
        <v>789.37332455291426</v>
      </c>
      <c r="AJ65" s="23">
        <f t="shared" si="17"/>
        <v>7.267923949850001</v>
      </c>
      <c r="AK65" cm="1">
        <f t="array" ref="AK65">_xlfn.IFS(K65&lt;4,1,K65&lt;8,2,K65&gt;8,3)</f>
        <v>1</v>
      </c>
      <c r="AL65" cm="1">
        <f t="array" ref="AL65">_xlfn.IFS(K65&lt;1,2000,K65&lt;2,3500,K65&lt;3,5000,K65&lt;4,6500)</f>
        <v>6500</v>
      </c>
      <c r="AM65">
        <f>MATCH(AJ65,$AW$10:$BJ$10,1)</f>
        <v>9</v>
      </c>
      <c r="AN65">
        <v>175</v>
      </c>
      <c r="AO65">
        <f>(AE65*AN65/760)/$AS$14</f>
        <v>3.5345464638640154</v>
      </c>
      <c r="AP65">
        <f t="shared" si="18"/>
        <v>0.98181846218444868</v>
      </c>
      <c r="AQ65" s="21">
        <f>SUM(AP$3:AP65)</f>
        <v>32.635692729388097</v>
      </c>
    </row>
    <row r="66" spans="1:43">
      <c r="A66">
        <f t="shared" si="2"/>
        <v>568</v>
      </c>
      <c r="B66">
        <f t="shared" si="3"/>
        <v>1.0565529903366178</v>
      </c>
      <c r="C66">
        <f t="shared" si="4"/>
        <v>86.49479310640362</v>
      </c>
      <c r="D66" s="4">
        <v>113.75987523400001</v>
      </c>
      <c r="E66">
        <f t="shared" si="5"/>
        <v>30.715166313180003</v>
      </c>
      <c r="F66" s="4">
        <v>17.03</v>
      </c>
      <c r="G66" s="20">
        <f t="shared" si="6"/>
        <v>63.01100000000001</v>
      </c>
      <c r="J66" s="7">
        <v>8.5319906425500012</v>
      </c>
      <c r="K66">
        <f t="shared" si="7"/>
        <v>8.2542487193800511</v>
      </c>
      <c r="L66">
        <f t="shared" si="19"/>
        <v>26.708435720681351</v>
      </c>
      <c r="M66">
        <f t="shared" si="20"/>
        <v>0.24993227515817243</v>
      </c>
      <c r="N66">
        <f>M66*$AU$2</f>
        <v>150.45922964521981</v>
      </c>
      <c r="O66">
        <v>121.2</v>
      </c>
      <c r="P66">
        <f t="shared" si="9"/>
        <v>12.120000000000001</v>
      </c>
      <c r="Q66">
        <f t="shared" si="10"/>
        <v>0</v>
      </c>
      <c r="R66">
        <f t="shared" si="21"/>
        <v>0.53000000000000114</v>
      </c>
      <c r="S66">
        <f>(0.5*$AU$2*(J66*J66))/1000</f>
        <v>21.911254161692796</v>
      </c>
      <c r="T66">
        <f>($AU$2*9.81*Q66)/1000</f>
        <v>0</v>
      </c>
      <c r="U66">
        <f t="shared" si="0"/>
        <v>1.1267605633804578E-3</v>
      </c>
      <c r="V66">
        <f t="shared" si="1"/>
        <v>1.1267600865397442E-3</v>
      </c>
      <c r="W66">
        <f t="shared" si="11"/>
        <v>6.4558597482522739E-2</v>
      </c>
      <c r="X66">
        <f>($AU$2*9.81*SIN(W66))</f>
        <v>380.99376396007619</v>
      </c>
      <c r="Y66">
        <f>(0.06*($AU$2*9.81))</f>
        <v>354.3372</v>
      </c>
      <c r="Z66">
        <f t="shared" si="12"/>
        <v>0.91249862932597736</v>
      </c>
      <c r="AA66">
        <f>SUM(Z$3:Z66)</f>
        <v>32.109599642287549</v>
      </c>
      <c r="AB66">
        <v>0.3</v>
      </c>
      <c r="AC66" s="7">
        <f t="shared" si="13"/>
        <v>7.7854297667489405</v>
      </c>
      <c r="AD66" s="21">
        <f>IF(AC66&gt;$AX$2,J66-1,AC66)</f>
        <v>7.5319906425500012</v>
      </c>
      <c r="AE66" s="21">
        <f t="shared" si="14"/>
        <v>7.5319906425500012</v>
      </c>
      <c r="AF66" s="22">
        <f t="shared" si="15"/>
        <v>0</v>
      </c>
      <c r="AG66" s="21">
        <f t="shared" si="16"/>
        <v>0</v>
      </c>
      <c r="AH66" s="21">
        <f>SUM(AE$3:AE66)</f>
        <v>249.11813099698253</v>
      </c>
      <c r="AI66" s="21">
        <f>SUM(AG$3:AG66)</f>
        <v>789.37332455291426</v>
      </c>
      <c r="AJ66" s="23">
        <f t="shared" si="17"/>
        <v>7.5319906425500012</v>
      </c>
      <c r="AK66" cm="1">
        <f t="array" ref="AK66">_xlfn.IFS(K66&lt;4,1,K66&lt;8,2,K66&gt;8,3)</f>
        <v>3</v>
      </c>
      <c r="AL66" cm="1">
        <f t="array" ref="AL66">_xlfn.IFS(K66&lt;9,2000,K66&lt;10,3500,K66&lt;12,5000,K66&lt;14,6500)</f>
        <v>2000</v>
      </c>
      <c r="AM66">
        <f>MATCH(AJ66,$AW$10:$BJ$10,1)</f>
        <v>9</v>
      </c>
      <c r="AN66">
        <v>175</v>
      </c>
      <c r="AO66">
        <f>(AE66*AN66/760)/$AS$14</f>
        <v>3.6629677298744161</v>
      </c>
      <c r="AP66">
        <f t="shared" si="18"/>
        <v>1.0174910360762268</v>
      </c>
      <c r="AQ66" s="21">
        <f>SUM(AP$3:AP66)</f>
        <v>33.653183765464327</v>
      </c>
    </row>
    <row r="67" spans="1:43">
      <c r="A67">
        <f t="shared" si="2"/>
        <v>576.875</v>
      </c>
      <c r="B67">
        <f t="shared" si="3"/>
        <v>1.0239696865386521</v>
      </c>
      <c r="C67">
        <f t="shared" si="4"/>
        <v>87.518762792942269</v>
      </c>
      <c r="D67" s="4">
        <v>117.366758472</v>
      </c>
      <c r="E67">
        <f t="shared" si="5"/>
        <v>31.689024787440001</v>
      </c>
      <c r="F67" s="4">
        <v>17.309999999999999</v>
      </c>
      <c r="G67" s="20">
        <f t="shared" si="6"/>
        <v>64.046999999999997</v>
      </c>
      <c r="J67" s="7">
        <v>8.8025068853999997</v>
      </c>
      <c r="K67">
        <f t="shared" si="7"/>
        <v>48.519723523406689</v>
      </c>
      <c r="L67">
        <f t="shared" si="19"/>
        <v>28.428926367831032</v>
      </c>
      <c r="M67">
        <f t="shared" si="20"/>
        <v>0.26418383903964138</v>
      </c>
      <c r="N67">
        <f>M67*$AU$2</f>
        <v>159.03867110186411</v>
      </c>
      <c r="O67">
        <v>121.3</v>
      </c>
      <c r="P67">
        <f t="shared" si="9"/>
        <v>12.13</v>
      </c>
      <c r="Q67">
        <f t="shared" si="10"/>
        <v>1.0000000000001563E-2</v>
      </c>
      <c r="R67">
        <f t="shared" si="21"/>
        <v>1.0000000000001563E-2</v>
      </c>
      <c r="S67">
        <f>(0.5*$AU$2*(J67*J67))/1000</f>
        <v>23.322722367721834</v>
      </c>
      <c r="T67">
        <f>($AU$2*9.81*Q67)/1000</f>
        <v>5.9056200000009232E-2</v>
      </c>
      <c r="U67">
        <f t="shared" ref="U67:U130" si="22">(Q68-Q67)/(A68-A67)</f>
        <v>-1.1267605633804578E-3</v>
      </c>
      <c r="V67">
        <f t="shared" ref="V67:V130" si="23">ATAN((Q68-Q67)/(A68-A67))</f>
        <v>-1.1267600865397442E-3</v>
      </c>
      <c r="W67">
        <f t="shared" si="11"/>
        <v>-6.4558597482522739E-2</v>
      </c>
      <c r="X67">
        <f>($AU$2*9.81*SIN(W67))</f>
        <v>-380.99376396007619</v>
      </c>
      <c r="Y67">
        <f>(0.06*($AU$2*9.81))</f>
        <v>354.3372</v>
      </c>
      <c r="Z67">
        <f t="shared" si="12"/>
        <v>0.16081103350961895</v>
      </c>
      <c r="AA67">
        <f>SUM(Z$3:Z67)</f>
        <v>32.270410675797166</v>
      </c>
      <c r="AB67">
        <v>0.3</v>
      </c>
      <c r="AC67" s="7">
        <f t="shared" si="13"/>
        <v>1.4155402297167108</v>
      </c>
      <c r="AD67" s="21">
        <f>IF(AC67&gt;$AX$2,J67-1,AC67)</f>
        <v>7.8025068853999997</v>
      </c>
      <c r="AE67" s="21">
        <f t="shared" si="14"/>
        <v>7.8025068853999997</v>
      </c>
      <c r="AF67" s="22">
        <f t="shared" si="15"/>
        <v>0</v>
      </c>
      <c r="AG67" s="21">
        <f t="shared" si="16"/>
        <v>0</v>
      </c>
      <c r="AH67" s="21">
        <f>SUM(AE$3:AE67)</f>
        <v>256.92063788238255</v>
      </c>
      <c r="AI67" s="21">
        <f>SUM(AG$3:AG67)</f>
        <v>789.37332455291426</v>
      </c>
      <c r="AJ67" s="23">
        <f t="shared" si="17"/>
        <v>7.8025068853999997</v>
      </c>
      <c r="AK67" cm="1">
        <f t="array" ref="AK67">_xlfn.IFS(K67&lt;4,1,K67&lt;8,2,K67&gt;8,3)</f>
        <v>3</v>
      </c>
      <c r="AL67" t="e" cm="1">
        <f t="array" ref="AL67">_xlfn.IFS(K67&lt;9,2000,K67&lt;10,3500,K67&lt;12,5000,K67&lt;14,6500)</f>
        <v>#N/A</v>
      </c>
      <c r="AM67">
        <f>MATCH(AJ67,$AW$10:$BJ$10,1)</f>
        <v>9</v>
      </c>
      <c r="AN67">
        <v>175</v>
      </c>
      <c r="AO67">
        <f>(AE67*AN67/760)/$AS$14</f>
        <v>3.7945255497113966</v>
      </c>
      <c r="AP67">
        <f t="shared" si="18"/>
        <v>1.0540348749198325</v>
      </c>
      <c r="AQ67" s="21">
        <f>SUM(AP$3:AP67)</f>
        <v>34.707218640384163</v>
      </c>
    </row>
    <row r="68" spans="1:43">
      <c r="A68">
        <f t="shared" ref="A68:A131" si="24">A67+$D$1</f>
        <v>585.75</v>
      </c>
      <c r="B68">
        <f t="shared" ref="B68:B131" si="25">(2*$A$3)/(J67+J68)</f>
        <v>0.99332128415272458</v>
      </c>
      <c r="C68">
        <f t="shared" ref="C68:C131" si="26">B68+C67</f>
        <v>88.512084077094997</v>
      </c>
      <c r="D68" s="4">
        <v>120.891165165</v>
      </c>
      <c r="E68">
        <f t="shared" ref="E68:E131" si="27">D68*0.27</f>
        <v>32.640614594550001</v>
      </c>
      <c r="F68" s="4">
        <v>17.579999999999998</v>
      </c>
      <c r="G68" s="20">
        <f t="shared" ref="G68:G131" si="28">F68*$I$3</f>
        <v>65.045999999999992</v>
      </c>
      <c r="J68" s="7">
        <v>9.066837387375001</v>
      </c>
      <c r="K68">
        <f t="shared" ref="K68:K131" si="29">AD68/Z68</f>
        <v>1.6606807829386803</v>
      </c>
      <c r="L68">
        <f t="shared" si="19"/>
        <v>30.161946502719207</v>
      </c>
      <c r="M68">
        <f t="shared" si="20"/>
        <v>0.26610776008939241</v>
      </c>
      <c r="N68">
        <f>M68*$AU$2</f>
        <v>160.19687157381424</v>
      </c>
      <c r="O68">
        <v>121.2</v>
      </c>
      <c r="P68">
        <f t="shared" ref="P68:P131" si="30">O68*0.1</f>
        <v>12.120000000000001</v>
      </c>
      <c r="Q68">
        <f t="shared" ref="Q68:Q131" si="31">P68-12.12</f>
        <v>0</v>
      </c>
      <c r="R68">
        <f t="shared" si="21"/>
        <v>1.0000000000001563E-2</v>
      </c>
      <c r="S68">
        <f>(0.5*$AU$2*(J68*J68))/1000</f>
        <v>24.744469602939443</v>
      </c>
      <c r="T68">
        <f>($AU$2*9.81*Q68)/1000</f>
        <v>0</v>
      </c>
      <c r="U68">
        <f t="shared" si="22"/>
        <v>4.0563380281690278E-2</v>
      </c>
      <c r="V68">
        <f t="shared" si="23"/>
        <v>4.0541154722083909E-2</v>
      </c>
      <c r="W68">
        <f t="shared" ref="W68:W131" si="32">V68*180/PI()</f>
        <v>2.322837062162276</v>
      </c>
      <c r="X68">
        <f>($AU$2*9.81*SIN(W68))</f>
        <v>4312.8524465358041</v>
      </c>
      <c r="Y68">
        <f>(0.06*($AU$2*9.81))</f>
        <v>354.3372</v>
      </c>
      <c r="Z68">
        <f t="shared" ref="Z68:Z131" si="33">(L68+N68+X68+Y68)/1000</f>
        <v>4.8575484646123375</v>
      </c>
      <c r="AA68">
        <f>SUM(Z$3:Z68)</f>
        <v>37.127959140409502</v>
      </c>
      <c r="AB68">
        <v>0.3</v>
      </c>
      <c r="AC68" s="7">
        <f t="shared" ref="AC68:AC131" si="34">(Z68*J68)</f>
        <v>44.042602029933171</v>
      </c>
      <c r="AD68" s="21">
        <f>IF(AC68&gt;$AX$2,J68-1,AC68)</f>
        <v>8.066837387375001</v>
      </c>
      <c r="AE68" s="21">
        <f t="shared" ref="AE68:AE131" si="35">IF(AD68&gt;0,AD68,0)</f>
        <v>8.066837387375001</v>
      </c>
      <c r="AF68" s="22">
        <f t="shared" ref="AF68:AF131" si="36">IF(AD68&lt;0,AD68,0)</f>
        <v>0</v>
      </c>
      <c r="AG68" s="21">
        <f t="shared" ref="AG68:AG131" si="37">AF68*-1</f>
        <v>0</v>
      </c>
      <c r="AH68" s="21">
        <f>SUM(AE$3:AE68)</f>
        <v>264.98747526975757</v>
      </c>
      <c r="AI68" s="21">
        <f>SUM(AG$3:AG68)</f>
        <v>789.37332455291426</v>
      </c>
      <c r="AJ68" s="23">
        <f t="shared" ref="AJ68:AJ131" si="38">IF(AD68&lt;0,0,AD68)</f>
        <v>8.066837387375001</v>
      </c>
      <c r="AK68" cm="1">
        <f t="array" ref="AK68">_xlfn.IFS(K68&lt;4,1,K68&lt;8,2,K68&gt;8,3)</f>
        <v>1</v>
      </c>
      <c r="AL68" cm="1">
        <f t="array" ref="AL68">_xlfn.IFS(K68&lt;9,2000,K68&lt;10,3500,K68&lt;12,5000,K68&lt;14,6500)</f>
        <v>2000</v>
      </c>
      <c r="AM68">
        <f>MATCH(AJ68,$AW$10:$BJ$10,1)</f>
        <v>10</v>
      </c>
      <c r="AN68">
        <v>175</v>
      </c>
      <c r="AO68">
        <f>(AE68*AN68/760)/$AS$14</f>
        <v>3.9230751118000895</v>
      </c>
      <c r="AP68">
        <f t="shared" ref="AP68:AP131" si="39">(AO68/3600)*1000</f>
        <v>1.0897430866111359</v>
      </c>
      <c r="AQ68" s="21">
        <f>SUM(AP$3:AP68)</f>
        <v>35.796961726995299</v>
      </c>
    </row>
    <row r="69" spans="1:43">
      <c r="A69">
        <f t="shared" si="24"/>
        <v>594.625</v>
      </c>
      <c r="B69">
        <f t="shared" si="25"/>
        <v>0.96504439322283342</v>
      </c>
      <c r="C69">
        <f t="shared" si="26"/>
        <v>89.477128470317837</v>
      </c>
      <c r="D69" s="4">
        <v>124.347984794</v>
      </c>
      <c r="E69">
        <f t="shared" si="27"/>
        <v>33.573955894379999</v>
      </c>
      <c r="F69" s="4">
        <v>17.850000000000001</v>
      </c>
      <c r="G69" s="20">
        <f t="shared" si="28"/>
        <v>66.045000000000002</v>
      </c>
      <c r="J69" s="7">
        <v>9.326098859550001</v>
      </c>
      <c r="K69">
        <f t="shared" si="29"/>
        <v>6.9541853639681959</v>
      </c>
      <c r="L69">
        <f t="shared" ref="L69:L132" si="40">0.5*1.223*1*0.6*(J69*J69)</f>
        <v>31.911538405288827</v>
      </c>
      <c r="M69">
        <f t="shared" ref="M69:M132" si="41">(J69-J68)/(C69-C68)</f>
        <v>0.26865237909851625</v>
      </c>
      <c r="N69">
        <f>M69*$AU$2</f>
        <v>161.72873221730677</v>
      </c>
      <c r="O69">
        <v>124.8</v>
      </c>
      <c r="P69">
        <f t="shared" si="30"/>
        <v>12.48</v>
      </c>
      <c r="Q69">
        <f t="shared" si="31"/>
        <v>0.36000000000000121</v>
      </c>
      <c r="R69">
        <f t="shared" ref="R69:R132" si="42">IF((Q69-Q68)&gt;0,Q69-Q68,(Q69-Q68)*-1)</f>
        <v>0.36000000000000121</v>
      </c>
      <c r="S69">
        <f>(0.5*$AU$2*(J69*J69))/1000</f>
        <v>26.179812101368046</v>
      </c>
      <c r="T69">
        <f>($AU$2*9.81*Q69)/1000</f>
        <v>2.1260232000000068</v>
      </c>
      <c r="U69">
        <f t="shared" si="22"/>
        <v>5.2957746478873309E-2</v>
      </c>
      <c r="V69">
        <f t="shared" si="23"/>
        <v>5.2908322547459315E-2</v>
      </c>
      <c r="W69">
        <f t="shared" si="32"/>
        <v>3.031423583086271</v>
      </c>
      <c r="X69">
        <f>($AU$2*9.81*SIN(W69))</f>
        <v>649.30135123483103</v>
      </c>
      <c r="Y69">
        <f>(0.06*($AU$2*9.81))</f>
        <v>354.3372</v>
      </c>
      <c r="Z69">
        <f t="shared" si="33"/>
        <v>1.1972788218574266</v>
      </c>
      <c r="AA69">
        <f>SUM(Z$3:Z69)</f>
        <v>38.325237962266925</v>
      </c>
      <c r="AB69">
        <v>0.3</v>
      </c>
      <c r="AC69" s="7">
        <f t="shared" si="34"/>
        <v>11.165940655087915</v>
      </c>
      <c r="AD69" s="21">
        <f>IF(AC69&gt;$AX$2,J69-1,AC69)</f>
        <v>8.326098859550001</v>
      </c>
      <c r="AE69" s="21">
        <f t="shared" si="35"/>
        <v>8.326098859550001</v>
      </c>
      <c r="AF69" s="22">
        <f t="shared" si="36"/>
        <v>0</v>
      </c>
      <c r="AG69" s="21">
        <f t="shared" si="37"/>
        <v>0</v>
      </c>
      <c r="AH69" s="21">
        <f>SUM(AE$3:AE69)</f>
        <v>273.31357412930754</v>
      </c>
      <c r="AI69" s="21">
        <f>SUM(AG$3:AG69)</f>
        <v>789.37332455291426</v>
      </c>
      <c r="AJ69" s="23">
        <f t="shared" si="38"/>
        <v>8.326098859550001</v>
      </c>
      <c r="AK69" cm="1">
        <f t="array" ref="AK69">_xlfn.IFS(K69&lt;4,1,K69&lt;8,2,K69&gt;8,3)</f>
        <v>2</v>
      </c>
      <c r="AL69" cm="1">
        <f t="array" ref="AL69">_xlfn.IFS(K69&lt;9,2000,K69&lt;10,3500,K69&lt;12,5000,K69&lt;14,6500)</f>
        <v>2000</v>
      </c>
      <c r="AM69">
        <f>MATCH(AJ69,$AW$10:$BJ$10,1)</f>
        <v>10</v>
      </c>
      <c r="AN69">
        <v>175</v>
      </c>
      <c r="AO69">
        <f>(AE69*AN69/760)/$AS$14</f>
        <v>4.0491594965591284</v>
      </c>
      <c r="AP69">
        <f t="shared" si="39"/>
        <v>1.12476652682198</v>
      </c>
      <c r="AQ69" s="21">
        <f>SUM(AP$3:AP69)</f>
        <v>36.921728253817278</v>
      </c>
    </row>
    <row r="70" spans="1:43">
      <c r="A70">
        <f t="shared" si="24"/>
        <v>603.5</v>
      </c>
      <c r="B70">
        <f t="shared" si="25"/>
        <v>0.96335004160089288</v>
      </c>
      <c r="C70">
        <f t="shared" si="26"/>
        <v>90.440478511918727</v>
      </c>
      <c r="D70" s="4">
        <v>121.32249472700001</v>
      </c>
      <c r="E70">
        <f t="shared" si="27"/>
        <v>32.757073576290004</v>
      </c>
      <c r="F70" s="4">
        <v>18.12</v>
      </c>
      <c r="G70" s="20">
        <f t="shared" si="28"/>
        <v>67.044000000000011</v>
      </c>
      <c r="J70" s="7">
        <v>9.0991871045250008</v>
      </c>
      <c r="K70">
        <f t="shared" si="29"/>
        <v>2.9816511003961792</v>
      </c>
      <c r="L70">
        <f t="shared" si="40"/>
        <v>30.377561067881224</v>
      </c>
      <c r="M70">
        <f t="shared" si="41"/>
        <v>-0.23554444929271962</v>
      </c>
      <c r="N70">
        <f>M70*$AU$2</f>
        <v>-141.7977584742172</v>
      </c>
      <c r="O70">
        <v>129.5</v>
      </c>
      <c r="P70">
        <f t="shared" si="30"/>
        <v>12.950000000000001</v>
      </c>
      <c r="Q70">
        <f t="shared" si="31"/>
        <v>0.83000000000000185</v>
      </c>
      <c r="R70">
        <f t="shared" si="42"/>
        <v>0.47000000000000064</v>
      </c>
      <c r="S70">
        <f>(0.5*$AU$2*(J70*J70))/1000</f>
        <v>24.921356994909374</v>
      </c>
      <c r="T70">
        <f>($AU$2*9.81*Q70)/1000</f>
        <v>4.9016646000000108</v>
      </c>
      <c r="U70">
        <f t="shared" si="22"/>
        <v>4.7323943661971624E-2</v>
      </c>
      <c r="V70">
        <f t="shared" si="23"/>
        <v>4.7288662856144359E-2</v>
      </c>
      <c r="W70">
        <f t="shared" si="32"/>
        <v>2.709440800474133</v>
      </c>
      <c r="X70">
        <f>($AU$2*9.81*SIN(W70))</f>
        <v>2473.4260005997148</v>
      </c>
      <c r="Y70">
        <f>(0.06*($AU$2*9.81))</f>
        <v>354.3372</v>
      </c>
      <c r="Z70">
        <f t="shared" si="33"/>
        <v>2.7163430031933791</v>
      </c>
      <c r="AA70">
        <f>SUM(Z$3:Z70)</f>
        <v>41.041580965460305</v>
      </c>
      <c r="AB70">
        <v>0.3</v>
      </c>
      <c r="AC70" s="7">
        <f t="shared" si="34"/>
        <v>24.716513226123908</v>
      </c>
      <c r="AD70" s="21">
        <f>IF(AC70&gt;$AX$2,J70-1,AC70)</f>
        <v>8.0991871045250008</v>
      </c>
      <c r="AE70" s="21">
        <f t="shared" si="35"/>
        <v>8.0991871045250008</v>
      </c>
      <c r="AF70" s="22">
        <f t="shared" si="36"/>
        <v>0</v>
      </c>
      <c r="AG70" s="21">
        <f t="shared" si="37"/>
        <v>0</v>
      </c>
      <c r="AH70" s="21">
        <f>SUM(AE$3:AE70)</f>
        <v>281.41276123383255</v>
      </c>
      <c r="AI70" s="21">
        <f>SUM(AG$3:AG70)</f>
        <v>789.37332455291426</v>
      </c>
      <c r="AJ70" s="23">
        <f t="shared" si="38"/>
        <v>8.0991871045250008</v>
      </c>
      <c r="AK70" cm="1">
        <f t="array" ref="AK70">_xlfn.IFS(K70&lt;4,1,K70&lt;8,2,K70&gt;8,3)</f>
        <v>1</v>
      </c>
      <c r="AL70" cm="1">
        <f t="array" ref="AL70">_xlfn.IFS(K70&lt;9,2000,K70&lt;10,3500,K70&lt;12,5000,K70&lt;14,6500)</f>
        <v>2000</v>
      </c>
      <c r="AM70">
        <f>MATCH(AJ70,$AW$10:$BJ$10,1)</f>
        <v>10</v>
      </c>
      <c r="AN70">
        <v>175</v>
      </c>
      <c r="AO70">
        <f>(AE70*AN70/760)/$AS$14</f>
        <v>3.9388074693685655</v>
      </c>
      <c r="AP70">
        <f t="shared" si="39"/>
        <v>1.0941131859357127</v>
      </c>
      <c r="AQ70" s="21">
        <f>SUM(AP$3:AP70)</f>
        <v>38.01584143975299</v>
      </c>
    </row>
    <row r="71" spans="1:43">
      <c r="A71">
        <f t="shared" si="24"/>
        <v>612.375</v>
      </c>
      <c r="B71">
        <f t="shared" si="25"/>
        <v>1.0028546755090422</v>
      </c>
      <c r="C71">
        <f t="shared" si="26"/>
        <v>91.443333187427768</v>
      </c>
      <c r="D71" s="4">
        <v>114.67048855</v>
      </c>
      <c r="E71">
        <f t="shared" si="27"/>
        <v>30.961031908500001</v>
      </c>
      <c r="F71" s="4">
        <v>18.39</v>
      </c>
      <c r="G71" s="20">
        <f t="shared" si="28"/>
        <v>68.043000000000006</v>
      </c>
      <c r="J71" s="7">
        <v>8.6002866412499994</v>
      </c>
      <c r="K71">
        <f t="shared" si="29"/>
        <v>1.6096364542694237</v>
      </c>
      <c r="L71">
        <f t="shared" si="40"/>
        <v>27.137732931349227</v>
      </c>
      <c r="M71">
        <f t="shared" si="41"/>
        <v>-0.49748031839385215</v>
      </c>
      <c r="N71">
        <f>M71*$AU$2</f>
        <v>-299.48315167309897</v>
      </c>
      <c r="O71">
        <v>133.69999999999999</v>
      </c>
      <c r="P71">
        <f t="shared" si="30"/>
        <v>13.37</v>
      </c>
      <c r="Q71">
        <f t="shared" si="31"/>
        <v>1.25</v>
      </c>
      <c r="R71">
        <f t="shared" si="42"/>
        <v>0.41999999999999815</v>
      </c>
      <c r="S71">
        <f>(0.5*$AU$2*(J71*J71))/1000</f>
        <v>22.263444023810621</v>
      </c>
      <c r="T71">
        <f>($AU$2*9.81*Q71)/1000</f>
        <v>7.3820249999999996</v>
      </c>
      <c r="U71">
        <f t="shared" si="22"/>
        <v>1.5774647887324009E-2</v>
      </c>
      <c r="V71">
        <f t="shared" si="23"/>
        <v>1.5773339630731062E-2</v>
      </c>
      <c r="W71">
        <f t="shared" si="32"/>
        <v>0.90374578966733032</v>
      </c>
      <c r="X71">
        <f>($AU$2*9.81*SIN(W71))</f>
        <v>4639.7493430129398</v>
      </c>
      <c r="Y71">
        <f>(0.06*($AU$2*9.81))</f>
        <v>354.3372</v>
      </c>
      <c r="Z71">
        <f t="shared" si="33"/>
        <v>4.7217411242711895</v>
      </c>
      <c r="AA71">
        <f>SUM(Z$3:Z71)</f>
        <v>45.763322089731496</v>
      </c>
      <c r="AB71">
        <v>0.3</v>
      </c>
      <c r="AC71" s="7">
        <f t="shared" si="34"/>
        <v>40.608327114510267</v>
      </c>
      <c r="AD71" s="21">
        <f>IF(AC71&gt;$AX$2,J71-1,AC71)</f>
        <v>7.6002866412499994</v>
      </c>
      <c r="AE71" s="21">
        <f t="shared" si="35"/>
        <v>7.6002866412499994</v>
      </c>
      <c r="AF71" s="22">
        <f t="shared" si="36"/>
        <v>0</v>
      </c>
      <c r="AG71" s="21">
        <f t="shared" si="37"/>
        <v>0</v>
      </c>
      <c r="AH71" s="21">
        <f>SUM(AE$3:AE71)</f>
        <v>289.01304787508258</v>
      </c>
      <c r="AI71" s="21">
        <f>SUM(AG$3:AG71)</f>
        <v>789.37332455291426</v>
      </c>
      <c r="AJ71" s="23">
        <f t="shared" si="38"/>
        <v>7.6002866412499994</v>
      </c>
      <c r="AK71" cm="1">
        <f t="array" ref="AK71">_xlfn.IFS(K71&lt;4,1,K71&lt;8,2,K71&gt;8,3)</f>
        <v>1</v>
      </c>
      <c r="AL71" cm="1">
        <f t="array" ref="AL71">_xlfn.IFS(K71&lt;5,2000,K71&lt;6,3500,K71&lt;7,5000,K71&lt;8,6500)</f>
        <v>2000</v>
      </c>
      <c r="AM71">
        <f>MATCH(AJ71,$AW$10:$BJ$10,1)</f>
        <v>9</v>
      </c>
      <c r="AN71">
        <v>175</v>
      </c>
      <c r="AO71">
        <f>(AE71*AN71/760)/$AS$14</f>
        <v>3.6961815310048092</v>
      </c>
      <c r="AP71">
        <f t="shared" si="39"/>
        <v>1.0267170919457804</v>
      </c>
      <c r="AQ71" s="21">
        <f>SUM(AP$3:AP71)</f>
        <v>39.042558531698774</v>
      </c>
    </row>
    <row r="72" spans="1:43">
      <c r="A72">
        <f t="shared" si="24"/>
        <v>621.25</v>
      </c>
      <c r="B72">
        <f t="shared" si="25"/>
        <v>1.0380943764947432</v>
      </c>
      <c r="C72">
        <f t="shared" si="26"/>
        <v>92.481427563922509</v>
      </c>
      <c r="D72" s="4">
        <v>113.311352047</v>
      </c>
      <c r="E72">
        <f t="shared" si="27"/>
        <v>30.594065052690002</v>
      </c>
      <c r="F72" s="4">
        <v>18.649999999999999</v>
      </c>
      <c r="G72" s="20">
        <f t="shared" si="28"/>
        <v>69.004999999999995</v>
      </c>
      <c r="J72" s="7">
        <v>8.4983514035250014</v>
      </c>
      <c r="K72">
        <f t="shared" si="29"/>
        <v>1.2172010160725479</v>
      </c>
      <c r="L72">
        <f t="shared" si="40"/>
        <v>26.498243206393116</v>
      </c>
      <c r="M72">
        <f t="shared" si="41"/>
        <v>-9.8194576555934637E-2</v>
      </c>
      <c r="N72">
        <f>M72*$AU$2</f>
        <v>-59.113135086672649</v>
      </c>
      <c r="O72">
        <v>135.1</v>
      </c>
      <c r="P72">
        <f t="shared" si="30"/>
        <v>13.51</v>
      </c>
      <c r="Q72">
        <f t="shared" si="31"/>
        <v>1.3900000000000006</v>
      </c>
      <c r="R72">
        <f t="shared" si="42"/>
        <v>0.14000000000000057</v>
      </c>
      <c r="S72">
        <f>(0.5*$AU$2*(J72*J72))/1000</f>
        <v>21.738814949916403</v>
      </c>
      <c r="T72">
        <f>($AU$2*9.81*Q72)/1000</f>
        <v>8.208811800000003</v>
      </c>
      <c r="U72">
        <f t="shared" si="22"/>
        <v>2.4788732394366471E-2</v>
      </c>
      <c r="V72">
        <f t="shared" si="23"/>
        <v>2.4783656861740288E-2</v>
      </c>
      <c r="W72">
        <f t="shared" si="32"/>
        <v>1.4199989390781613</v>
      </c>
      <c r="X72">
        <f>($AU$2*9.81*SIN(W72))</f>
        <v>5838.6006825062441</v>
      </c>
      <c r="Y72">
        <f>(0.06*($AU$2*9.81))</f>
        <v>354.3372</v>
      </c>
      <c r="Z72">
        <f t="shared" si="33"/>
        <v>6.1603229906259651</v>
      </c>
      <c r="AA72">
        <f>SUM(Z$3:Z72)</f>
        <v>51.92364508035746</v>
      </c>
      <c r="AB72">
        <v>0.3</v>
      </c>
      <c r="AC72" s="7">
        <f t="shared" si="34"/>
        <v>52.352589533553505</v>
      </c>
      <c r="AD72" s="21">
        <f>IF(AC72&gt;$AX$2,J72-1,AC72)</f>
        <v>7.4983514035250014</v>
      </c>
      <c r="AE72" s="21">
        <f t="shared" si="35"/>
        <v>7.4983514035250014</v>
      </c>
      <c r="AF72" s="22">
        <f t="shared" si="36"/>
        <v>0</v>
      </c>
      <c r="AG72" s="21">
        <f t="shared" si="37"/>
        <v>0</v>
      </c>
      <c r="AH72" s="21">
        <f>SUM(AE$3:AE72)</f>
        <v>296.5113992786076</v>
      </c>
      <c r="AI72" s="21">
        <f>SUM(AG$3:AG72)</f>
        <v>789.37332455291426</v>
      </c>
      <c r="AJ72" s="23">
        <f t="shared" si="38"/>
        <v>7.4983514035250014</v>
      </c>
      <c r="AK72" cm="1">
        <f t="array" ref="AK72">_xlfn.IFS(K72&lt;4,1,K72&lt;8,2,K72&gt;8,3)</f>
        <v>1</v>
      </c>
      <c r="AL72" cm="1">
        <f t="array" ref="AL72">_xlfn.IFS(K72&lt;1,2000,K72&lt;2,3500,K72&lt;3,5000,K72&lt;4,6500)</f>
        <v>3500</v>
      </c>
      <c r="AM72">
        <f>MATCH(AJ72,$AW$10:$BJ$10,1)</f>
        <v>9</v>
      </c>
      <c r="AN72">
        <v>175</v>
      </c>
      <c r="AO72">
        <f>(AE72*AN72/760)/$AS$14</f>
        <v>3.646608250308681</v>
      </c>
      <c r="AP72">
        <f t="shared" si="39"/>
        <v>1.0129467361968558</v>
      </c>
      <c r="AQ72" s="21">
        <f>SUM(AP$3:AP72)</f>
        <v>40.055505267895626</v>
      </c>
    </row>
    <row r="73" spans="1:43">
      <c r="A73">
        <f t="shared" si="24"/>
        <v>630.125</v>
      </c>
      <c r="B73">
        <f t="shared" si="25"/>
        <v>1.0384919514376572</v>
      </c>
      <c r="C73">
        <f t="shared" si="26"/>
        <v>93.519919515360172</v>
      </c>
      <c r="D73" s="4">
        <v>114.583208271</v>
      </c>
      <c r="E73">
        <f t="shared" si="27"/>
        <v>30.937466233170003</v>
      </c>
      <c r="F73" s="4">
        <v>18.93</v>
      </c>
      <c r="G73" s="20">
        <f t="shared" si="28"/>
        <v>70.040999999999997</v>
      </c>
      <c r="J73" s="7">
        <v>8.5937406203250006</v>
      </c>
      <c r="K73">
        <f t="shared" si="29"/>
        <v>1.1975713402224941</v>
      </c>
      <c r="L73">
        <f t="shared" si="40"/>
        <v>27.096437432953639</v>
      </c>
      <c r="M73">
        <f t="shared" si="41"/>
        <v>9.1853592767805942E-2</v>
      </c>
      <c r="N73">
        <f>M73*$AU$2</f>
        <v>55.29586284621918</v>
      </c>
      <c r="O73">
        <v>137.30000000000001</v>
      </c>
      <c r="P73">
        <f t="shared" si="30"/>
        <v>13.730000000000002</v>
      </c>
      <c r="Q73">
        <f t="shared" si="31"/>
        <v>1.610000000000003</v>
      </c>
      <c r="R73">
        <f t="shared" si="42"/>
        <v>0.22000000000000242</v>
      </c>
      <c r="S73">
        <f>(0.5*$AU$2*(J73*J73))/1000</f>
        <v>22.229565732676605</v>
      </c>
      <c r="T73">
        <f>($AU$2*9.81*Q73)/1000</f>
        <v>9.508048200000017</v>
      </c>
      <c r="U73">
        <f t="shared" si="22"/>
        <v>2.7042253521126384E-2</v>
      </c>
      <c r="V73">
        <f t="shared" si="23"/>
        <v>2.7035664560876738E-2</v>
      </c>
      <c r="W73">
        <f t="shared" si="32"/>
        <v>1.5490294756696472</v>
      </c>
      <c r="X73">
        <f>($AU$2*9.81*SIN(W73))</f>
        <v>5904.2210262374165</v>
      </c>
      <c r="Y73">
        <f>(0.06*($AU$2*9.81))</f>
        <v>354.3372</v>
      </c>
      <c r="Z73">
        <f t="shared" si="33"/>
        <v>6.3409505265165889</v>
      </c>
      <c r="AA73">
        <f>SUM(Z$3:Z73)</f>
        <v>58.264595606874046</v>
      </c>
      <c r="AB73">
        <v>0.3</v>
      </c>
      <c r="AC73" s="7">
        <f t="shared" si="34"/>
        <v>54.492484111196809</v>
      </c>
      <c r="AD73" s="21">
        <f>IF(AC73&gt;$AX$2,J73-1,AC73)</f>
        <v>7.5937406203250006</v>
      </c>
      <c r="AE73" s="21">
        <f t="shared" si="35"/>
        <v>7.5937406203250006</v>
      </c>
      <c r="AF73" s="22">
        <f t="shared" si="36"/>
        <v>0</v>
      </c>
      <c r="AG73" s="21">
        <f t="shared" si="37"/>
        <v>0</v>
      </c>
      <c r="AH73" s="21">
        <f>SUM(AE$3:AE73)</f>
        <v>304.10513989893258</v>
      </c>
      <c r="AI73" s="21">
        <f>SUM(AG$3:AG73)</f>
        <v>789.37332455291426</v>
      </c>
      <c r="AJ73" s="23">
        <f t="shared" si="38"/>
        <v>7.5937406203250006</v>
      </c>
      <c r="AK73" cm="1">
        <f t="array" ref="AK73">_xlfn.IFS(K73&lt;4,1,K73&lt;8,2,K73&gt;8,3)</f>
        <v>1</v>
      </c>
      <c r="AL73" cm="1">
        <f t="array" ref="AL73">_xlfn.IFS(K73&lt;1,2000,K73&lt;2,3500,K73&lt;3,5000,K73&lt;4,6500)</f>
        <v>3500</v>
      </c>
      <c r="AM73">
        <f>MATCH(AJ73,$AW$10:$BJ$10,1)</f>
        <v>9</v>
      </c>
      <c r="AN73">
        <v>175</v>
      </c>
      <c r="AO73">
        <f>(AE73*AN73/760)/$AS$14</f>
        <v>3.6929980613823301</v>
      </c>
      <c r="AP73">
        <f t="shared" si="39"/>
        <v>1.0258327948284249</v>
      </c>
      <c r="AQ73" s="21">
        <f>SUM(AP$3:AP73)</f>
        <v>41.081338062724051</v>
      </c>
    </row>
    <row r="74" spans="1:43">
      <c r="A74">
        <f t="shared" si="24"/>
        <v>639</v>
      </c>
      <c r="B74">
        <f t="shared" si="25"/>
        <v>1.0315497364156783</v>
      </c>
      <c r="C74">
        <f t="shared" si="26"/>
        <v>94.551469251775856</v>
      </c>
      <c r="D74" s="4">
        <v>114.84505709699999</v>
      </c>
      <c r="E74">
        <f t="shared" si="27"/>
        <v>31.00816541619</v>
      </c>
      <c r="F74" s="4">
        <v>19.2</v>
      </c>
      <c r="G74" s="20">
        <f t="shared" si="28"/>
        <v>71.040000000000006</v>
      </c>
      <c r="J74" s="7">
        <v>8.6133792822749999</v>
      </c>
      <c r="K74">
        <f t="shared" si="29"/>
        <v>1.9293401891884425</v>
      </c>
      <c r="L74">
        <f t="shared" si="40"/>
        <v>27.220422046072947</v>
      </c>
      <c r="M74">
        <f t="shared" si="41"/>
        <v>1.9038017515507856E-2</v>
      </c>
      <c r="N74">
        <f>M74*$AU$2</f>
        <v>11.460886544335729</v>
      </c>
      <c r="O74">
        <v>139.69999999999999</v>
      </c>
      <c r="P74">
        <f t="shared" si="30"/>
        <v>13.969999999999999</v>
      </c>
      <c r="Q74">
        <f t="shared" si="31"/>
        <v>1.8499999999999996</v>
      </c>
      <c r="R74">
        <f t="shared" si="42"/>
        <v>0.23999999999999666</v>
      </c>
      <c r="S74">
        <f>(0.5*$AU$2*(J74*J74))/1000</f>
        <v>22.331281100757582</v>
      </c>
      <c r="T74">
        <f>($AU$2*9.81*Q74)/1000</f>
        <v>10.925396999999997</v>
      </c>
      <c r="U74">
        <f t="shared" si="22"/>
        <v>1.1267605633802977E-2</v>
      </c>
      <c r="V74">
        <f t="shared" si="23"/>
        <v>1.1267128829046347E-2</v>
      </c>
      <c r="W74">
        <f t="shared" si="32"/>
        <v>0.64555892913453294</v>
      </c>
      <c r="X74">
        <f>($AU$2*9.81*SIN(W74))</f>
        <v>3553.0866546869347</v>
      </c>
      <c r="Y74">
        <f>(0.06*($AU$2*9.81))</f>
        <v>354.3372</v>
      </c>
      <c r="Z74">
        <f t="shared" si="33"/>
        <v>3.9461051632773434</v>
      </c>
      <c r="AA74">
        <f>SUM(Z$3:Z74)</f>
        <v>62.210700770151391</v>
      </c>
      <c r="AB74">
        <v>0.3</v>
      </c>
      <c r="AC74" s="7">
        <f t="shared" si="34"/>
        <v>33.989300459051478</v>
      </c>
      <c r="AD74" s="21">
        <f>IF(AC74&gt;$AX$2,J74-1,AC74)</f>
        <v>7.6133792822749999</v>
      </c>
      <c r="AE74" s="21">
        <f t="shared" si="35"/>
        <v>7.6133792822749999</v>
      </c>
      <c r="AF74" s="22">
        <f t="shared" si="36"/>
        <v>0</v>
      </c>
      <c r="AG74" s="21">
        <f t="shared" si="37"/>
        <v>0</v>
      </c>
      <c r="AH74" s="21">
        <f>SUM(AE$3:AE74)</f>
        <v>311.71851918120757</v>
      </c>
      <c r="AI74" s="21">
        <f>SUM(AG$3:AG74)</f>
        <v>789.37332455291426</v>
      </c>
      <c r="AJ74" s="23">
        <f t="shared" si="38"/>
        <v>7.6133792822749999</v>
      </c>
      <c r="AK74" cm="1">
        <f t="array" ref="AK74">_xlfn.IFS(K74&lt;4,1,K74&lt;8,2,K74&gt;8,3)</f>
        <v>1</v>
      </c>
      <c r="AL74" cm="1">
        <f t="array" ref="AL74">_xlfn.IFS(K74&lt;9,2000,K74&lt;10,3500,K74&lt;12,5000,K74&lt;14,6500)</f>
        <v>2000</v>
      </c>
      <c r="AM74">
        <f>MATCH(AJ74,$AW$10:$BJ$10,1)</f>
        <v>9</v>
      </c>
      <c r="AN74">
        <v>175</v>
      </c>
      <c r="AO74">
        <f>(AE74*AN74/760)/$AS$14</f>
        <v>3.7025487616413533</v>
      </c>
      <c r="AP74">
        <f t="shared" si="39"/>
        <v>1.028485767122598</v>
      </c>
      <c r="AQ74" s="21">
        <f>SUM(AP$3:AP74)</f>
        <v>42.109823829846647</v>
      </c>
    </row>
    <row r="75" spans="1:43">
      <c r="A75">
        <f t="shared" si="24"/>
        <v>647.875</v>
      </c>
      <c r="B75">
        <f t="shared" si="25"/>
        <v>1.0286838126349558</v>
      </c>
      <c r="C75">
        <f t="shared" si="26"/>
        <v>95.580153064410808</v>
      </c>
      <c r="D75" s="4">
        <v>115.2223978</v>
      </c>
      <c r="E75">
        <f t="shared" si="27"/>
        <v>31.110047406</v>
      </c>
      <c r="F75" s="4">
        <v>19.46</v>
      </c>
      <c r="G75" s="20">
        <f t="shared" si="28"/>
        <v>72.00200000000001</v>
      </c>
      <c r="J75" s="7">
        <v>8.6416798349999997</v>
      </c>
      <c r="K75">
        <f t="shared" si="29"/>
        <v>19.185803307993385</v>
      </c>
      <c r="L75">
        <f t="shared" si="40"/>
        <v>27.399589482989878</v>
      </c>
      <c r="M75">
        <f t="shared" si="41"/>
        <v>2.751142029979891E-2</v>
      </c>
      <c r="N75">
        <f>M75*$AU$2</f>
        <v>16.561875020478944</v>
      </c>
      <c r="O75">
        <v>140.69999999999999</v>
      </c>
      <c r="P75">
        <f t="shared" si="30"/>
        <v>14.07</v>
      </c>
      <c r="Q75">
        <f t="shared" si="31"/>
        <v>1.9500000000000011</v>
      </c>
      <c r="R75">
        <f t="shared" si="42"/>
        <v>0.10000000000000142</v>
      </c>
      <c r="S75">
        <f>(0.5*$AU$2*(J75*J75))/1000</f>
        <v>22.478267741564331</v>
      </c>
      <c r="T75">
        <f>($AU$2*9.81*Q75)/1000</f>
        <v>11.515959000000006</v>
      </c>
      <c r="U75">
        <f t="shared" si="22"/>
        <v>0</v>
      </c>
      <c r="V75">
        <f t="shared" si="23"/>
        <v>0</v>
      </c>
      <c r="W75">
        <f t="shared" si="32"/>
        <v>0</v>
      </c>
      <c r="X75">
        <f>($AU$2*9.81*SIN(W75))</f>
        <v>0</v>
      </c>
      <c r="Y75">
        <f>(0.06*($AU$2*9.81))</f>
        <v>354.3372</v>
      </c>
      <c r="Z75">
        <f t="shared" si="33"/>
        <v>0.39829866450346879</v>
      </c>
      <c r="AA75">
        <f>SUM(Z$3:Z75)</f>
        <v>62.608999434654862</v>
      </c>
      <c r="AB75">
        <v>0.3</v>
      </c>
      <c r="AC75" s="7">
        <f t="shared" si="34"/>
        <v>3.4419695373470565</v>
      </c>
      <c r="AD75" s="21">
        <f>IF(AC75&gt;$AX$2,J75-1,AC75)</f>
        <v>7.6416798349999997</v>
      </c>
      <c r="AE75" s="21">
        <f t="shared" si="35"/>
        <v>7.6416798349999997</v>
      </c>
      <c r="AF75" s="22">
        <f t="shared" si="36"/>
        <v>0</v>
      </c>
      <c r="AG75" s="21">
        <f t="shared" si="37"/>
        <v>0</v>
      </c>
      <c r="AH75" s="21">
        <f>SUM(AE$3:AE75)</f>
        <v>319.36019901620756</v>
      </c>
      <c r="AI75" s="21">
        <f>SUM(AG$3:AG75)</f>
        <v>789.37332455291426</v>
      </c>
      <c r="AJ75" s="23">
        <f t="shared" si="38"/>
        <v>7.6416798349999997</v>
      </c>
      <c r="AK75" cm="1">
        <f t="array" ref="AK75">_xlfn.IFS(K75&lt;4,1,K75&lt;8,2,K75&gt;8,3)</f>
        <v>3</v>
      </c>
      <c r="AL75" t="e" cm="1">
        <f t="array" ref="AL75">_xlfn.IFS(K75&lt;9,2000,K75&lt;10,3500,K75&lt;12,5000,K75&lt;14,6500)</f>
        <v>#N/A</v>
      </c>
      <c r="AM75">
        <f>MATCH(AJ75,$AW$10:$BJ$10,1)</f>
        <v>9</v>
      </c>
      <c r="AN75">
        <v>175</v>
      </c>
      <c r="AO75">
        <f>(AE75*AN75/760)/$AS$14</f>
        <v>3.7163119241688873</v>
      </c>
      <c r="AP75">
        <f t="shared" si="39"/>
        <v>1.032308867824691</v>
      </c>
      <c r="AQ75" s="21">
        <f>SUM(AP$3:AP75)</f>
        <v>43.142132697671336</v>
      </c>
    </row>
    <row r="76" spans="1:43">
      <c r="A76">
        <f t="shared" si="24"/>
        <v>656.75</v>
      </c>
      <c r="B76">
        <f t="shared" si="25"/>
        <v>1.02198817108706</v>
      </c>
      <c r="C76">
        <f t="shared" si="26"/>
        <v>96.602141235497868</v>
      </c>
      <c r="D76" s="4">
        <v>116.35236339799999</v>
      </c>
      <c r="E76">
        <f t="shared" si="27"/>
        <v>31.41513811746</v>
      </c>
      <c r="F76" s="4">
        <v>19.72</v>
      </c>
      <c r="G76" s="20">
        <f t="shared" si="28"/>
        <v>72.963999999999999</v>
      </c>
      <c r="J76" s="7">
        <v>8.7264272548499999</v>
      </c>
      <c r="K76">
        <f t="shared" si="29"/>
        <v>8.7264272548499999</v>
      </c>
      <c r="L76">
        <f t="shared" si="40"/>
        <v>27.939630423483909</v>
      </c>
      <c r="M76">
        <f t="shared" si="41"/>
        <v>8.2924071185537129E-2</v>
      </c>
      <c r="N76">
        <f>M76*$AU$2</f>
        <v>49.920290853693352</v>
      </c>
      <c r="O76">
        <v>140.69999999999999</v>
      </c>
      <c r="P76">
        <f t="shared" si="30"/>
        <v>14.07</v>
      </c>
      <c r="Q76">
        <f t="shared" si="31"/>
        <v>1.9500000000000011</v>
      </c>
      <c r="R76">
        <f t="shared" si="42"/>
        <v>0</v>
      </c>
      <c r="S76">
        <f>(0.5*$AU$2*(J76*J76))/1000</f>
        <v>22.921310322890861</v>
      </c>
      <c r="T76">
        <f>($AU$2*9.81*Q76)/1000</f>
        <v>11.515959000000006</v>
      </c>
      <c r="U76">
        <f t="shared" si="22"/>
        <v>-2.2535211267605753E-2</v>
      </c>
      <c r="V76">
        <f t="shared" si="23"/>
        <v>-2.2531397700922592E-2</v>
      </c>
      <c r="W76">
        <f t="shared" si="32"/>
        <v>-1.2909539947936308</v>
      </c>
      <c r="X76">
        <f>($AU$2*9.81*SIN(W76))</f>
        <v>-5675.8854693352141</v>
      </c>
      <c r="Y76">
        <f>(0.06*($AU$2*9.81))</f>
        <v>354.3372</v>
      </c>
      <c r="Z76">
        <f t="shared" si="33"/>
        <v>-5.2436883480580372</v>
      </c>
      <c r="AA76">
        <f>SUM(Z$3:Z76)</f>
        <v>57.365311086596826</v>
      </c>
      <c r="AB76">
        <v>0.3</v>
      </c>
      <c r="AC76" s="7">
        <f t="shared" si="34"/>
        <v>-45.758664916433027</v>
      </c>
      <c r="AD76" s="21">
        <f>IF(AC76&gt;$AX$2,J76-1,AC76)</f>
        <v>-45.758664916433027</v>
      </c>
      <c r="AE76" s="21">
        <f t="shared" si="35"/>
        <v>0</v>
      </c>
      <c r="AF76" s="22">
        <f t="shared" si="36"/>
        <v>-45.758664916433027</v>
      </c>
      <c r="AG76" s="21">
        <f t="shared" si="37"/>
        <v>45.758664916433027</v>
      </c>
      <c r="AH76" s="21">
        <f>SUM(AE$3:AE76)</f>
        <v>319.36019901620756</v>
      </c>
      <c r="AI76" s="21">
        <f>SUM(AG$3:AG76)</f>
        <v>835.13198946934733</v>
      </c>
      <c r="AJ76" s="23">
        <f t="shared" si="38"/>
        <v>0</v>
      </c>
      <c r="AK76" cm="1">
        <f t="array" ref="AK76">_xlfn.IFS(K76&lt;4,1,K76&lt;8,2,K76&gt;8,3)</f>
        <v>3</v>
      </c>
      <c r="AL76" cm="1">
        <f t="array" ref="AL76">_xlfn.IFS(K76&lt;9,2000,K76&lt;10,3500,K76&lt;12,5000,K76&lt;14,6500)</f>
        <v>2000</v>
      </c>
      <c r="AM76">
        <f>MATCH(AJ76,$AW$10:$BJ$10,1)</f>
        <v>2</v>
      </c>
      <c r="AN76">
        <v>175</v>
      </c>
      <c r="AO76">
        <f>(AE76*AN76/760)/$AS$14</f>
        <v>0</v>
      </c>
      <c r="AP76">
        <f t="shared" si="39"/>
        <v>0</v>
      </c>
      <c r="AQ76" s="21">
        <f>SUM(AP$3:AP76)</f>
        <v>43.142132697671336</v>
      </c>
    </row>
    <row r="77" spans="1:43">
      <c r="A77">
        <f t="shared" si="24"/>
        <v>665.625</v>
      </c>
      <c r="B77">
        <f t="shared" si="25"/>
        <v>1.0062914311231665</v>
      </c>
      <c r="C77">
        <f t="shared" si="26"/>
        <v>97.608432666621042</v>
      </c>
      <c r="D77" s="4">
        <v>118.834640433</v>
      </c>
      <c r="E77">
        <f t="shared" si="27"/>
        <v>32.085352916910004</v>
      </c>
      <c r="F77" s="4">
        <v>20.010000000000002</v>
      </c>
      <c r="G77" s="20">
        <f t="shared" si="28"/>
        <v>74.037000000000006</v>
      </c>
      <c r="J77" s="7">
        <v>8.9125980324750014</v>
      </c>
      <c r="K77">
        <f t="shared" si="29"/>
        <v>1.2896585842093378</v>
      </c>
      <c r="L77">
        <f t="shared" si="40"/>
        <v>29.144482713302306</v>
      </c>
      <c r="M77">
        <f t="shared" si="41"/>
        <v>0.18500681995990631</v>
      </c>
      <c r="N77">
        <f>M77*$AU$2</f>
        <v>111.3741056158636</v>
      </c>
      <c r="O77">
        <v>138.69999999999999</v>
      </c>
      <c r="P77">
        <f t="shared" si="30"/>
        <v>13.87</v>
      </c>
      <c r="Q77">
        <f t="shared" si="31"/>
        <v>1.75</v>
      </c>
      <c r="R77">
        <f t="shared" si="42"/>
        <v>0.20000000000000107</v>
      </c>
      <c r="S77">
        <f>(0.5*$AU$2*(J77*J77))/1000</f>
        <v>23.909755510231655</v>
      </c>
      <c r="T77">
        <f>($AU$2*9.81*Q77)/1000</f>
        <v>10.334835</v>
      </c>
      <c r="U77">
        <f t="shared" si="22"/>
        <v>3.2676056338028274E-2</v>
      </c>
      <c r="V77">
        <f t="shared" si="23"/>
        <v>3.2664434105702647E-2</v>
      </c>
      <c r="W77">
        <f t="shared" si="32"/>
        <v>1.8715342144399452</v>
      </c>
      <c r="X77">
        <f>($AU$2*9.81*SIN(W77))</f>
        <v>5640.5649574072313</v>
      </c>
      <c r="Y77">
        <f>(0.06*($AU$2*9.81))</f>
        <v>354.3372</v>
      </c>
      <c r="Z77">
        <f t="shared" si="33"/>
        <v>6.135420745736397</v>
      </c>
      <c r="AA77">
        <f>SUM(Z$3:Z77)</f>
        <v>63.500731832333223</v>
      </c>
      <c r="AB77">
        <v>0.3</v>
      </c>
      <c r="AC77" s="7">
        <f t="shared" si="34"/>
        <v>54.682538866856518</v>
      </c>
      <c r="AD77" s="21">
        <f>IF(AC77&gt;$AX$2,J77-1,AC77)</f>
        <v>7.9125980324750014</v>
      </c>
      <c r="AE77" s="21">
        <f t="shared" si="35"/>
        <v>7.9125980324750014</v>
      </c>
      <c r="AF77" s="22">
        <f t="shared" si="36"/>
        <v>0</v>
      </c>
      <c r="AG77" s="21">
        <f t="shared" si="37"/>
        <v>0</v>
      </c>
      <c r="AH77" s="21">
        <f>SUM(AE$3:AE77)</f>
        <v>327.27279704868255</v>
      </c>
      <c r="AI77" s="21">
        <f>SUM(AG$3:AG77)</f>
        <v>835.13198946934733</v>
      </c>
      <c r="AJ77" s="23">
        <f t="shared" si="38"/>
        <v>7.9125980324750014</v>
      </c>
      <c r="AK77" cm="1">
        <f t="array" ref="AK77">_xlfn.IFS(K77&lt;4,1,K77&lt;8,2,K77&gt;8,3)</f>
        <v>1</v>
      </c>
      <c r="AL77" cm="1">
        <f t="array" ref="AL77">_xlfn.IFS(K77&lt;9,2000,K77&lt;10,3500,K77&lt;12,5000,K77&lt;14,6500)</f>
        <v>2000</v>
      </c>
      <c r="AM77">
        <f>MATCH(AJ77,$AW$10:$BJ$10,1)</f>
        <v>9</v>
      </c>
      <c r="AN77">
        <v>175</v>
      </c>
      <c r="AO77">
        <f>(AE77*AN77/760)/$AS$14</f>
        <v>3.8480652231149293</v>
      </c>
      <c r="AP77">
        <f t="shared" si="39"/>
        <v>1.0689070064208137</v>
      </c>
      <c r="AQ77" s="21">
        <f>SUM(AP$3:AP77)</f>
        <v>44.211039704092151</v>
      </c>
    </row>
    <row r="78" spans="1:43">
      <c r="A78">
        <f t="shared" si="24"/>
        <v>674.5</v>
      </c>
      <c r="B78">
        <f t="shared" si="25"/>
        <v>0.98228075059771525</v>
      </c>
      <c r="C78">
        <f t="shared" si="26"/>
        <v>98.590713417218751</v>
      </c>
      <c r="D78" s="4">
        <v>122.101228994</v>
      </c>
      <c r="E78">
        <f t="shared" si="27"/>
        <v>32.967331828380004</v>
      </c>
      <c r="F78" s="4">
        <v>20.28</v>
      </c>
      <c r="G78" s="20">
        <f t="shared" si="28"/>
        <v>75.036000000000001</v>
      </c>
      <c r="J78" s="7">
        <v>9.1575921745500004</v>
      </c>
      <c r="K78">
        <f t="shared" si="29"/>
        <v>9.1575921745500004</v>
      </c>
      <c r="L78">
        <f t="shared" si="40"/>
        <v>30.7687823083407</v>
      </c>
      <c r="M78">
        <f t="shared" si="41"/>
        <v>0.24941356320575575</v>
      </c>
      <c r="N78">
        <f>M78*$AU$2</f>
        <v>150.14696504986497</v>
      </c>
      <c r="O78">
        <v>141.6</v>
      </c>
      <c r="P78">
        <f t="shared" si="30"/>
        <v>14.16</v>
      </c>
      <c r="Q78">
        <f t="shared" si="31"/>
        <v>2.0400000000000009</v>
      </c>
      <c r="R78">
        <f t="shared" si="42"/>
        <v>0.29000000000000092</v>
      </c>
      <c r="S78">
        <f>(0.5*$AU$2*(J78*J78))/1000</f>
        <v>25.242309825049201</v>
      </c>
      <c r="T78">
        <f>($AU$2*9.81*Q78)/1000</f>
        <v>12.047464800000006</v>
      </c>
      <c r="U78">
        <f t="shared" si="22"/>
        <v>-3.3802816901405729E-3</v>
      </c>
      <c r="V78">
        <f t="shared" si="23"/>
        <v>-3.3802688155197625E-3</v>
      </c>
      <c r="W78">
        <f t="shared" si="32"/>
        <v>-0.19367513674896827</v>
      </c>
      <c r="X78">
        <f>($AU$2*9.81*SIN(W78))</f>
        <v>-1136.6346689204208</v>
      </c>
      <c r="Y78">
        <f>(0.06*($AU$2*9.81))</f>
        <v>354.3372</v>
      </c>
      <c r="Z78">
        <f t="shared" si="33"/>
        <v>-0.60138172156221525</v>
      </c>
      <c r="AA78">
        <f>SUM(Z$3:Z78)</f>
        <v>62.89935011077101</v>
      </c>
      <c r="AB78">
        <v>0.3</v>
      </c>
      <c r="AC78" s="7">
        <f t="shared" si="34"/>
        <v>-5.5072085472955496</v>
      </c>
      <c r="AD78" s="21">
        <f>IF(AC78&gt;$AX$2,J78-1,AC78)</f>
        <v>-5.5072085472955496</v>
      </c>
      <c r="AE78" s="21">
        <f t="shared" si="35"/>
        <v>0</v>
      </c>
      <c r="AF78" s="22">
        <f t="shared" si="36"/>
        <v>-5.5072085472955496</v>
      </c>
      <c r="AG78" s="21">
        <f t="shared" si="37"/>
        <v>5.5072085472955496</v>
      </c>
      <c r="AH78" s="21">
        <f>SUM(AE$3:AE78)</f>
        <v>327.27279704868255</v>
      </c>
      <c r="AI78" s="21">
        <f>SUM(AG$3:AG78)</f>
        <v>840.63919801664292</v>
      </c>
      <c r="AJ78" s="23">
        <f t="shared" si="38"/>
        <v>0</v>
      </c>
      <c r="AK78" cm="1">
        <f t="array" ref="AK78">_xlfn.IFS(K78&lt;4,1,K78&lt;8,2,K78&gt;8,3)</f>
        <v>3</v>
      </c>
      <c r="AL78" cm="1">
        <f t="array" ref="AL78">_xlfn.IFS(K78&lt;9,2000,K78&lt;10,3500,K78&lt;12,5000,K78&lt;14,6500)</f>
        <v>3500</v>
      </c>
      <c r="AM78">
        <f>MATCH(AJ78,$AW$10:$BJ$10,1)</f>
        <v>2</v>
      </c>
      <c r="AN78">
        <v>175</v>
      </c>
      <c r="AO78">
        <f>(AE78*AN78/760)/$AS$14</f>
        <v>0</v>
      </c>
      <c r="AP78">
        <f t="shared" si="39"/>
        <v>0</v>
      </c>
      <c r="AQ78" s="21">
        <f>SUM(AP$3:AP78)</f>
        <v>44.211039704092151</v>
      </c>
    </row>
    <row r="79" spans="1:43">
      <c r="A79">
        <f t="shared" si="24"/>
        <v>683.375</v>
      </c>
      <c r="B79">
        <f t="shared" si="25"/>
        <v>0.95489186474012744</v>
      </c>
      <c r="C79">
        <f t="shared" si="26"/>
        <v>99.545605281958885</v>
      </c>
      <c r="D79" s="4">
        <v>125.745333958</v>
      </c>
      <c r="E79">
        <f t="shared" si="27"/>
        <v>33.95124016866</v>
      </c>
      <c r="F79" s="4">
        <v>20.55</v>
      </c>
      <c r="G79" s="20">
        <f t="shared" si="28"/>
        <v>76.035000000000011</v>
      </c>
      <c r="J79" s="7">
        <v>9.4309000468499988</v>
      </c>
      <c r="K79">
        <f t="shared" si="29"/>
        <v>4.0780101379824822</v>
      </c>
      <c r="L79">
        <f t="shared" si="40"/>
        <v>32.632774192009471</v>
      </c>
      <c r="M79">
        <f t="shared" si="41"/>
        <v>0.28621866243920407</v>
      </c>
      <c r="N79">
        <f>M79*$AU$2</f>
        <v>172.30363478840084</v>
      </c>
      <c r="O79">
        <v>141.30000000000001</v>
      </c>
      <c r="P79">
        <f t="shared" si="30"/>
        <v>14.130000000000003</v>
      </c>
      <c r="Q79">
        <f t="shared" si="31"/>
        <v>2.0100000000000033</v>
      </c>
      <c r="R79">
        <f t="shared" si="42"/>
        <v>2.9999999999997584E-2</v>
      </c>
      <c r="S79">
        <f>(0.5*$AU$2*(J79*J79))/1000</f>
        <v>26.771504583796268</v>
      </c>
      <c r="T79">
        <f>($AU$2*9.81*Q79)/1000</f>
        <v>11.870296200000018</v>
      </c>
      <c r="U79">
        <f t="shared" si="22"/>
        <v>4.5070422535208304E-3</v>
      </c>
      <c r="V79">
        <f t="shared" si="23"/>
        <v>4.5070117360638574E-3</v>
      </c>
      <c r="W79">
        <f t="shared" si="32"/>
        <v>0.25823275069238916</v>
      </c>
      <c r="X79">
        <f>($AU$2*9.81*SIN(W79))</f>
        <v>1508.1317582414142</v>
      </c>
      <c r="Y79">
        <f>(0.06*($AU$2*9.81))</f>
        <v>354.3372</v>
      </c>
      <c r="Z79">
        <f t="shared" si="33"/>
        <v>2.0674053672218249</v>
      </c>
      <c r="AA79">
        <f>SUM(Z$3:Z79)</f>
        <v>64.966755477992834</v>
      </c>
      <c r="AB79">
        <v>0.3</v>
      </c>
      <c r="AC79" s="7">
        <f t="shared" si="34"/>
        <v>19.497493374590249</v>
      </c>
      <c r="AD79" s="21">
        <f>IF(AC79&gt;$AX$2,J79-1,AC79)</f>
        <v>8.4309000468499988</v>
      </c>
      <c r="AE79" s="21">
        <f t="shared" si="35"/>
        <v>8.4309000468499988</v>
      </c>
      <c r="AF79" s="22">
        <f t="shared" si="36"/>
        <v>0</v>
      </c>
      <c r="AG79" s="21">
        <f t="shared" si="37"/>
        <v>0</v>
      </c>
      <c r="AH79" s="21">
        <f>SUM(AE$3:AE79)</f>
        <v>335.70369709553256</v>
      </c>
      <c r="AI79" s="21">
        <f>SUM(AG$3:AG79)</f>
        <v>840.63919801664292</v>
      </c>
      <c r="AJ79" s="23">
        <f t="shared" si="38"/>
        <v>8.4309000468499988</v>
      </c>
      <c r="AK79" cm="1">
        <f t="array" ref="AK79">_xlfn.IFS(K79&lt;4,1,K79&lt;8,2,K79&gt;8,3)</f>
        <v>2</v>
      </c>
      <c r="AL79" cm="1">
        <f t="array" ref="AL79">_xlfn.IFS(K79&lt;9,2000,K79&lt;10,3500,K79&lt;12,5000,K79&lt;14,6500)</f>
        <v>2000</v>
      </c>
      <c r="AM79">
        <f>MATCH(AJ79,$AW$10:$BJ$10,1)</f>
        <v>10</v>
      </c>
      <c r="AN79">
        <v>175</v>
      </c>
      <c r="AO79">
        <f>(AE79*AN79/760)/$AS$14</f>
        <v>4.1001265496730515</v>
      </c>
      <c r="AP79">
        <f t="shared" si="39"/>
        <v>1.1389240415758477</v>
      </c>
      <c r="AQ79" s="21">
        <f>SUM(AP$3:AP79)</f>
        <v>45.349963745667999</v>
      </c>
    </row>
    <row r="80" spans="1:43">
      <c r="A80">
        <f t="shared" si="24"/>
        <v>692.25</v>
      </c>
      <c r="B80">
        <f t="shared" si="25"/>
        <v>0.92933189991363796</v>
      </c>
      <c r="C80">
        <f t="shared" si="26"/>
        <v>100.47493718187252</v>
      </c>
      <c r="D80" s="4">
        <v>128.91789958499999</v>
      </c>
      <c r="E80">
        <f t="shared" si="27"/>
        <v>34.807832887949999</v>
      </c>
      <c r="F80" s="4">
        <v>20.82</v>
      </c>
      <c r="G80" s="20">
        <f t="shared" si="28"/>
        <v>77.034000000000006</v>
      </c>
      <c r="J80" s="7">
        <v>9.668842468874999</v>
      </c>
      <c r="K80">
        <f t="shared" si="29"/>
        <v>9.6688424688749972</v>
      </c>
      <c r="L80">
        <f t="shared" si="40"/>
        <v>34.300202238998139</v>
      </c>
      <c r="M80">
        <f t="shared" si="41"/>
        <v>0.25603599967580237</v>
      </c>
      <c r="N80">
        <f>M80*$AU$2</f>
        <v>154.13367180483303</v>
      </c>
      <c r="O80">
        <v>141.69999999999999</v>
      </c>
      <c r="P80">
        <f t="shared" si="30"/>
        <v>14.17</v>
      </c>
      <c r="Q80">
        <f t="shared" si="31"/>
        <v>2.0500000000000007</v>
      </c>
      <c r="R80">
        <f t="shared" si="42"/>
        <v>3.9999999999997371E-2</v>
      </c>
      <c r="S80">
        <f>(0.5*$AU$2*(J80*J80))/1000</f>
        <v>28.139440921064157</v>
      </c>
      <c r="T80">
        <f>($AU$2*9.81*Q80)/1000</f>
        <v>12.106521000000004</v>
      </c>
      <c r="U80">
        <f t="shared" si="22"/>
        <v>-1.4647887323943549E-2</v>
      </c>
      <c r="V80">
        <f t="shared" si="23"/>
        <v>-1.4646839838943748E-2</v>
      </c>
      <c r="W80">
        <f t="shared" si="32"/>
        <v>-0.83920210597555123</v>
      </c>
      <c r="X80">
        <f>($AU$2*9.81*SIN(W80))</f>
        <v>-4394.4327785152145</v>
      </c>
      <c r="Y80">
        <f>(0.06*($AU$2*9.81))</f>
        <v>354.3372</v>
      </c>
      <c r="Z80">
        <f t="shared" si="33"/>
        <v>-3.851661704471383</v>
      </c>
      <c r="AA80">
        <f>SUM(Z$3:Z80)</f>
        <v>61.115093773521451</v>
      </c>
      <c r="AB80">
        <v>0.3</v>
      </c>
      <c r="AC80" s="7">
        <f t="shared" si="34"/>
        <v>-37.24111026393237</v>
      </c>
      <c r="AD80" s="21">
        <f>IF(AC80&gt;$AX$2,J80-1,AC80)</f>
        <v>-37.24111026393237</v>
      </c>
      <c r="AE80" s="21">
        <f t="shared" si="35"/>
        <v>0</v>
      </c>
      <c r="AF80" s="22">
        <f t="shared" si="36"/>
        <v>-37.24111026393237</v>
      </c>
      <c r="AG80" s="21">
        <f t="shared" si="37"/>
        <v>37.24111026393237</v>
      </c>
      <c r="AH80" s="21">
        <f>SUM(AE$3:AE80)</f>
        <v>335.70369709553256</v>
      </c>
      <c r="AI80" s="21">
        <f>SUM(AG$3:AG80)</f>
        <v>877.88030828057526</v>
      </c>
      <c r="AJ80" s="23">
        <f t="shared" si="38"/>
        <v>0</v>
      </c>
      <c r="AK80" cm="1">
        <f t="array" ref="AK80">_xlfn.IFS(K80&lt;4,1,K80&lt;8,2,K80&gt;8,3)</f>
        <v>3</v>
      </c>
      <c r="AL80" cm="1">
        <f t="array" ref="AL80">_xlfn.IFS(K80&lt;9,2000,K80&lt;10,3500,K80&lt;12,5000,K80&lt;14,6500)</f>
        <v>3500</v>
      </c>
      <c r="AM80">
        <f>MATCH(AJ80,$AW$10:$BJ$10,1)</f>
        <v>2</v>
      </c>
      <c r="AN80">
        <v>175</v>
      </c>
      <c r="AO80">
        <f>(AE80*AN80/760)/$AS$14</f>
        <v>0</v>
      </c>
      <c r="AP80">
        <f t="shared" si="39"/>
        <v>0</v>
      </c>
      <c r="AQ80" s="21">
        <f>SUM(AP$3:AP80)</f>
        <v>45.349963745667999</v>
      </c>
    </row>
    <row r="81" spans="1:43">
      <c r="A81">
        <f t="shared" si="24"/>
        <v>701.125</v>
      </c>
      <c r="B81">
        <f t="shared" si="25"/>
        <v>0.90724850121562872</v>
      </c>
      <c r="C81">
        <f t="shared" si="26"/>
        <v>101.38218568308815</v>
      </c>
      <c r="D81" s="4">
        <v>131.94410938999999</v>
      </c>
      <c r="E81">
        <f t="shared" si="27"/>
        <v>35.624909535299999</v>
      </c>
      <c r="F81" s="4">
        <v>21.09</v>
      </c>
      <c r="G81" s="20">
        <f t="shared" si="28"/>
        <v>78.033000000000001</v>
      </c>
      <c r="J81" s="7">
        <v>9.8958082042500006</v>
      </c>
      <c r="K81">
        <f t="shared" si="29"/>
        <v>9.8958082042500006</v>
      </c>
      <c r="L81">
        <f t="shared" si="40"/>
        <v>35.929423643614165</v>
      </c>
      <c r="M81">
        <f t="shared" si="41"/>
        <v>0.25016931421863742</v>
      </c>
      <c r="N81">
        <f>M81*$AU$2</f>
        <v>150.60192715961972</v>
      </c>
      <c r="O81">
        <v>140.4</v>
      </c>
      <c r="P81">
        <f t="shared" si="30"/>
        <v>14.040000000000001</v>
      </c>
      <c r="Q81">
        <f t="shared" si="31"/>
        <v>1.9200000000000017</v>
      </c>
      <c r="R81">
        <f t="shared" si="42"/>
        <v>0.12999999999999901</v>
      </c>
      <c r="S81">
        <f>(0.5*$AU$2*(J81*J81))/1000</f>
        <v>29.47603302460579</v>
      </c>
      <c r="T81">
        <f>($AU$2*9.81*Q81)/1000</f>
        <v>11.338790400000009</v>
      </c>
      <c r="U81">
        <f t="shared" si="22"/>
        <v>-4.7323943661972026E-2</v>
      </c>
      <c r="V81">
        <f t="shared" si="23"/>
        <v>-4.7288662856144761E-2</v>
      </c>
      <c r="W81">
        <f t="shared" si="32"/>
        <v>-2.7094408004741561</v>
      </c>
      <c r="X81">
        <f>($AU$2*9.81*SIN(W81))</f>
        <v>-2473.4260005995907</v>
      </c>
      <c r="Y81">
        <f>(0.06*($AU$2*9.81))</f>
        <v>354.3372</v>
      </c>
      <c r="Z81">
        <f t="shared" si="33"/>
        <v>-1.9325574497963567</v>
      </c>
      <c r="AA81">
        <f>SUM(Z$3:Z81)</f>
        <v>59.182536323725095</v>
      </c>
      <c r="AB81">
        <v>0.3</v>
      </c>
      <c r="AC81" s="7">
        <f t="shared" si="34"/>
        <v>-19.124217866879246</v>
      </c>
      <c r="AD81" s="21">
        <f>IF(AC81&gt;$AX$2,J81-1,AC81)</f>
        <v>-19.124217866879246</v>
      </c>
      <c r="AE81" s="21">
        <f t="shared" si="35"/>
        <v>0</v>
      </c>
      <c r="AF81" s="22">
        <f t="shared" si="36"/>
        <v>-19.124217866879246</v>
      </c>
      <c r="AG81" s="21">
        <f t="shared" si="37"/>
        <v>19.124217866879246</v>
      </c>
      <c r="AH81" s="21">
        <f>SUM(AE$3:AE81)</f>
        <v>335.70369709553256</v>
      </c>
      <c r="AI81" s="21">
        <f>SUM(AG$3:AG81)</f>
        <v>897.0045261474545</v>
      </c>
      <c r="AJ81" s="23">
        <f t="shared" si="38"/>
        <v>0</v>
      </c>
      <c r="AK81" cm="1">
        <f t="array" ref="AK81">_xlfn.IFS(K81&lt;4,1,K81&lt;8,2,K81&gt;8,3)</f>
        <v>3</v>
      </c>
      <c r="AL81" cm="1">
        <f t="array" ref="AL81">_xlfn.IFS(K81&lt;9,2000,K81&lt;10,3500,K81&lt;12,5000,K81&lt;14,6500)</f>
        <v>3500</v>
      </c>
      <c r="AM81">
        <f>MATCH(AJ81,$AW$10:$BJ$10,1)</f>
        <v>2</v>
      </c>
      <c r="AN81">
        <v>175</v>
      </c>
      <c r="AO81">
        <f>(AE81*AN81/760)/$AS$14</f>
        <v>0</v>
      </c>
      <c r="AP81">
        <f t="shared" si="39"/>
        <v>0</v>
      </c>
      <c r="AQ81" s="21">
        <f>SUM(AP$3:AP81)</f>
        <v>45.349963745667999</v>
      </c>
    </row>
    <row r="82" spans="1:43">
      <c r="A82">
        <f t="shared" si="24"/>
        <v>710</v>
      </c>
      <c r="B82">
        <f t="shared" si="25"/>
        <v>0.88706449423842082</v>
      </c>
      <c r="C82">
        <f t="shared" si="26"/>
        <v>102.26925017732657</v>
      </c>
      <c r="D82" s="4">
        <v>134.853477712</v>
      </c>
      <c r="E82">
        <f t="shared" si="27"/>
        <v>36.410438982240002</v>
      </c>
      <c r="F82" s="4">
        <v>21.36</v>
      </c>
      <c r="G82" s="20">
        <f t="shared" si="28"/>
        <v>79.031999999999996</v>
      </c>
      <c r="J82" s="7">
        <v>10.114010828400001</v>
      </c>
      <c r="K82">
        <f t="shared" si="29"/>
        <v>1.9243005471285834</v>
      </c>
      <c r="L82">
        <f t="shared" si="40"/>
        <v>37.531380597072541</v>
      </c>
      <c r="M82">
        <f t="shared" si="41"/>
        <v>0.24598281812343009</v>
      </c>
      <c r="N82">
        <f>M82*$AU$2</f>
        <v>148.08165651030492</v>
      </c>
      <c r="O82">
        <v>136.19999999999999</v>
      </c>
      <c r="P82">
        <f t="shared" si="30"/>
        <v>13.62</v>
      </c>
      <c r="Q82">
        <f t="shared" si="31"/>
        <v>1.5</v>
      </c>
      <c r="R82">
        <f t="shared" si="42"/>
        <v>0.42000000000000171</v>
      </c>
      <c r="S82">
        <f>(0.5*$AU$2*(J82*J82))/1000</f>
        <v>30.790257726134737</v>
      </c>
      <c r="T82">
        <f>($AU$2*9.81*Q82)/1000</f>
        <v>8.8584300000000002</v>
      </c>
      <c r="U82">
        <f t="shared" si="22"/>
        <v>-6.8732394366197117E-2</v>
      </c>
      <c r="V82">
        <f t="shared" si="23"/>
        <v>-6.8624466257585434E-2</v>
      </c>
      <c r="W82">
        <f t="shared" si="32"/>
        <v>-3.9318922878975728</v>
      </c>
      <c r="X82">
        <f>($AU$2*9.81*SIN(W82))</f>
        <v>4196.3217771576556</v>
      </c>
      <c r="Y82">
        <f>(0.06*($AU$2*9.81))</f>
        <v>354.3372</v>
      </c>
      <c r="Z82">
        <f t="shared" si="33"/>
        <v>4.7362720142650332</v>
      </c>
      <c r="AA82">
        <f>SUM(Z$3:Z82)</f>
        <v>63.918808337990129</v>
      </c>
      <c r="AB82">
        <v>0.3</v>
      </c>
      <c r="AC82" s="7">
        <f t="shared" si="34"/>
        <v>47.902706438524433</v>
      </c>
      <c r="AD82" s="21">
        <f>IF(AC82&gt;$AX$2,J82-1,AC82)</f>
        <v>9.1140108284000014</v>
      </c>
      <c r="AE82" s="21">
        <f t="shared" si="35"/>
        <v>9.1140108284000014</v>
      </c>
      <c r="AF82" s="22">
        <f t="shared" si="36"/>
        <v>0</v>
      </c>
      <c r="AG82" s="21">
        <f t="shared" si="37"/>
        <v>0</v>
      </c>
      <c r="AH82" s="21">
        <f>SUM(AE$3:AE82)</f>
        <v>344.81770792393257</v>
      </c>
      <c r="AI82" s="21">
        <f>SUM(AG$3:AG82)</f>
        <v>897.0045261474545</v>
      </c>
      <c r="AJ82" s="23">
        <f t="shared" si="38"/>
        <v>9.1140108284000014</v>
      </c>
      <c r="AK82" cm="1">
        <f t="array" ref="AK82">_xlfn.IFS(K82&lt;4,1,K82&lt;8,2,K82&gt;8,3)</f>
        <v>1</v>
      </c>
      <c r="AL82" cm="1">
        <f t="array" ref="AL82">_xlfn.IFS(K82&lt;9,2000,K82&lt;10,3500,K82&lt;12,5000,K82&lt;14,6500)</f>
        <v>2000</v>
      </c>
      <c r="AM82">
        <f>MATCH(AJ82,$AW$10:$BJ$10,1)</f>
        <v>11</v>
      </c>
      <c r="AN82">
        <v>175</v>
      </c>
      <c r="AO82">
        <f>(AE82*AN82/760)/$AS$14</f>
        <v>4.4323378955835686</v>
      </c>
      <c r="AP82">
        <f t="shared" si="39"/>
        <v>1.2312049709954358</v>
      </c>
      <c r="AQ82" s="21">
        <f>SUM(AP$3:AP82)</f>
        <v>46.581168716663434</v>
      </c>
    </row>
    <row r="83" spans="1:43">
      <c r="A83">
        <f t="shared" si="24"/>
        <v>718.875</v>
      </c>
      <c r="B83">
        <f t="shared" si="25"/>
        <v>0.86846925627867722</v>
      </c>
      <c r="C83">
        <f t="shared" si="26"/>
        <v>103.13771943360524</v>
      </c>
      <c r="D83" s="4">
        <v>137.656648531</v>
      </c>
      <c r="E83">
        <f t="shared" si="27"/>
        <v>37.167295103370002</v>
      </c>
      <c r="F83" s="4">
        <v>21.63</v>
      </c>
      <c r="G83" s="20">
        <f t="shared" si="28"/>
        <v>80.031000000000006</v>
      </c>
      <c r="J83" s="7">
        <v>10.324248639825001</v>
      </c>
      <c r="K83">
        <f t="shared" si="29"/>
        <v>2.1243884123287562</v>
      </c>
      <c r="L83">
        <f t="shared" si="40"/>
        <v>39.107911350535019</v>
      </c>
      <c r="M83">
        <f t="shared" si="41"/>
        <v>0.24207858816540404</v>
      </c>
      <c r="N83">
        <f>M83*$AU$2</f>
        <v>145.73131007557322</v>
      </c>
      <c r="O83">
        <v>130.1</v>
      </c>
      <c r="P83">
        <f t="shared" si="30"/>
        <v>13.01</v>
      </c>
      <c r="Q83">
        <f t="shared" si="31"/>
        <v>0.89000000000000057</v>
      </c>
      <c r="R83">
        <f t="shared" si="42"/>
        <v>0.60999999999999943</v>
      </c>
      <c r="S83">
        <f>(0.5*$AU$2*(J83*J83))/1000</f>
        <v>32.083623103055444</v>
      </c>
      <c r="T83">
        <f>($AU$2*9.81*Q83)/1000</f>
        <v>5.2560018000000035</v>
      </c>
      <c r="U83">
        <f t="shared" si="22"/>
        <v>1.2394366197183034E-2</v>
      </c>
      <c r="V83">
        <f t="shared" si="23"/>
        <v>1.2393731580202717E-2</v>
      </c>
      <c r="W83">
        <f t="shared" si="32"/>
        <v>0.71010851196362035</v>
      </c>
      <c r="X83">
        <f>($AU$2*9.81*SIN(W83))</f>
        <v>3849.9685135171926</v>
      </c>
      <c r="Y83">
        <f>(0.06*($AU$2*9.81))</f>
        <v>354.3372</v>
      </c>
      <c r="Z83">
        <f t="shared" si="33"/>
        <v>4.3891449349433005</v>
      </c>
      <c r="AA83">
        <f>SUM(Z$3:Z83)</f>
        <v>68.307953272933432</v>
      </c>
      <c r="AB83">
        <v>0.3</v>
      </c>
      <c r="AC83" s="7">
        <f t="shared" si="34"/>
        <v>45.314623624583163</v>
      </c>
      <c r="AD83" s="21">
        <f>IF(AC83&gt;$AX$2,J83-1,AC83)</f>
        <v>9.3242486398250009</v>
      </c>
      <c r="AE83" s="21">
        <f t="shared" si="35"/>
        <v>9.3242486398250009</v>
      </c>
      <c r="AF83" s="22">
        <f t="shared" si="36"/>
        <v>0</v>
      </c>
      <c r="AG83" s="21">
        <f t="shared" si="37"/>
        <v>0</v>
      </c>
      <c r="AH83" s="21">
        <f>SUM(AE$3:AE83)</f>
        <v>354.14195656375756</v>
      </c>
      <c r="AI83" s="21">
        <f>SUM(AG$3:AG83)</f>
        <v>897.0045261474545</v>
      </c>
      <c r="AJ83" s="23">
        <f t="shared" si="38"/>
        <v>9.3242486398250009</v>
      </c>
      <c r="AK83" cm="1">
        <f t="array" ref="AK83">_xlfn.IFS(K83&lt;4,1,K83&lt;8,2,K83&gt;8,3)</f>
        <v>1</v>
      </c>
      <c r="AL83" cm="1">
        <f t="array" ref="AL83">_xlfn.IFS(K83&lt;1,2000,K83&lt;2,3500,K83&lt;3,5000,K83&lt;4,6500)</f>
        <v>5000</v>
      </c>
      <c r="AM83">
        <f>MATCH(AJ83,$AW$10:$BJ$10,1)</f>
        <v>11</v>
      </c>
      <c r="AN83">
        <v>175</v>
      </c>
      <c r="AO83">
        <f>(AE83*AN83/760)/$AS$14</f>
        <v>4.534581028295225</v>
      </c>
      <c r="AP83">
        <f t="shared" si="39"/>
        <v>1.2596058411931179</v>
      </c>
      <c r="AQ83" s="21">
        <f>SUM(AP$3:AP83)</f>
        <v>47.840774557856555</v>
      </c>
    </row>
    <row r="84" spans="1:43">
      <c r="A84">
        <f t="shared" si="24"/>
        <v>727.75</v>
      </c>
      <c r="B84">
        <f t="shared" si="25"/>
        <v>0.85138372781104843</v>
      </c>
      <c r="C84">
        <f t="shared" si="26"/>
        <v>103.9891031614163</v>
      </c>
      <c r="D84" s="4">
        <v>140.32219806399999</v>
      </c>
      <c r="E84">
        <f t="shared" si="27"/>
        <v>37.886993477280001</v>
      </c>
      <c r="F84" s="4">
        <v>21.9</v>
      </c>
      <c r="G84" s="20">
        <f t="shared" si="28"/>
        <v>81.03</v>
      </c>
      <c r="J84" s="7">
        <v>10.5241648548</v>
      </c>
      <c r="K84">
        <f t="shared" si="29"/>
        <v>1.4796984042653203</v>
      </c>
      <c r="L84">
        <f t="shared" si="40"/>
        <v>40.637127037410657</v>
      </c>
      <c r="M84">
        <f t="shared" si="41"/>
        <v>0.23481329093403405</v>
      </c>
      <c r="N84">
        <f>M84*$AU$2</f>
        <v>141.3576011422885</v>
      </c>
      <c r="O84">
        <v>131.19999999999999</v>
      </c>
      <c r="P84">
        <f t="shared" si="30"/>
        <v>13.12</v>
      </c>
      <c r="Q84">
        <f t="shared" si="31"/>
        <v>1</v>
      </c>
      <c r="R84">
        <f t="shared" si="42"/>
        <v>0.10999999999999943</v>
      </c>
      <c r="S84">
        <f>(0.5*$AU$2*(J84*J84))/1000</f>
        <v>33.338171813193263</v>
      </c>
      <c r="T84">
        <f>($AU$2*9.81*Q84)/1000</f>
        <v>5.9056199999999999</v>
      </c>
      <c r="U84">
        <f t="shared" si="22"/>
        <v>2.8169014084507043E-2</v>
      </c>
      <c r="V84">
        <f t="shared" si="23"/>
        <v>2.8161566987892423E-2</v>
      </c>
      <c r="W84">
        <f t="shared" si="32"/>
        <v>1.6135389328811822</v>
      </c>
      <c r="X84">
        <f>($AU$2*9.81*SIN(W84))</f>
        <v>5900.2262429624861</v>
      </c>
      <c r="Y84">
        <f>(0.06*($AU$2*9.81))</f>
        <v>354.3372</v>
      </c>
      <c r="Z84">
        <f t="shared" si="33"/>
        <v>6.4365581711421855</v>
      </c>
      <c r="AA84">
        <f>SUM(Z$3:Z84)</f>
        <v>74.744511444075613</v>
      </c>
      <c r="AB84">
        <v>0.3</v>
      </c>
      <c r="AC84" s="7">
        <f t="shared" si="34"/>
        <v>67.739399290610351</v>
      </c>
      <c r="AD84" s="21">
        <f>IF(AC84&gt;$AX$2,J84-1,AC84)</f>
        <v>9.5241648548000004</v>
      </c>
      <c r="AE84" s="21">
        <f t="shared" si="35"/>
        <v>9.5241648548000004</v>
      </c>
      <c r="AF84" s="22">
        <f t="shared" si="36"/>
        <v>0</v>
      </c>
      <c r="AG84" s="21">
        <f t="shared" si="37"/>
        <v>0</v>
      </c>
      <c r="AH84" s="21">
        <f>SUM(AE$3:AE84)</f>
        <v>363.66612141855757</v>
      </c>
      <c r="AI84" s="21">
        <f>SUM(AG$3:AG84)</f>
        <v>897.0045261474545</v>
      </c>
      <c r="AJ84" s="23">
        <f t="shared" si="38"/>
        <v>9.5241648548000004</v>
      </c>
      <c r="AK84" cm="1">
        <f t="array" ref="AK84">_xlfn.IFS(K84&lt;4,1,K84&lt;8,2,K84&gt;8,3)</f>
        <v>1</v>
      </c>
      <c r="AL84" cm="1">
        <f t="array" ref="AL84">_xlfn.IFS(K84&lt;9,2000,K84&lt;10,3500,K84&lt;12,5000,K84&lt;14,6500)</f>
        <v>2000</v>
      </c>
      <c r="AM84">
        <f>MATCH(AJ84,$AW$10:$BJ$10,1)</f>
        <v>11</v>
      </c>
      <c r="AN84">
        <v>175</v>
      </c>
      <c r="AO84">
        <f>(AE84*AN84/760)/$AS$14</f>
        <v>4.6318045484620178</v>
      </c>
      <c r="AP84">
        <f t="shared" si="39"/>
        <v>1.2866123745727827</v>
      </c>
      <c r="AQ84" s="21">
        <f>SUM(AP$3:AP84)</f>
        <v>49.127386932429339</v>
      </c>
    </row>
    <row r="85" spans="1:43">
      <c r="A85">
        <f t="shared" si="24"/>
        <v>736.625</v>
      </c>
      <c r="B85">
        <f t="shared" si="25"/>
        <v>0.83653463147253615</v>
      </c>
      <c r="C85">
        <f t="shared" si="26"/>
        <v>104.82563779288883</v>
      </c>
      <c r="D85" s="4">
        <v>142.59097464000001</v>
      </c>
      <c r="E85">
        <f t="shared" si="27"/>
        <v>38.499563152800008</v>
      </c>
      <c r="F85" s="4">
        <v>22.17</v>
      </c>
      <c r="G85" s="20">
        <f t="shared" si="28"/>
        <v>82.029000000000011</v>
      </c>
      <c r="J85" s="7">
        <v>10.694323098000002</v>
      </c>
      <c r="K85">
        <f t="shared" si="29"/>
        <v>10.694323098000002</v>
      </c>
      <c r="L85">
        <f t="shared" si="40"/>
        <v>41.961819719808361</v>
      </c>
      <c r="M85">
        <f t="shared" si="41"/>
        <v>0.20340848638923159</v>
      </c>
      <c r="N85">
        <f>M85*$AU$2</f>
        <v>122.45190880631742</v>
      </c>
      <c r="O85">
        <v>133.69999999999999</v>
      </c>
      <c r="P85">
        <f t="shared" si="30"/>
        <v>13.37</v>
      </c>
      <c r="Q85">
        <f t="shared" si="31"/>
        <v>1.25</v>
      </c>
      <c r="R85">
        <f t="shared" si="42"/>
        <v>0.25</v>
      </c>
      <c r="S85">
        <f>(0.5*$AU$2*(J85*J85))/1000</f>
        <v>34.424932503849327</v>
      </c>
      <c r="T85">
        <f>($AU$2*9.81*Q85)/1000</f>
        <v>7.3820249999999996</v>
      </c>
      <c r="U85">
        <f t="shared" si="22"/>
        <v>-2.9295774647887299E-2</v>
      </c>
      <c r="V85">
        <f t="shared" si="23"/>
        <v>-2.9287398002212733E-2</v>
      </c>
      <c r="W85">
        <f t="shared" si="32"/>
        <v>-1.6780442984466684</v>
      </c>
      <c r="X85">
        <f>($AU$2*9.81*SIN(W85))</f>
        <v>-5871.6889451121488</v>
      </c>
      <c r="Y85">
        <f>(0.06*($AU$2*9.81))</f>
        <v>354.3372</v>
      </c>
      <c r="Z85">
        <f t="shared" si="33"/>
        <v>-5.3529380165860232</v>
      </c>
      <c r="AA85">
        <f>SUM(Z$3:Z85)</f>
        <v>69.39157342748959</v>
      </c>
      <c r="AB85">
        <v>0.3</v>
      </c>
      <c r="AC85" s="7">
        <f t="shared" si="34"/>
        <v>-57.246048672938223</v>
      </c>
      <c r="AD85" s="21">
        <f>IF(AC85&gt;$AX$2,J85-1,AC85)</f>
        <v>-57.246048672938223</v>
      </c>
      <c r="AE85" s="21">
        <f t="shared" si="35"/>
        <v>0</v>
      </c>
      <c r="AF85" s="22">
        <f t="shared" si="36"/>
        <v>-57.246048672938223</v>
      </c>
      <c r="AG85" s="21">
        <f t="shared" si="37"/>
        <v>57.246048672938223</v>
      </c>
      <c r="AH85" s="21">
        <f>SUM(AE$3:AE85)</f>
        <v>363.66612141855757</v>
      </c>
      <c r="AI85" s="21">
        <f>SUM(AG$3:AG85)</f>
        <v>954.25057482039267</v>
      </c>
      <c r="AJ85" s="23">
        <f t="shared" si="38"/>
        <v>0</v>
      </c>
      <c r="AK85" cm="1">
        <f t="array" ref="AK85">_xlfn.IFS(K85&lt;4,1,K85&lt;8,2,K85&gt;8,3)</f>
        <v>3</v>
      </c>
      <c r="AL85" cm="1">
        <f t="array" ref="AL85">_xlfn.IFS(K85&lt;9,2000,K85&lt;10,3500,K85&lt;12,5000,K85&lt;14,6500)</f>
        <v>5000</v>
      </c>
      <c r="AM85">
        <f>MATCH(AJ85,$AW$10:$BJ$10,1)</f>
        <v>2</v>
      </c>
      <c r="AN85">
        <v>175</v>
      </c>
      <c r="AO85">
        <f>(AE85*AN85/760)/$AS$14</f>
        <v>0</v>
      </c>
      <c r="AP85">
        <f t="shared" si="39"/>
        <v>0</v>
      </c>
      <c r="AQ85" s="21">
        <f>SUM(AP$3:AP85)</f>
        <v>49.127386932429339</v>
      </c>
    </row>
    <row r="86" spans="1:43">
      <c r="A86">
        <f t="shared" si="24"/>
        <v>745.5</v>
      </c>
      <c r="B86">
        <f t="shared" si="25"/>
        <v>0.82155045649697123</v>
      </c>
      <c r="C86">
        <f t="shared" si="26"/>
        <v>105.64718824938579</v>
      </c>
      <c r="D86" s="4">
        <v>145.48222256299999</v>
      </c>
      <c r="E86">
        <f t="shared" si="27"/>
        <v>39.280200092009999</v>
      </c>
      <c r="F86" s="4">
        <v>22.44</v>
      </c>
      <c r="G86" s="20">
        <f t="shared" si="28"/>
        <v>83.028000000000006</v>
      </c>
      <c r="J86" s="7">
        <v>10.911166692224999</v>
      </c>
      <c r="K86">
        <f t="shared" si="29"/>
        <v>3.4394093653721223</v>
      </c>
      <c r="L86">
        <f t="shared" si="40"/>
        <v>43.680750645027366</v>
      </c>
      <c r="M86">
        <f t="shared" si="41"/>
        <v>0.2639443414706425</v>
      </c>
      <c r="N86">
        <f>M86*$AU$2</f>
        <v>158.89449356532677</v>
      </c>
      <c r="O86">
        <v>131.1</v>
      </c>
      <c r="P86">
        <f t="shared" si="30"/>
        <v>13.11</v>
      </c>
      <c r="Q86">
        <f t="shared" si="31"/>
        <v>0.99000000000000021</v>
      </c>
      <c r="R86">
        <f t="shared" si="42"/>
        <v>0.25999999999999979</v>
      </c>
      <c r="S86">
        <f>(0.5*$AU$2*(J86*J86))/1000</f>
        <v>35.835121134241582</v>
      </c>
      <c r="T86">
        <f>($AU$2*9.81*Q86)/1000</f>
        <v>5.8465638000000011</v>
      </c>
      <c r="U86">
        <f t="shared" si="22"/>
        <v>-6.1971830985915376E-2</v>
      </c>
      <c r="V86">
        <f t="shared" si="23"/>
        <v>-6.1892678862462663E-2</v>
      </c>
      <c r="W86">
        <f t="shared" si="32"/>
        <v>-3.5461892815776714</v>
      </c>
      <c r="X86">
        <f>($AU$2*9.81*SIN(W86))</f>
        <v>2324.7354317332165</v>
      </c>
      <c r="Y86">
        <f>(0.06*($AU$2*9.81))</f>
        <v>354.3372</v>
      </c>
      <c r="Z86">
        <f t="shared" si="33"/>
        <v>2.8816478759435702</v>
      </c>
      <c r="AA86">
        <f>SUM(Z$3:Z86)</f>
        <v>72.273221303433161</v>
      </c>
      <c r="AB86">
        <v>0.3</v>
      </c>
      <c r="AC86" s="7">
        <f t="shared" si="34"/>
        <v>31.442140322716398</v>
      </c>
      <c r="AD86" s="21">
        <f>IF(AC86&gt;$AX$2,J86-1,AC86)</f>
        <v>9.9111666922249988</v>
      </c>
      <c r="AE86" s="21">
        <f t="shared" si="35"/>
        <v>9.9111666922249988</v>
      </c>
      <c r="AF86" s="22">
        <f t="shared" si="36"/>
        <v>0</v>
      </c>
      <c r="AG86" s="21">
        <f t="shared" si="37"/>
        <v>0</v>
      </c>
      <c r="AH86" s="21">
        <f>SUM(AE$3:AE86)</f>
        <v>373.57728811078255</v>
      </c>
      <c r="AI86" s="21">
        <f>SUM(AG$3:AG86)</f>
        <v>954.25057482039267</v>
      </c>
      <c r="AJ86" s="23">
        <f t="shared" si="38"/>
        <v>9.9111666922249988</v>
      </c>
      <c r="AK86" cm="1">
        <f t="array" ref="AK86">_xlfn.IFS(K86&lt;4,1,K86&lt;8,2,K86&gt;8,3)</f>
        <v>1</v>
      </c>
      <c r="AL86" cm="1">
        <f t="array" ref="AL86">_xlfn.IFS(K86&lt;9,2000,K86&lt;10,3500,K86&lt;12,5000,K86&lt;14,6500)</f>
        <v>2000</v>
      </c>
      <c r="AM86">
        <f>MATCH(AJ86,$AW$10:$BJ$10,1)</f>
        <v>11</v>
      </c>
      <c r="AN86">
        <v>175</v>
      </c>
      <c r="AO86">
        <f>(AE86*AN86/760)/$AS$14</f>
        <v>4.8200117979349066</v>
      </c>
      <c r="AP86">
        <f t="shared" si="39"/>
        <v>1.3388921660930297</v>
      </c>
      <c r="AQ86" s="21">
        <f>SUM(AP$3:AP86)</f>
        <v>50.466279098522371</v>
      </c>
    </row>
    <row r="87" spans="1:43">
      <c r="A87">
        <f t="shared" si="24"/>
        <v>754.375</v>
      </c>
      <c r="B87">
        <f t="shared" si="25"/>
        <v>0.80574723064189135</v>
      </c>
      <c r="C87">
        <f t="shared" si="26"/>
        <v>106.45293548002768</v>
      </c>
      <c r="D87" s="4">
        <v>148.240991947</v>
      </c>
      <c r="E87">
        <f t="shared" si="27"/>
        <v>40.025067825690002</v>
      </c>
      <c r="F87" s="4">
        <v>22.71</v>
      </c>
      <c r="G87" s="20">
        <f t="shared" si="28"/>
        <v>84.027000000000001</v>
      </c>
      <c r="J87" s="7">
        <v>11.118074396024999</v>
      </c>
      <c r="K87">
        <f t="shared" si="29"/>
        <v>11.118074396024999</v>
      </c>
      <c r="L87">
        <f t="shared" si="40"/>
        <v>45.353088069298074</v>
      </c>
      <c r="M87">
        <f t="shared" si="41"/>
        <v>0.25678984169163233</v>
      </c>
      <c r="N87">
        <f>M87*$AU$2</f>
        <v>154.58748469836266</v>
      </c>
      <c r="O87">
        <v>125.6</v>
      </c>
      <c r="P87">
        <f t="shared" si="30"/>
        <v>12.56</v>
      </c>
      <c r="Q87">
        <f t="shared" si="31"/>
        <v>0.44000000000000128</v>
      </c>
      <c r="R87">
        <f t="shared" si="42"/>
        <v>0.54999999999999893</v>
      </c>
      <c r="S87">
        <f>(0.5*$AU$2*(J87*J87))/1000</f>
        <v>37.207085060939541</v>
      </c>
      <c r="T87">
        <f>($AU$2*9.81*Q87)/1000</f>
        <v>2.5984728000000072</v>
      </c>
      <c r="U87">
        <f t="shared" si="22"/>
        <v>-2.4788732394366068E-2</v>
      </c>
      <c r="V87">
        <f t="shared" si="23"/>
        <v>-2.4783656861739885E-2</v>
      </c>
      <c r="W87">
        <f t="shared" si="32"/>
        <v>-1.4199989390781382</v>
      </c>
      <c r="X87">
        <f>($AU$2*9.81*SIN(W87))</f>
        <v>-5838.6006825062232</v>
      </c>
      <c r="Y87">
        <f>(0.06*($AU$2*9.81))</f>
        <v>354.3372</v>
      </c>
      <c r="Z87">
        <f t="shared" si="33"/>
        <v>-5.2843229097385631</v>
      </c>
      <c r="AA87">
        <f>SUM(Z$3:Z87)</f>
        <v>66.988898393694598</v>
      </c>
      <c r="AB87">
        <v>0.3</v>
      </c>
      <c r="AC87" s="7">
        <f t="shared" si="34"/>
        <v>-58.751495243092641</v>
      </c>
      <c r="AD87" s="21">
        <f>IF(AC87&gt;$AX$2,J87-1,AC87)</f>
        <v>-58.751495243092641</v>
      </c>
      <c r="AE87" s="21">
        <f t="shared" si="35"/>
        <v>0</v>
      </c>
      <c r="AF87" s="22">
        <f t="shared" si="36"/>
        <v>-58.751495243092641</v>
      </c>
      <c r="AG87" s="21">
        <f t="shared" si="37"/>
        <v>58.751495243092641</v>
      </c>
      <c r="AH87" s="21">
        <f>SUM(AE$3:AE87)</f>
        <v>373.57728811078255</v>
      </c>
      <c r="AI87" s="21">
        <f>SUM(AG$3:AG87)</f>
        <v>1013.0020700634853</v>
      </c>
      <c r="AJ87" s="23">
        <f t="shared" si="38"/>
        <v>0</v>
      </c>
      <c r="AK87" cm="1">
        <f t="array" ref="AK87">_xlfn.IFS(K87&lt;4,1,K87&lt;8,2,K87&gt;8,3)</f>
        <v>3</v>
      </c>
      <c r="AL87" cm="1">
        <f t="array" ref="AL87">_xlfn.IFS(K87&lt;9,2000,K87&lt;10,3500,K87&lt;12,5000,K87&lt;14,6500)</f>
        <v>5000</v>
      </c>
      <c r="AM87">
        <f>MATCH(AJ87,$AW$10:$BJ$10,1)</f>
        <v>2</v>
      </c>
      <c r="AN87">
        <v>175</v>
      </c>
      <c r="AO87">
        <f>(AE87*AN87/760)/$AS$14</f>
        <v>0</v>
      </c>
      <c r="AP87">
        <f t="shared" si="39"/>
        <v>0</v>
      </c>
      <c r="AQ87" s="21">
        <f>SUM(AP$3:AP87)</f>
        <v>50.466279098522371</v>
      </c>
    </row>
    <row r="88" spans="1:43">
      <c r="A88">
        <f t="shared" si="24"/>
        <v>763.25</v>
      </c>
      <c r="B88">
        <f t="shared" si="25"/>
        <v>0.79135081759223169</v>
      </c>
      <c r="C88">
        <f t="shared" si="26"/>
        <v>107.24428629761991</v>
      </c>
      <c r="D88" s="4">
        <v>150.82569428799999</v>
      </c>
      <c r="E88">
        <f t="shared" si="27"/>
        <v>40.722937457760004</v>
      </c>
      <c r="F88" s="4">
        <v>22.97</v>
      </c>
      <c r="G88" s="20">
        <f t="shared" si="28"/>
        <v>84.989000000000004</v>
      </c>
      <c r="J88" s="7">
        <v>11.311927071600001</v>
      </c>
      <c r="K88">
        <f t="shared" si="29"/>
        <v>11.311927071600001</v>
      </c>
      <c r="L88">
        <f t="shared" si="40"/>
        <v>46.948411755455972</v>
      </c>
      <c r="M88">
        <f t="shared" si="41"/>
        <v>0.24496427029015913</v>
      </c>
      <c r="N88">
        <f>M88*$AU$2</f>
        <v>147.4684907146758</v>
      </c>
      <c r="O88">
        <v>123.4</v>
      </c>
      <c r="P88">
        <f t="shared" si="30"/>
        <v>12.340000000000002</v>
      </c>
      <c r="Q88">
        <f t="shared" si="31"/>
        <v>0.22000000000000242</v>
      </c>
      <c r="R88">
        <f t="shared" si="42"/>
        <v>0.21999999999999886</v>
      </c>
      <c r="S88">
        <f>(0.5*$AU$2*(J88*J88))/1000</f>
        <v>38.515867916032292</v>
      </c>
      <c r="T88">
        <f>($AU$2*9.81*Q88)/1000</f>
        <v>1.2992364000000143</v>
      </c>
      <c r="U88">
        <f t="shared" si="22"/>
        <v>7.2112676056338088E-2</v>
      </c>
      <c r="V88">
        <f t="shared" si="23"/>
        <v>7.1988063607258373E-2</v>
      </c>
      <c r="W88">
        <f t="shared" si="32"/>
        <v>4.1246122200152211</v>
      </c>
      <c r="X88">
        <f>($AU$2*9.81*SIN(W88))</f>
        <v>-4914.5125619799874</v>
      </c>
      <c r="Y88">
        <f>(0.06*($AU$2*9.81))</f>
        <v>354.3372</v>
      </c>
      <c r="Z88">
        <f t="shared" si="33"/>
        <v>-4.3657584595098564</v>
      </c>
      <c r="AA88">
        <f>SUM(Z$3:Z88)</f>
        <v>62.623139934184742</v>
      </c>
      <c r="AB88">
        <v>0.3</v>
      </c>
      <c r="AC88" s="7">
        <f t="shared" si="34"/>
        <v>-49.38514130619626</v>
      </c>
      <c r="AD88" s="21">
        <f>IF(AC88&gt;$AX$2,J88-1,AC88)</f>
        <v>-49.38514130619626</v>
      </c>
      <c r="AE88" s="21">
        <f t="shared" si="35"/>
        <v>0</v>
      </c>
      <c r="AF88" s="22">
        <f t="shared" si="36"/>
        <v>-49.38514130619626</v>
      </c>
      <c r="AG88" s="21">
        <f t="shared" si="37"/>
        <v>49.38514130619626</v>
      </c>
      <c r="AH88" s="21">
        <f>SUM(AE$3:AE88)</f>
        <v>373.57728811078255</v>
      </c>
      <c r="AI88" s="21">
        <f>SUM(AG$3:AG88)</f>
        <v>1062.3872113696816</v>
      </c>
      <c r="AJ88" s="23">
        <f t="shared" si="38"/>
        <v>0</v>
      </c>
      <c r="AK88" cm="1">
        <f t="array" ref="AK88">_xlfn.IFS(K88&lt;4,1,K88&lt;8,2,K88&gt;8,3)</f>
        <v>3</v>
      </c>
      <c r="AL88" cm="1">
        <f t="array" ref="AL88">_xlfn.IFS(K88&lt;9,2000,K88&lt;10,3500,K88&lt;12,5000,K88&lt;14,6500)</f>
        <v>5000</v>
      </c>
      <c r="AM88">
        <f>MATCH(AJ88,$AW$10:$BJ$10,1)</f>
        <v>2</v>
      </c>
      <c r="AN88">
        <v>175</v>
      </c>
      <c r="AO88">
        <f>(AE88*AN88/760)/$AS$14</f>
        <v>0</v>
      </c>
      <c r="AP88">
        <f t="shared" si="39"/>
        <v>0</v>
      </c>
      <c r="AQ88" s="21">
        <f>SUM(AP$3:AP88)</f>
        <v>50.466279098522371</v>
      </c>
    </row>
    <row r="89" spans="1:43">
      <c r="A89">
        <f t="shared" si="24"/>
        <v>772.125</v>
      </c>
      <c r="B89">
        <f t="shared" si="25"/>
        <v>0.77784282654537162</v>
      </c>
      <c r="C89">
        <f t="shared" si="26"/>
        <v>108.02212912416528</v>
      </c>
      <c r="D89" s="4">
        <v>153.43457345499999</v>
      </c>
      <c r="E89">
        <f t="shared" si="27"/>
        <v>41.427334832850001</v>
      </c>
      <c r="F89" s="4">
        <v>23.24</v>
      </c>
      <c r="G89" s="20">
        <f t="shared" si="28"/>
        <v>85.988</v>
      </c>
      <c r="J89" s="7">
        <v>11.507593009124999</v>
      </c>
      <c r="K89">
        <f t="shared" si="29"/>
        <v>1.9640102655832274</v>
      </c>
      <c r="L89">
        <f t="shared" si="40"/>
        <v>48.586621279277786</v>
      </c>
      <c r="M89">
        <f t="shared" si="41"/>
        <v>0.25154945298397763</v>
      </c>
      <c r="N89">
        <f>M89*$AU$2</f>
        <v>151.43277069635454</v>
      </c>
      <c r="O89">
        <v>129.80000000000001</v>
      </c>
      <c r="P89">
        <f t="shared" si="30"/>
        <v>12.980000000000002</v>
      </c>
      <c r="Q89">
        <f t="shared" si="31"/>
        <v>0.86000000000000298</v>
      </c>
      <c r="R89">
        <f t="shared" si="42"/>
        <v>0.64000000000000057</v>
      </c>
      <c r="S89">
        <f>(0.5*$AU$2*(J89*J89))/1000</f>
        <v>39.859833755962427</v>
      </c>
      <c r="T89">
        <f>($AU$2*9.81*Q89)/1000</f>
        <v>5.0788332000000169</v>
      </c>
      <c r="U89">
        <f t="shared" si="22"/>
        <v>3.8309859154929363E-2</v>
      </c>
      <c r="V89">
        <f t="shared" si="23"/>
        <v>3.8291133879717436E-2</v>
      </c>
      <c r="W89">
        <f t="shared" si="32"/>
        <v>2.1939203640782066</v>
      </c>
      <c r="X89">
        <f>($AU$2*9.81*SIN(W89))</f>
        <v>4795.7137173588726</v>
      </c>
      <c r="Y89">
        <f>(0.06*($AU$2*9.81))</f>
        <v>354.3372</v>
      </c>
      <c r="Z89">
        <f t="shared" si="33"/>
        <v>5.3500703093345043</v>
      </c>
      <c r="AA89">
        <f>SUM(Z$3:Z89)</f>
        <v>67.973210243519247</v>
      </c>
      <c r="AB89">
        <v>0.3</v>
      </c>
      <c r="AC89" s="7">
        <f t="shared" si="34"/>
        <v>61.566431690024963</v>
      </c>
      <c r="AD89" s="21">
        <f>IF(AC89&gt;$AX$2,J89-1,AC89)</f>
        <v>10.507593009124999</v>
      </c>
      <c r="AE89" s="21">
        <f t="shared" si="35"/>
        <v>10.507593009124999</v>
      </c>
      <c r="AF89" s="22">
        <f t="shared" si="36"/>
        <v>0</v>
      </c>
      <c r="AG89" s="21">
        <f t="shared" si="37"/>
        <v>0</v>
      </c>
      <c r="AH89" s="21">
        <f>SUM(AE$3:AE89)</f>
        <v>384.08488111990755</v>
      </c>
      <c r="AI89" s="21">
        <f>SUM(AG$3:AG89)</f>
        <v>1062.3872113696816</v>
      </c>
      <c r="AJ89" s="23">
        <f t="shared" si="38"/>
        <v>10.507593009124999</v>
      </c>
      <c r="AK89" cm="1">
        <f t="array" ref="AK89">_xlfn.IFS(K89&lt;4,1,K89&lt;8,2,K89&gt;8,3)</f>
        <v>1</v>
      </c>
      <c r="AL89" cm="1">
        <f t="array" ref="AL89">_xlfn.IFS(K89&lt;1,2000,K89&lt;2,3500,K89&lt;3,5000,K89&lt;4,6500)</f>
        <v>3500</v>
      </c>
      <c r="AM89">
        <f>MATCH(AJ89,$AW$10:$BJ$10,1)</f>
        <v>12</v>
      </c>
      <c r="AN89">
        <v>175</v>
      </c>
      <c r="AO89">
        <f>(AE89*AN89/760)/$AS$14</f>
        <v>5.1100666394413112</v>
      </c>
      <c r="AP89">
        <f t="shared" si="39"/>
        <v>1.4194629554003644</v>
      </c>
      <c r="AQ89" s="21">
        <f>SUM(AP$3:AP89)</f>
        <v>51.885742053922733</v>
      </c>
    </row>
    <row r="90" spans="1:43">
      <c r="A90">
        <f t="shared" si="24"/>
        <v>781</v>
      </c>
      <c r="B90">
        <f t="shared" si="25"/>
        <v>0.76472080629921735</v>
      </c>
      <c r="C90">
        <f t="shared" si="26"/>
        <v>108.7868499304645</v>
      </c>
      <c r="D90" s="4">
        <v>156.04656621999999</v>
      </c>
      <c r="E90">
        <f t="shared" si="27"/>
        <v>42.132572879400001</v>
      </c>
      <c r="F90" s="4">
        <v>23.52</v>
      </c>
      <c r="G90" s="20">
        <f t="shared" si="28"/>
        <v>87.024000000000001</v>
      </c>
      <c r="J90" s="7">
        <v>11.7034924665</v>
      </c>
      <c r="K90">
        <f t="shared" si="29"/>
        <v>11.7034924665</v>
      </c>
      <c r="L90">
        <f t="shared" si="40"/>
        <v>50.254929906634629</v>
      </c>
      <c r="M90">
        <f t="shared" si="41"/>
        <v>0.25617121407096693</v>
      </c>
      <c r="N90">
        <f>M90*$AU$2</f>
        <v>154.21507087072209</v>
      </c>
      <c r="O90">
        <v>133.19999999999999</v>
      </c>
      <c r="P90">
        <f t="shared" si="30"/>
        <v>13.32</v>
      </c>
      <c r="Q90">
        <f t="shared" si="31"/>
        <v>1.2000000000000011</v>
      </c>
      <c r="R90">
        <f t="shared" si="42"/>
        <v>0.33999999999999808</v>
      </c>
      <c r="S90">
        <f>(0.5*$AU$2*(J90*J90))/1000</f>
        <v>41.228492509940104</v>
      </c>
      <c r="T90">
        <f>($AU$2*9.81*Q90)/1000</f>
        <v>7.0867440000000057</v>
      </c>
      <c r="U90">
        <f t="shared" si="22"/>
        <v>-4.5070422535210307E-3</v>
      </c>
      <c r="V90">
        <f t="shared" si="23"/>
        <v>-4.5070117360640578E-3</v>
      </c>
      <c r="W90">
        <f t="shared" si="32"/>
        <v>-0.25823275069240065</v>
      </c>
      <c r="X90">
        <f>($AU$2*9.81*SIN(W90))</f>
        <v>-1508.1317582414797</v>
      </c>
      <c r="Y90">
        <f>(0.06*($AU$2*9.81))</f>
        <v>354.3372</v>
      </c>
      <c r="Z90">
        <f t="shared" si="33"/>
        <v>-0.94932455746412303</v>
      </c>
      <c r="AA90">
        <f>SUM(Z$3:Z90)</f>
        <v>67.023885686055124</v>
      </c>
      <c r="AB90">
        <v>0.3</v>
      </c>
      <c r="AC90" s="7">
        <f t="shared" si="34"/>
        <v>-11.11041280654481</v>
      </c>
      <c r="AD90" s="21">
        <f>IF(AC90&gt;$AX$2,J90-1,AC90)</f>
        <v>-11.11041280654481</v>
      </c>
      <c r="AE90" s="21">
        <f t="shared" si="35"/>
        <v>0</v>
      </c>
      <c r="AF90" s="22">
        <f t="shared" si="36"/>
        <v>-11.11041280654481</v>
      </c>
      <c r="AG90" s="21">
        <f t="shared" si="37"/>
        <v>11.11041280654481</v>
      </c>
      <c r="AH90" s="21">
        <f>SUM(AE$3:AE90)</f>
        <v>384.08488111990755</v>
      </c>
      <c r="AI90" s="21">
        <f>SUM(AG$3:AG90)</f>
        <v>1073.4976241762265</v>
      </c>
      <c r="AJ90" s="23">
        <f t="shared" si="38"/>
        <v>0</v>
      </c>
      <c r="AK90" cm="1">
        <f t="array" ref="AK90">_xlfn.IFS(K90&lt;4,1,K90&lt;8,2,K90&gt;8,3)</f>
        <v>3</v>
      </c>
      <c r="AL90" cm="1">
        <f t="array" ref="AL90">_xlfn.IFS(K90&lt;9,2000,K90&lt;10,3500,K90&lt;12,5000,K90&lt;14,6500)</f>
        <v>5000</v>
      </c>
      <c r="AM90">
        <f>MATCH(AJ90,$AW$10:$BJ$10,1)</f>
        <v>2</v>
      </c>
      <c r="AN90">
        <v>175</v>
      </c>
      <c r="AO90">
        <f>(AE90*AN90/760)/$AS$14</f>
        <v>0</v>
      </c>
      <c r="AP90">
        <f t="shared" si="39"/>
        <v>0</v>
      </c>
      <c r="AQ90" s="21">
        <f>SUM(AP$3:AP90)</f>
        <v>51.885742053922733</v>
      </c>
    </row>
    <row r="91" spans="1:43">
      <c r="A91">
        <f t="shared" si="24"/>
        <v>789.875</v>
      </c>
      <c r="B91">
        <f t="shared" si="25"/>
        <v>0.75253544409422335</v>
      </c>
      <c r="C91">
        <f t="shared" si="26"/>
        <v>109.53938537455872</v>
      </c>
      <c r="D91" s="4">
        <v>158.445818855</v>
      </c>
      <c r="E91">
        <f t="shared" si="27"/>
        <v>42.780371090850004</v>
      </c>
      <c r="F91" s="4">
        <v>23.79</v>
      </c>
      <c r="G91" s="20">
        <f t="shared" si="28"/>
        <v>88.022999999999996</v>
      </c>
      <c r="J91" s="7">
        <v>11.883436414125002</v>
      </c>
      <c r="K91">
        <f t="shared" si="29"/>
        <v>11.883436414125002</v>
      </c>
      <c r="L91">
        <f t="shared" si="40"/>
        <v>51.812172784037763</v>
      </c>
      <c r="M91">
        <f t="shared" si="41"/>
        <v>0.23911690676787897</v>
      </c>
      <c r="N91">
        <f>M91*$AU$2</f>
        <v>143.94837787426314</v>
      </c>
      <c r="O91">
        <v>132.80000000000001</v>
      </c>
      <c r="P91">
        <f t="shared" si="30"/>
        <v>13.280000000000001</v>
      </c>
      <c r="Q91">
        <f t="shared" si="31"/>
        <v>1.1600000000000019</v>
      </c>
      <c r="R91">
        <f t="shared" si="42"/>
        <v>3.9999999999999147E-2</v>
      </c>
      <c r="S91">
        <f>(0.5*$AU$2*(J91*J91))/1000</f>
        <v>42.50603436357418</v>
      </c>
      <c r="T91">
        <f>($AU$2*9.81*Q91)/1000</f>
        <v>6.8505192000000115</v>
      </c>
      <c r="U91">
        <f t="shared" si="22"/>
        <v>-5.0704225352112595E-2</v>
      </c>
      <c r="V91">
        <f t="shared" si="23"/>
        <v>-5.066084011329134E-2</v>
      </c>
      <c r="W91">
        <f t="shared" si="32"/>
        <v>-2.9026523250786571</v>
      </c>
      <c r="X91">
        <f>($AU$2*9.81*SIN(W91))</f>
        <v>-1397.7019479692042</v>
      </c>
      <c r="Y91">
        <f>(0.06*($AU$2*9.81))</f>
        <v>354.3372</v>
      </c>
      <c r="Z91">
        <f t="shared" si="33"/>
        <v>-0.84760419731090342</v>
      </c>
      <c r="AA91">
        <f>SUM(Z$3:Z91)</f>
        <v>66.176281488744223</v>
      </c>
      <c r="AB91">
        <v>0.3</v>
      </c>
      <c r="AC91" s="7">
        <f t="shared" si="34"/>
        <v>-10.072450583089584</v>
      </c>
      <c r="AD91" s="21">
        <f>IF(AC91&gt;$AX$2,J91-1,AC91)</f>
        <v>-10.072450583089584</v>
      </c>
      <c r="AE91" s="21">
        <f t="shared" si="35"/>
        <v>0</v>
      </c>
      <c r="AF91" s="22">
        <f t="shared" si="36"/>
        <v>-10.072450583089584</v>
      </c>
      <c r="AG91" s="21">
        <f t="shared" si="37"/>
        <v>10.072450583089584</v>
      </c>
      <c r="AH91" s="21">
        <f>SUM(AE$3:AE91)</f>
        <v>384.08488111990755</v>
      </c>
      <c r="AI91" s="21">
        <f>SUM(AG$3:AG91)</f>
        <v>1083.5700747593162</v>
      </c>
      <c r="AJ91" s="23">
        <f t="shared" si="38"/>
        <v>0</v>
      </c>
      <c r="AK91" cm="1">
        <f t="array" ref="AK91">_xlfn.IFS(K91&lt;4,1,K91&lt;8,2,K91&gt;8,3)</f>
        <v>3</v>
      </c>
      <c r="AL91" cm="1">
        <f t="array" ref="AL91">_xlfn.IFS(K91&lt;9,2000,K91&lt;10,3500,K91&lt;12,5000,K91&lt;14,6500)</f>
        <v>5000</v>
      </c>
      <c r="AM91">
        <f>MATCH(AJ91,$AW$10:$BJ$10,1)</f>
        <v>2</v>
      </c>
      <c r="AN91">
        <v>175</v>
      </c>
      <c r="AO91">
        <f>(AE91*AN91/760)/$AS$14</f>
        <v>0</v>
      </c>
      <c r="AP91">
        <f t="shared" si="39"/>
        <v>0</v>
      </c>
      <c r="AQ91" s="21">
        <f>SUM(AP$3:AP91)</f>
        <v>51.885742053922733</v>
      </c>
    </row>
    <row r="92" spans="1:43">
      <c r="A92">
        <f t="shared" si="24"/>
        <v>798.75</v>
      </c>
      <c r="B92">
        <f t="shared" si="25"/>
        <v>0.74155581913163438</v>
      </c>
      <c r="C92">
        <f t="shared" si="26"/>
        <v>110.28094119369035</v>
      </c>
      <c r="D92" s="4">
        <v>160.703003878</v>
      </c>
      <c r="E92">
        <f t="shared" si="27"/>
        <v>43.389811047060007</v>
      </c>
      <c r="F92" s="4">
        <v>24.06</v>
      </c>
      <c r="G92" s="20">
        <f t="shared" si="28"/>
        <v>89.022000000000006</v>
      </c>
      <c r="J92" s="7">
        <v>12.052725290850002</v>
      </c>
      <c r="K92">
        <f t="shared" si="29"/>
        <v>12.052725290850002</v>
      </c>
      <c r="L92">
        <f t="shared" si="40"/>
        <v>53.2988977870735</v>
      </c>
      <c r="M92">
        <f t="shared" si="41"/>
        <v>0.22828878468412311</v>
      </c>
      <c r="N92">
        <f>M92*$AU$2</f>
        <v>137.42984837984213</v>
      </c>
      <c r="O92">
        <v>128.30000000000001</v>
      </c>
      <c r="P92">
        <f t="shared" si="30"/>
        <v>12.830000000000002</v>
      </c>
      <c r="Q92">
        <f t="shared" si="31"/>
        <v>0.71000000000000263</v>
      </c>
      <c r="R92">
        <f t="shared" si="42"/>
        <v>0.44999999999999929</v>
      </c>
      <c r="S92">
        <f>(0.5*$AU$2*(J92*J92))/1000</f>
        <v>43.725724267945282</v>
      </c>
      <c r="T92">
        <f>($AU$2*9.81*Q92)/1000</f>
        <v>4.1929902000000157</v>
      </c>
      <c r="U92">
        <f t="shared" si="22"/>
        <v>-3.6056338028169245E-2</v>
      </c>
      <c r="V92">
        <f t="shared" si="23"/>
        <v>-3.6040725076613517E-2</v>
      </c>
      <c r="W92">
        <f t="shared" si="32"/>
        <v>-2.0649814374812654</v>
      </c>
      <c r="X92">
        <f>($AU$2*9.81*SIN(W92))</f>
        <v>-5199.0451414574054</v>
      </c>
      <c r="Y92">
        <f>(0.06*($AU$2*9.81))</f>
        <v>354.3372</v>
      </c>
      <c r="Z92">
        <f t="shared" si="33"/>
        <v>-4.6539791952904901</v>
      </c>
      <c r="AA92">
        <f>SUM(Z$3:Z92)</f>
        <v>61.522302293453734</v>
      </c>
      <c r="AB92">
        <v>0.3</v>
      </c>
      <c r="AC92" s="7">
        <f t="shared" si="34"/>
        <v>-56.093132750167435</v>
      </c>
      <c r="AD92" s="21">
        <f>IF(AC92&gt;$AX$2,J92-1,AC92)</f>
        <v>-56.093132750167435</v>
      </c>
      <c r="AE92" s="21">
        <f t="shared" si="35"/>
        <v>0</v>
      </c>
      <c r="AF92" s="22">
        <f t="shared" si="36"/>
        <v>-56.093132750167435</v>
      </c>
      <c r="AG92" s="21">
        <f t="shared" si="37"/>
        <v>56.093132750167435</v>
      </c>
      <c r="AH92" s="21">
        <f>SUM(AE$3:AE92)</f>
        <v>384.08488111990755</v>
      </c>
      <c r="AI92" s="21">
        <f>SUM(AG$3:AG92)</f>
        <v>1139.6632075094835</v>
      </c>
      <c r="AJ92" s="23">
        <f t="shared" si="38"/>
        <v>0</v>
      </c>
      <c r="AK92" cm="1">
        <f t="array" ref="AK92">_xlfn.IFS(K92&lt;4,1,K92&lt;8,2,K92&gt;8,3)</f>
        <v>3</v>
      </c>
      <c r="AL92" cm="1">
        <f t="array" ref="AL92">_xlfn.IFS(K92&lt;9,2000,K92&lt;10,3500,K92&lt;12,5000,K92&lt;14,6500)</f>
        <v>6500</v>
      </c>
      <c r="AM92">
        <f>MATCH(AJ92,$AW$10:$BJ$10,1)</f>
        <v>2</v>
      </c>
      <c r="AN92">
        <v>175</v>
      </c>
      <c r="AO92">
        <f>(AE92*AN92/760)/$AS$14</f>
        <v>0</v>
      </c>
      <c r="AP92">
        <f t="shared" si="39"/>
        <v>0</v>
      </c>
      <c r="AQ92" s="21">
        <f>SUM(AP$3:AP92)</f>
        <v>51.885742053922733</v>
      </c>
    </row>
    <row r="93" spans="1:43">
      <c r="A93">
        <f t="shared" si="24"/>
        <v>807.625</v>
      </c>
      <c r="B93">
        <f t="shared" si="25"/>
        <v>0.73258366916802709</v>
      </c>
      <c r="C93">
        <f t="shared" si="26"/>
        <v>111.01352486285838</v>
      </c>
      <c r="D93" s="4">
        <v>162.35452064399999</v>
      </c>
      <c r="E93">
        <f t="shared" si="27"/>
        <v>43.835720573880003</v>
      </c>
      <c r="F93" s="4">
        <v>24.33</v>
      </c>
      <c r="G93" s="20">
        <f t="shared" si="28"/>
        <v>90.021000000000001</v>
      </c>
      <c r="J93" s="7">
        <v>12.1765890483</v>
      </c>
      <c r="K93">
        <f t="shared" si="29"/>
        <v>2.1700970645032087</v>
      </c>
      <c r="L93">
        <f t="shared" si="40"/>
        <v>54.400013820297765</v>
      </c>
      <c r="M93">
        <f t="shared" si="41"/>
        <v>0.16907796701319727</v>
      </c>
      <c r="N93">
        <f>M93*$AU$2</f>
        <v>101.78493614194475</v>
      </c>
      <c r="O93">
        <v>125.1</v>
      </c>
      <c r="P93">
        <f t="shared" si="30"/>
        <v>12.51</v>
      </c>
      <c r="Q93">
        <f t="shared" si="31"/>
        <v>0.39000000000000057</v>
      </c>
      <c r="R93">
        <f t="shared" si="42"/>
        <v>0.32000000000000206</v>
      </c>
      <c r="S93">
        <f>(0.5*$AU$2*(J93*J93))/1000</f>
        <v>44.629065576205036</v>
      </c>
      <c r="T93">
        <f>($AU$2*9.81*Q93)/1000</f>
        <v>2.3031918000000031</v>
      </c>
      <c r="U93">
        <f t="shared" si="22"/>
        <v>1.5774647887324009E-2</v>
      </c>
      <c r="V93">
        <f t="shared" si="23"/>
        <v>1.5773339630731062E-2</v>
      </c>
      <c r="W93">
        <f t="shared" si="32"/>
        <v>0.90374578966733032</v>
      </c>
      <c r="X93">
        <f>($AU$2*9.81*SIN(W93))</f>
        <v>4639.7493430129398</v>
      </c>
      <c r="Y93">
        <f>(0.06*($AU$2*9.81))</f>
        <v>354.3372</v>
      </c>
      <c r="Z93">
        <f t="shared" si="33"/>
        <v>5.1502714929751816</v>
      </c>
      <c r="AA93">
        <f>SUM(Z$3:Z93)</f>
        <v>66.672573786428913</v>
      </c>
      <c r="AB93">
        <v>0.3</v>
      </c>
      <c r="AC93" s="7">
        <f t="shared" si="34"/>
        <v>62.712739457133289</v>
      </c>
      <c r="AD93" s="21">
        <f>IF(AC93&gt;$AX$2,J93-1,AC93)</f>
        <v>11.1765890483</v>
      </c>
      <c r="AE93" s="21">
        <f t="shared" si="35"/>
        <v>11.1765890483</v>
      </c>
      <c r="AF93" s="22">
        <f t="shared" si="36"/>
        <v>0</v>
      </c>
      <c r="AG93" s="21">
        <f t="shared" si="37"/>
        <v>0</v>
      </c>
      <c r="AH93" s="21">
        <f>SUM(AE$3:AE93)</f>
        <v>395.26147016820755</v>
      </c>
      <c r="AI93" s="21">
        <f>SUM(AG$3:AG93)</f>
        <v>1139.6632075094835</v>
      </c>
      <c r="AJ93" s="23">
        <f t="shared" si="38"/>
        <v>11.1765890483</v>
      </c>
      <c r="AK93" cm="1">
        <f t="array" ref="AK93">_xlfn.IFS(K93&lt;4,1,K93&lt;8,2,K93&gt;8,3)</f>
        <v>1</v>
      </c>
      <c r="AL93" cm="1">
        <f t="array" ref="AL93">_xlfn.IFS(K93&lt;5,2000,K93&lt;6,3500,K93&lt;7,5000,K93&lt;8,6500)</f>
        <v>2000</v>
      </c>
      <c r="AM93">
        <f>MATCH(AJ93,$AW$10:$BJ$10,1)</f>
        <v>13</v>
      </c>
      <c r="AN93">
        <v>175</v>
      </c>
      <c r="AO93">
        <f>(AE93*AN93/760)/$AS$14</f>
        <v>5.4354136850242289</v>
      </c>
      <c r="AP93">
        <f t="shared" si="39"/>
        <v>1.5098371347289525</v>
      </c>
      <c r="AQ93" s="21">
        <f>SUM(AP$3:AP93)</f>
        <v>53.395579188651688</v>
      </c>
    </row>
    <row r="94" spans="1:43">
      <c r="A94">
        <f t="shared" si="24"/>
        <v>816.5</v>
      </c>
      <c r="B94">
        <f t="shared" si="25"/>
        <v>0.72335836811856924</v>
      </c>
      <c r="C94">
        <f t="shared" si="26"/>
        <v>111.73688323097694</v>
      </c>
      <c r="D94" s="4">
        <v>164.82309573200001</v>
      </c>
      <c r="E94">
        <f t="shared" si="27"/>
        <v>44.502235847640009</v>
      </c>
      <c r="F94" s="4">
        <v>24.6</v>
      </c>
      <c r="G94" s="20">
        <f t="shared" si="28"/>
        <v>91.02000000000001</v>
      </c>
      <c r="J94" s="7">
        <v>12.361732179900002</v>
      </c>
      <c r="K94">
        <f t="shared" si="29"/>
        <v>5.2272223947039471</v>
      </c>
      <c r="L94">
        <f t="shared" si="40"/>
        <v>56.066877810691366</v>
      </c>
      <c r="M94">
        <f t="shared" si="41"/>
        <v>0.25594938796595867</v>
      </c>
      <c r="N94">
        <f>M94*$AU$2</f>
        <v>154.08153155550713</v>
      </c>
      <c r="O94">
        <v>126.5</v>
      </c>
      <c r="P94">
        <f t="shared" si="30"/>
        <v>12.65</v>
      </c>
      <c r="Q94">
        <f t="shared" si="31"/>
        <v>0.53000000000000114</v>
      </c>
      <c r="R94">
        <f t="shared" si="42"/>
        <v>0.14000000000000057</v>
      </c>
      <c r="S94">
        <f>(0.5*$AU$2*(J94*J94))/1000</f>
        <v>45.996539168760158</v>
      </c>
      <c r="T94">
        <f>($AU$2*9.81*Q94)/1000</f>
        <v>3.1299786000000069</v>
      </c>
      <c r="U94">
        <f t="shared" si="22"/>
        <v>-5.9718309859155057E-2</v>
      </c>
      <c r="V94">
        <f t="shared" si="23"/>
        <v>-5.9647470707687229E-2</v>
      </c>
      <c r="W94">
        <f t="shared" si="32"/>
        <v>-3.4175483301806842</v>
      </c>
      <c r="X94">
        <f>($AU$2*9.81*SIN(W94))</f>
        <v>1609.0840844374059</v>
      </c>
      <c r="Y94">
        <f>(0.06*($AU$2*9.81))</f>
        <v>354.3372</v>
      </c>
      <c r="Z94">
        <f t="shared" si="33"/>
        <v>2.1735696938036044</v>
      </c>
      <c r="AA94">
        <f>SUM(Z$3:Z94)</f>
        <v>68.846143480232513</v>
      </c>
      <c r="AB94">
        <v>0.3</v>
      </c>
      <c r="AC94" s="7">
        <f t="shared" si="34"/>
        <v>26.869086429147412</v>
      </c>
      <c r="AD94" s="21">
        <f>IF(AC94&gt;$AX$2,J94-1,AC94)</f>
        <v>11.361732179900002</v>
      </c>
      <c r="AE94" s="21">
        <f t="shared" si="35"/>
        <v>11.361732179900002</v>
      </c>
      <c r="AF94" s="22">
        <f t="shared" si="36"/>
        <v>0</v>
      </c>
      <c r="AG94" s="21">
        <f t="shared" si="37"/>
        <v>0</v>
      </c>
      <c r="AH94" s="21">
        <f>SUM(AE$3:AE94)</f>
        <v>406.62320234810755</v>
      </c>
      <c r="AI94" s="21">
        <f>SUM(AG$3:AG94)</f>
        <v>1139.6632075094835</v>
      </c>
      <c r="AJ94" s="23">
        <f t="shared" si="38"/>
        <v>11.361732179900002</v>
      </c>
      <c r="AK94" cm="1">
        <f t="array" ref="AK94">_xlfn.IFS(K94&lt;4,1,K94&lt;8,2,K94&gt;8,3)</f>
        <v>2</v>
      </c>
      <c r="AL94" cm="1">
        <f t="array" ref="AL94">_xlfn.IFS(K94&lt;5,2000,K94&lt;6,3500,K94&lt;7,5000,K94&lt;8,6500)</f>
        <v>3500</v>
      </c>
      <c r="AM94">
        <f>MATCH(AJ94,$AW$10:$BJ$10,1)</f>
        <v>13</v>
      </c>
      <c r="AN94">
        <v>175</v>
      </c>
      <c r="AO94">
        <f>(AE94*AN94/760)/$AS$14</f>
        <v>5.5254527395906994</v>
      </c>
      <c r="AP94">
        <f t="shared" si="39"/>
        <v>1.5348479832196387</v>
      </c>
      <c r="AQ94" s="21">
        <f>SUM(AP$3:AP94)</f>
        <v>54.93042717187133</v>
      </c>
    </row>
    <row r="95" spans="1:43">
      <c r="A95">
        <f t="shared" si="24"/>
        <v>825.375</v>
      </c>
      <c r="B95">
        <f t="shared" si="25"/>
        <v>0.71303737900078334</v>
      </c>
      <c r="C95">
        <f t="shared" si="26"/>
        <v>112.44992060997772</v>
      </c>
      <c r="D95" s="4">
        <v>167.09031250800001</v>
      </c>
      <c r="E95">
        <f t="shared" si="27"/>
        <v>45.114384377160007</v>
      </c>
      <c r="F95" s="4">
        <v>24.87</v>
      </c>
      <c r="G95" s="20">
        <f t="shared" si="28"/>
        <v>92.019000000000005</v>
      </c>
      <c r="J95" s="7">
        <v>12.531773438100002</v>
      </c>
      <c r="K95">
        <f t="shared" si="29"/>
        <v>12.313527637731491</v>
      </c>
      <c r="L95">
        <f t="shared" si="40"/>
        <v>57.619937265369437</v>
      </c>
      <c r="M95">
        <f t="shared" si="41"/>
        <v>0.2384745361292108</v>
      </c>
      <c r="N95">
        <f>M95*$AU$2</f>
        <v>143.56167074978489</v>
      </c>
      <c r="O95">
        <v>121.2</v>
      </c>
      <c r="P95">
        <f t="shared" si="30"/>
        <v>12.120000000000001</v>
      </c>
      <c r="Q95">
        <f t="shared" si="31"/>
        <v>0</v>
      </c>
      <c r="R95">
        <f t="shared" si="42"/>
        <v>0.53000000000000114</v>
      </c>
      <c r="S95">
        <f>(0.5*$AU$2*(J95*J95))/1000</f>
        <v>47.270648996664491</v>
      </c>
      <c r="T95">
        <f>($AU$2*9.81*Q95)/1000</f>
        <v>0</v>
      </c>
      <c r="U95">
        <f t="shared" si="22"/>
        <v>1.1267605633804578E-3</v>
      </c>
      <c r="V95">
        <f t="shared" si="23"/>
        <v>1.1267600865397442E-3</v>
      </c>
      <c r="W95">
        <f t="shared" si="32"/>
        <v>6.4558597482522739E-2</v>
      </c>
      <c r="X95">
        <f>($AU$2*9.81*SIN(W95))</f>
        <v>380.99376396007619</v>
      </c>
      <c r="Y95">
        <f>(0.06*($AU$2*9.81))</f>
        <v>354.3372</v>
      </c>
      <c r="Z95">
        <f t="shared" si="33"/>
        <v>0.93651257197523041</v>
      </c>
      <c r="AA95">
        <f>SUM(Z$3:Z95)</f>
        <v>69.782656052207741</v>
      </c>
      <c r="AB95">
        <v>0.3</v>
      </c>
      <c r="AC95" s="7">
        <f t="shared" si="34"/>
        <v>11.736163373925908</v>
      </c>
      <c r="AD95" s="21">
        <f>IF(AC95&gt;$AX$2,J95-1,AC95)</f>
        <v>11.531773438100002</v>
      </c>
      <c r="AE95" s="21">
        <f t="shared" si="35"/>
        <v>11.531773438100002</v>
      </c>
      <c r="AF95" s="22">
        <f t="shared" si="36"/>
        <v>0</v>
      </c>
      <c r="AG95" s="21">
        <f t="shared" si="37"/>
        <v>0</v>
      </c>
      <c r="AH95" s="21">
        <f>SUM(AE$3:AE95)</f>
        <v>418.15497578620756</v>
      </c>
      <c r="AI95" s="21">
        <f>SUM(AG$3:AG95)</f>
        <v>1139.6632075094835</v>
      </c>
      <c r="AJ95" s="23">
        <f t="shared" si="38"/>
        <v>11.531773438100002</v>
      </c>
      <c r="AK95" cm="1">
        <f t="array" ref="AK95">_xlfn.IFS(K95&lt;4,1,K95&lt;8,2,K95&gt;8,3)</f>
        <v>3</v>
      </c>
      <c r="AL95" cm="1">
        <f t="array" ref="AL95">_xlfn.IFS(K95&lt;9,2000,K95&lt;10,3500,K95&lt;12,5000,K95&lt;14,6500)</f>
        <v>6500</v>
      </c>
      <c r="AM95">
        <f>MATCH(AJ95,$AW$10:$BJ$10,1)</f>
        <v>13</v>
      </c>
      <c r="AN95">
        <v>175</v>
      </c>
      <c r="AO95">
        <f>(AE95*AN95/760)/$AS$14</f>
        <v>5.6081474309535881</v>
      </c>
      <c r="AP95">
        <f t="shared" si="39"/>
        <v>1.5578187308204412</v>
      </c>
      <c r="AQ95" s="21">
        <f>SUM(AP$3:AP95)</f>
        <v>56.488245902691773</v>
      </c>
    </row>
    <row r="96" spans="1:43">
      <c r="A96">
        <f t="shared" si="24"/>
        <v>834.25</v>
      </c>
      <c r="B96">
        <f t="shared" si="25"/>
        <v>0.70353548368779495</v>
      </c>
      <c r="C96">
        <f t="shared" si="26"/>
        <v>113.15345609366553</v>
      </c>
      <c r="D96" s="4">
        <v>169.305892309</v>
      </c>
      <c r="E96">
        <f t="shared" si="27"/>
        <v>45.712590923430007</v>
      </c>
      <c r="F96" s="4">
        <v>25.14</v>
      </c>
      <c r="G96" s="20">
        <f t="shared" si="28"/>
        <v>93.018000000000001</v>
      </c>
      <c r="J96" s="7">
        <v>12.697941923175001</v>
      </c>
      <c r="K96">
        <f t="shared" si="29"/>
        <v>66.964650424816099</v>
      </c>
      <c r="L96">
        <f t="shared" si="40"/>
        <v>59.158122801038935</v>
      </c>
      <c r="M96">
        <f t="shared" si="41"/>
        <v>0.23619062425106901</v>
      </c>
      <c r="N96">
        <f>M96*$AU$2</f>
        <v>142.18675579914355</v>
      </c>
      <c r="O96">
        <v>121.3</v>
      </c>
      <c r="P96">
        <f t="shared" si="30"/>
        <v>12.13</v>
      </c>
      <c r="Q96">
        <f t="shared" si="31"/>
        <v>1.0000000000001563E-2</v>
      </c>
      <c r="R96">
        <f t="shared" si="42"/>
        <v>1.0000000000001563E-2</v>
      </c>
      <c r="S96">
        <f>(0.5*$AU$2*(J96*J96))/1000</f>
        <v>48.532556454381897</v>
      </c>
      <c r="T96">
        <f>($AU$2*9.81*Q96)/1000</f>
        <v>5.9056200000009232E-2</v>
      </c>
      <c r="U96">
        <f t="shared" si="22"/>
        <v>-1.1267605633804578E-3</v>
      </c>
      <c r="V96">
        <f t="shared" si="23"/>
        <v>-1.1267600865397442E-3</v>
      </c>
      <c r="W96">
        <f t="shared" si="32"/>
        <v>-6.4558597482522739E-2</v>
      </c>
      <c r="X96">
        <f>($AU$2*9.81*SIN(W96))</f>
        <v>-380.99376396007619</v>
      </c>
      <c r="Y96">
        <f>(0.06*($AU$2*9.81))</f>
        <v>354.3372</v>
      </c>
      <c r="Z96">
        <f t="shared" si="33"/>
        <v>0.17468831464010628</v>
      </c>
      <c r="AA96">
        <f>SUM(Z$3:Z96)</f>
        <v>69.957344366847849</v>
      </c>
      <c r="AB96">
        <v>0.3</v>
      </c>
      <c r="AC96" s="7">
        <f t="shared" si="34"/>
        <v>2.218182073957391</v>
      </c>
      <c r="AD96" s="21">
        <f>IF(AC96&gt;$AX$2,J96-1,AC96)</f>
        <v>11.697941923175001</v>
      </c>
      <c r="AE96" s="21">
        <f t="shared" si="35"/>
        <v>11.697941923175001</v>
      </c>
      <c r="AF96" s="22">
        <f t="shared" si="36"/>
        <v>0</v>
      </c>
      <c r="AG96" s="21">
        <f t="shared" si="37"/>
        <v>0</v>
      </c>
      <c r="AH96" s="21">
        <f>SUM(AE$3:AE96)</f>
        <v>429.85291770938255</v>
      </c>
      <c r="AI96" s="21">
        <f>SUM(AG$3:AG96)</f>
        <v>1139.6632075094835</v>
      </c>
      <c r="AJ96" s="23">
        <f t="shared" si="38"/>
        <v>11.697941923175001</v>
      </c>
      <c r="AK96" cm="1">
        <f t="array" ref="AK96">_xlfn.IFS(K96&lt;4,1,K96&lt;8,2,K96&gt;8,3)</f>
        <v>3</v>
      </c>
      <c r="AL96" t="e" cm="1">
        <f t="array" ref="AL96">_xlfn.IFS(K96&lt;9,2000,K96&lt;10,3500,K96&lt;12,5000,K96&lt;14,6500)</f>
        <v>#N/A</v>
      </c>
      <c r="AM96">
        <f>MATCH(AJ96,$AW$10:$BJ$10,1)</f>
        <v>13</v>
      </c>
      <c r="AN96">
        <v>175</v>
      </c>
      <c r="AO96">
        <f>(AE96*AN96/760)/$AS$14</f>
        <v>5.6889587101276913</v>
      </c>
      <c r="AP96">
        <f t="shared" si="39"/>
        <v>1.5802663083688031</v>
      </c>
      <c r="AQ96" s="21">
        <f>SUM(AP$3:AP96)</f>
        <v>58.068512211060579</v>
      </c>
    </row>
    <row r="97" spans="1:43">
      <c r="A97">
        <f t="shared" si="24"/>
        <v>843.125</v>
      </c>
      <c r="B97">
        <f t="shared" si="25"/>
        <v>0.69453286048700169</v>
      </c>
      <c r="C97">
        <f t="shared" si="26"/>
        <v>113.84798895415253</v>
      </c>
      <c r="D97" s="4">
        <v>171.45072286499999</v>
      </c>
      <c r="E97">
        <f t="shared" si="27"/>
        <v>46.291695173550004</v>
      </c>
      <c r="F97" s="4">
        <v>25.41</v>
      </c>
      <c r="G97" s="20">
        <f t="shared" si="28"/>
        <v>94.01700000000001</v>
      </c>
      <c r="J97" s="7">
        <v>12.858804214875001</v>
      </c>
      <c r="K97">
        <f t="shared" si="29"/>
        <v>2.4364301862211266</v>
      </c>
      <c r="L97">
        <f t="shared" si="40"/>
        <v>60.666491537407104</v>
      </c>
      <c r="M97">
        <f t="shared" si="41"/>
        <v>0.23161221138939869</v>
      </c>
      <c r="N97">
        <f>M97*$AU$2</f>
        <v>139.430551256418</v>
      </c>
      <c r="O97">
        <v>121.2</v>
      </c>
      <c r="P97">
        <f t="shared" si="30"/>
        <v>12.120000000000001</v>
      </c>
      <c r="Q97">
        <f t="shared" si="31"/>
        <v>0</v>
      </c>
      <c r="R97">
        <f t="shared" si="42"/>
        <v>1.0000000000001563E-2</v>
      </c>
      <c r="S97">
        <f>(0.5*$AU$2*(J97*J97))/1000</f>
        <v>49.770002596782611</v>
      </c>
      <c r="T97">
        <f>($AU$2*9.81*Q97)/1000</f>
        <v>0</v>
      </c>
      <c r="U97">
        <f t="shared" si="22"/>
        <v>4.0563380281690278E-2</v>
      </c>
      <c r="V97">
        <f t="shared" si="23"/>
        <v>4.0541154722083909E-2</v>
      </c>
      <c r="W97">
        <f t="shared" si="32"/>
        <v>2.322837062162276</v>
      </c>
      <c r="X97">
        <f>($AU$2*9.81*SIN(W97))</f>
        <v>4312.8524465358041</v>
      </c>
      <c r="Y97">
        <f>(0.06*($AU$2*9.81))</f>
        <v>354.3372</v>
      </c>
      <c r="Z97">
        <f t="shared" si="33"/>
        <v>4.8672866893296298</v>
      </c>
      <c r="AA97">
        <f>SUM(Z$3:Z97)</f>
        <v>74.824631056177481</v>
      </c>
      <c r="AB97">
        <v>0.3</v>
      </c>
      <c r="AC97" s="7">
        <f t="shared" si="34"/>
        <v>62.587486595756829</v>
      </c>
      <c r="AD97" s="21">
        <f>IF(AC97&gt;$AX$2,J97-1,AC97)</f>
        <v>11.858804214875001</v>
      </c>
      <c r="AE97" s="21">
        <f t="shared" si="35"/>
        <v>11.858804214875001</v>
      </c>
      <c r="AF97" s="22">
        <f t="shared" si="36"/>
        <v>0</v>
      </c>
      <c r="AG97" s="21">
        <f t="shared" si="37"/>
        <v>0</v>
      </c>
      <c r="AH97" s="21">
        <f>SUM(AE$3:AE97)</f>
        <v>441.71172192425757</v>
      </c>
      <c r="AI97" s="21">
        <f>SUM(AG$3:AG97)</f>
        <v>1139.6632075094835</v>
      </c>
      <c r="AJ97" s="23">
        <f t="shared" si="38"/>
        <v>11.858804214875001</v>
      </c>
      <c r="AK97" cm="1">
        <f t="array" ref="AK97">_xlfn.IFS(K97&lt;4,1,K97&lt;8,2,K97&gt;8,3)</f>
        <v>1</v>
      </c>
      <c r="AL97" cm="1">
        <f t="array" ref="AL97">_xlfn.IFS(K97&lt;9,2000,K97&lt;10,3500,K97&lt;12,5000,K97&lt;14,6500)</f>
        <v>2000</v>
      </c>
      <c r="AM97">
        <f>MATCH(AJ97,$AW$10:$BJ$10,1)</f>
        <v>13</v>
      </c>
      <c r="AN97">
        <v>175</v>
      </c>
      <c r="AO97">
        <f>(AE97*AN97/760)/$AS$14</f>
        <v>5.7671894742661953</v>
      </c>
      <c r="AP97">
        <f t="shared" si="39"/>
        <v>1.6019970761850544</v>
      </c>
      <c r="AQ97" s="21">
        <f>SUM(AP$3:AP97)</f>
        <v>59.670509287245636</v>
      </c>
    </row>
    <row r="98" spans="1:43">
      <c r="A98">
        <f t="shared" si="24"/>
        <v>852</v>
      </c>
      <c r="B98">
        <f t="shared" si="25"/>
        <v>0.68603940750273751</v>
      </c>
      <c r="C98">
        <f t="shared" si="26"/>
        <v>114.53402836165526</v>
      </c>
      <c r="D98" s="4">
        <v>173.524600824</v>
      </c>
      <c r="E98">
        <f t="shared" si="27"/>
        <v>46.851642222480002</v>
      </c>
      <c r="F98" s="4">
        <v>25.68</v>
      </c>
      <c r="G98" s="20">
        <f t="shared" si="28"/>
        <v>95.016000000000005</v>
      </c>
      <c r="J98" s="7">
        <v>13.014345061800002</v>
      </c>
      <c r="K98">
        <f t="shared" si="29"/>
        <v>9.9930610172321632</v>
      </c>
      <c r="L98">
        <f t="shared" si="40"/>
        <v>62.143018783509746</v>
      </c>
      <c r="M98">
        <f t="shared" si="41"/>
        <v>0.22672290428794625</v>
      </c>
      <c r="N98">
        <f>M98*$AU$2</f>
        <v>136.48718838134366</v>
      </c>
      <c r="O98">
        <v>124.8</v>
      </c>
      <c r="P98">
        <f t="shared" si="30"/>
        <v>12.48</v>
      </c>
      <c r="Q98">
        <f t="shared" si="31"/>
        <v>0.36000000000000121</v>
      </c>
      <c r="R98">
        <f t="shared" si="42"/>
        <v>0.36000000000000121</v>
      </c>
      <c r="S98">
        <f>(0.5*$AU$2*(J98*J98))/1000</f>
        <v>50.981326393667025</v>
      </c>
      <c r="T98">
        <f>($AU$2*9.81*Q98)/1000</f>
        <v>2.1260232000000068</v>
      </c>
      <c r="U98">
        <f t="shared" si="22"/>
        <v>5.2957746478873309E-2</v>
      </c>
      <c r="V98">
        <f t="shared" si="23"/>
        <v>5.2908322547459315E-2</v>
      </c>
      <c r="W98">
        <f t="shared" si="32"/>
        <v>3.031423583086271</v>
      </c>
      <c r="X98">
        <f>($AU$2*9.81*SIN(W98))</f>
        <v>649.30135123483103</v>
      </c>
      <c r="Y98">
        <f>(0.06*($AU$2*9.81))</f>
        <v>354.3372</v>
      </c>
      <c r="Z98">
        <f t="shared" si="33"/>
        <v>1.2022687583996845</v>
      </c>
      <c r="AA98">
        <f>SUM(Z$3:Z98)</f>
        <v>76.026899814577163</v>
      </c>
      <c r="AB98">
        <v>0.3</v>
      </c>
      <c r="AC98" s="7">
        <f t="shared" si="34"/>
        <v>15.646740478835353</v>
      </c>
      <c r="AD98" s="21">
        <f>IF(AC98&gt;$AX$2,J98-1,AC98)</f>
        <v>12.014345061800002</v>
      </c>
      <c r="AE98" s="21">
        <f t="shared" si="35"/>
        <v>12.014345061800002</v>
      </c>
      <c r="AF98" s="22">
        <f t="shared" si="36"/>
        <v>0</v>
      </c>
      <c r="AG98" s="21">
        <f t="shared" si="37"/>
        <v>0</v>
      </c>
      <c r="AH98" s="21">
        <f>SUM(AE$3:AE98)</f>
        <v>453.72606698605756</v>
      </c>
      <c r="AI98" s="21">
        <f>SUM(AG$3:AG98)</f>
        <v>1139.6632075094835</v>
      </c>
      <c r="AJ98" s="23">
        <f t="shared" si="38"/>
        <v>12.014345061800002</v>
      </c>
      <c r="AK98" cm="1">
        <f t="array" ref="AK98">_xlfn.IFS(K98&lt;4,1,K98&lt;8,2,K98&gt;8,3)</f>
        <v>3</v>
      </c>
      <c r="AL98" cm="1">
        <f t="array" ref="AL98">_xlfn.IFS(K98&lt;9,2000,K98&lt;10,3500,K98&lt;12,5000,K98&lt;14,6500)</f>
        <v>3500</v>
      </c>
      <c r="AM98">
        <f>MATCH(AJ98,$AW$10:$BJ$10,1)</f>
        <v>14</v>
      </c>
      <c r="AN98">
        <v>175</v>
      </c>
      <c r="AO98">
        <f>(AE98*AN98/760)/$AS$14</f>
        <v>5.8428323062879208</v>
      </c>
      <c r="AP98">
        <f t="shared" si="39"/>
        <v>1.6230089739688669</v>
      </c>
      <c r="AQ98" s="21">
        <f>SUM(AP$3:AP98)</f>
        <v>61.293518261214501</v>
      </c>
    </row>
    <row r="99" spans="1:43">
      <c r="A99">
        <f t="shared" si="24"/>
        <v>860.875</v>
      </c>
      <c r="B99">
        <f t="shared" si="25"/>
        <v>0.67804575290690339</v>
      </c>
      <c r="C99">
        <f t="shared" si="26"/>
        <v>115.21207411456216</v>
      </c>
      <c r="D99" s="4">
        <v>175.51772508400001</v>
      </c>
      <c r="E99">
        <f t="shared" si="27"/>
        <v>47.389785772680007</v>
      </c>
      <c r="F99" s="4">
        <v>25.95</v>
      </c>
      <c r="G99" s="20">
        <f t="shared" si="28"/>
        <v>96.015000000000001</v>
      </c>
      <c r="J99" s="7">
        <v>13.163829381300001</v>
      </c>
      <c r="K99">
        <f t="shared" si="29"/>
        <v>4.0223492240646559</v>
      </c>
      <c r="L99">
        <f t="shared" si="40"/>
        <v>63.578781620253622</v>
      </c>
      <c r="M99">
        <f t="shared" si="41"/>
        <v>0.22046346999318928</v>
      </c>
      <c r="N99">
        <f>M99*$AU$2</f>
        <v>132.71900893589995</v>
      </c>
      <c r="O99">
        <v>129.5</v>
      </c>
      <c r="P99">
        <f t="shared" si="30"/>
        <v>12.950000000000001</v>
      </c>
      <c r="Q99">
        <f t="shared" si="31"/>
        <v>0.83000000000000185</v>
      </c>
      <c r="R99">
        <f t="shared" si="42"/>
        <v>0.47000000000000064</v>
      </c>
      <c r="S99">
        <f>(0.5*$AU$2*(J99*J99))/1000</f>
        <v>52.159207597973122</v>
      </c>
      <c r="T99">
        <f>($AU$2*9.81*Q99)/1000</f>
        <v>4.9016646000000108</v>
      </c>
      <c r="U99">
        <f t="shared" si="22"/>
        <v>4.7323943661971624E-2</v>
      </c>
      <c r="V99">
        <f t="shared" si="23"/>
        <v>4.7288662856144359E-2</v>
      </c>
      <c r="W99">
        <f t="shared" si="32"/>
        <v>2.709440800474133</v>
      </c>
      <c r="X99">
        <f>($AU$2*9.81*SIN(W99))</f>
        <v>2473.4260005997148</v>
      </c>
      <c r="Y99">
        <f>(0.06*($AU$2*9.81))</f>
        <v>354.3372</v>
      </c>
      <c r="Z99">
        <f t="shared" si="33"/>
        <v>3.0240609911558685</v>
      </c>
      <c r="AA99">
        <f>SUM(Z$3:Z99)</f>
        <v>79.050960805733027</v>
      </c>
      <c r="AB99">
        <v>0.3</v>
      </c>
      <c r="AC99" s="7">
        <f t="shared" si="34"/>
        <v>39.808222926220822</v>
      </c>
      <c r="AD99" s="21">
        <f>IF(AC99&gt;$AX$2,J99-1,AC99)</f>
        <v>12.163829381300001</v>
      </c>
      <c r="AE99" s="21">
        <f t="shared" si="35"/>
        <v>12.163829381300001</v>
      </c>
      <c r="AF99" s="22">
        <f t="shared" si="36"/>
        <v>0</v>
      </c>
      <c r="AG99" s="21">
        <f t="shared" si="37"/>
        <v>0</v>
      </c>
      <c r="AH99" s="21">
        <f>SUM(AE$3:AE99)</f>
        <v>465.88989636735755</v>
      </c>
      <c r="AI99" s="21">
        <f>SUM(AG$3:AG99)</f>
        <v>1139.6632075094835</v>
      </c>
      <c r="AJ99" s="23">
        <f t="shared" si="38"/>
        <v>12.163829381300001</v>
      </c>
      <c r="AK99" cm="1">
        <f t="array" ref="AK99">_xlfn.IFS(K99&lt;4,1,K99&lt;8,2,K99&gt;8,3)</f>
        <v>2</v>
      </c>
      <c r="AL99" cm="1">
        <f t="array" ref="AL99">_xlfn.IFS(K99&lt;9,2000,K99&lt;10,3500,K99&lt;12,5000,K99&lt;14,6500)</f>
        <v>2000</v>
      </c>
      <c r="AM99">
        <f>MATCH(AJ99,$AW$10:$BJ$10,1)</f>
        <v>14</v>
      </c>
      <c r="AN99">
        <v>175</v>
      </c>
      <c r="AO99">
        <f>(AE99*AN99/760)/$AS$14</f>
        <v>5.9155297198186085</v>
      </c>
      <c r="AP99">
        <f t="shared" si="39"/>
        <v>1.6432026999496134</v>
      </c>
      <c r="AQ99" s="21">
        <f>SUM(AP$3:AP99)</f>
        <v>62.936720961164113</v>
      </c>
    </row>
    <row r="100" spans="1:43">
      <c r="A100">
        <f t="shared" si="24"/>
        <v>869.75</v>
      </c>
      <c r="B100">
        <f t="shared" si="25"/>
        <v>0.67058017814172788</v>
      </c>
      <c r="C100">
        <f t="shared" si="26"/>
        <v>115.88265429270389</v>
      </c>
      <c r="D100" s="4">
        <v>177.41049197500001</v>
      </c>
      <c r="E100">
        <f t="shared" si="27"/>
        <v>47.900832833250007</v>
      </c>
      <c r="F100" s="4">
        <v>26.22</v>
      </c>
      <c r="G100" s="20">
        <f t="shared" si="28"/>
        <v>97.013999999999996</v>
      </c>
      <c r="J100" s="7">
        <v>13.305786898125003</v>
      </c>
      <c r="K100">
        <f t="shared" si="29"/>
        <v>2.3198349342869453</v>
      </c>
      <c r="L100">
        <f t="shared" si="40"/>
        <v>64.957430750543764</v>
      </c>
      <c r="M100">
        <f t="shared" si="41"/>
        <v>0.21169357737114314</v>
      </c>
      <c r="N100">
        <f>M100*$AU$2</f>
        <v>127.43953357742816</v>
      </c>
      <c r="O100">
        <v>133.69999999999999</v>
      </c>
      <c r="P100">
        <f t="shared" si="30"/>
        <v>13.37</v>
      </c>
      <c r="Q100">
        <f t="shared" si="31"/>
        <v>1.25</v>
      </c>
      <c r="R100">
        <f t="shared" si="42"/>
        <v>0.41999999999999815</v>
      </c>
      <c r="S100">
        <f>(0.5*$AU$2*(J100*J100))/1000</f>
        <v>53.290233458472805</v>
      </c>
      <c r="T100">
        <f>($AU$2*9.81*Q100)/1000</f>
        <v>7.3820249999999996</v>
      </c>
      <c r="U100">
        <f t="shared" si="22"/>
        <v>1.5774647887324009E-2</v>
      </c>
      <c r="V100">
        <f t="shared" si="23"/>
        <v>1.5773339630731062E-2</v>
      </c>
      <c r="W100">
        <f t="shared" si="32"/>
        <v>0.90374578966733032</v>
      </c>
      <c r="X100">
        <f>($AU$2*9.81*SIN(W100))</f>
        <v>4639.7493430129398</v>
      </c>
      <c r="Y100">
        <f>(0.08*($AU$2*9.81))</f>
        <v>472.44959999999998</v>
      </c>
      <c r="Z100">
        <f t="shared" si="33"/>
        <v>5.3045959073409117</v>
      </c>
      <c r="AA100">
        <f>SUM(Z$3:Z100)</f>
        <v>84.355556713073938</v>
      </c>
      <c r="AB100">
        <v>0.55000000000000004</v>
      </c>
      <c r="AC100" s="7">
        <f t="shared" si="34"/>
        <v>70.58182272374421</v>
      </c>
      <c r="AD100" s="21">
        <f>IF(AC100&gt;$AX$2,J100-1,AC100)</f>
        <v>12.305786898125003</v>
      </c>
      <c r="AE100" s="21">
        <f t="shared" si="35"/>
        <v>12.305786898125003</v>
      </c>
      <c r="AF100" s="22">
        <f t="shared" si="36"/>
        <v>0</v>
      </c>
      <c r="AG100" s="21">
        <f t="shared" si="37"/>
        <v>0</v>
      </c>
      <c r="AH100" s="21">
        <f>SUM(AE$3:AE100)</f>
        <v>478.19568326548256</v>
      </c>
      <c r="AI100" s="21">
        <f>SUM(AG$3:AG100)</f>
        <v>1139.6632075094835</v>
      </c>
      <c r="AJ100" s="23">
        <f t="shared" si="38"/>
        <v>12.305786898125003</v>
      </c>
      <c r="AK100" cm="1">
        <f t="array" ref="AK100">_xlfn.IFS(K100&lt;4,1,K100&lt;8,2,K100&gt;8,3)</f>
        <v>1</v>
      </c>
      <c r="AL100" cm="1">
        <f t="array" ref="AL100">_xlfn.IFS(K100&lt;5,2000,K100&lt;6,3500,K100&lt;7,5000,K100&lt;8,6500)</f>
        <v>2000</v>
      </c>
      <c r="AM100">
        <f>MATCH(AJ100,$AW$10:$BJ$10,1)</f>
        <v>14</v>
      </c>
      <c r="AN100">
        <v>175</v>
      </c>
      <c r="AO100">
        <f>(AE100*AN100/760)/$AS$14</f>
        <v>5.9845666886387185</v>
      </c>
      <c r="AP100">
        <f t="shared" si="39"/>
        <v>1.6623796357329774</v>
      </c>
      <c r="AQ100" s="21">
        <f>SUM(AP$3:AP100)</f>
        <v>64.599100596897088</v>
      </c>
    </row>
    <row r="101" spans="1:43">
      <c r="A101">
        <f t="shared" si="24"/>
        <v>878.625</v>
      </c>
      <c r="B101">
        <f t="shared" si="25"/>
        <v>0.663670851902046</v>
      </c>
      <c r="C101">
        <f t="shared" si="26"/>
        <v>116.54632514460593</v>
      </c>
      <c r="D101" s="4">
        <v>179.19198045300001</v>
      </c>
      <c r="E101">
        <f t="shared" si="27"/>
        <v>48.381834722310003</v>
      </c>
      <c r="F101" s="4">
        <v>26.49</v>
      </c>
      <c r="G101" s="20">
        <f t="shared" si="28"/>
        <v>98.013000000000005</v>
      </c>
      <c r="J101" s="7">
        <v>13.439398533975002</v>
      </c>
      <c r="K101">
        <f t="shared" si="29"/>
        <v>1.9141910142431444</v>
      </c>
      <c r="L101">
        <f t="shared" si="40"/>
        <v>66.268536151192961</v>
      </c>
      <c r="M101">
        <f t="shared" si="41"/>
        <v>0.20132213953208247</v>
      </c>
      <c r="N101">
        <f>M101*$AU$2</f>
        <v>121.19592799831365</v>
      </c>
      <c r="O101">
        <v>135.1</v>
      </c>
      <c r="P101">
        <f t="shared" si="30"/>
        <v>13.51</v>
      </c>
      <c r="Q101">
        <f t="shared" si="31"/>
        <v>1.3900000000000006</v>
      </c>
      <c r="R101">
        <f t="shared" si="42"/>
        <v>0.14000000000000057</v>
      </c>
      <c r="S101">
        <f>(0.5*$AU$2*(J101*J101))/1000</f>
        <v>54.365847319457842</v>
      </c>
      <c r="T101">
        <f>($AU$2*9.81*Q101)/1000</f>
        <v>8.208811800000003</v>
      </c>
      <c r="U101">
        <f t="shared" si="22"/>
        <v>2.4788732394366471E-2</v>
      </c>
      <c r="V101">
        <f t="shared" si="23"/>
        <v>2.4783656861740288E-2</v>
      </c>
      <c r="W101">
        <f t="shared" si="32"/>
        <v>1.4199989390781613</v>
      </c>
      <c r="X101">
        <f>($AU$2*9.81*SIN(W101))</f>
        <v>5838.6006825062441</v>
      </c>
      <c r="Y101">
        <f>(0.08*($AU$2*9.81))</f>
        <v>472.44959999999998</v>
      </c>
      <c r="Z101">
        <f t="shared" si="33"/>
        <v>6.4985147466557507</v>
      </c>
      <c r="AA101">
        <f>SUM(Z$3:Z101)</f>
        <v>90.854071459729681</v>
      </c>
      <c r="AB101">
        <v>0.55000000000000004</v>
      </c>
      <c r="AC101" s="7">
        <f t="shared" si="34"/>
        <v>87.336129559220225</v>
      </c>
      <c r="AD101" s="21">
        <f>IF(AC101&gt;$AX$2,J101-1,AC101)</f>
        <v>12.439398533975002</v>
      </c>
      <c r="AE101" s="21">
        <f t="shared" si="35"/>
        <v>12.439398533975002</v>
      </c>
      <c r="AF101" s="22">
        <f t="shared" si="36"/>
        <v>0</v>
      </c>
      <c r="AG101" s="21">
        <f t="shared" si="37"/>
        <v>0</v>
      </c>
      <c r="AH101" s="21">
        <f>SUM(AE$3:AE101)</f>
        <v>490.63508179945757</v>
      </c>
      <c r="AI101" s="21">
        <f>SUM(AG$3:AG101)</f>
        <v>1139.6632075094835</v>
      </c>
      <c r="AJ101" s="23">
        <f t="shared" si="38"/>
        <v>12.439398533975002</v>
      </c>
      <c r="AK101" cm="1">
        <f t="array" ref="AK101">_xlfn.IFS(K101&lt;4,1,K101&lt;8,2,K101&gt;8,3)</f>
        <v>1</v>
      </c>
      <c r="AL101" cm="1">
        <f t="array" ref="AL101">_xlfn.IFS(K101&lt;1,2000,K101&lt;2,3500,K101&lt;3,5000,K101&lt;4,6500)</f>
        <v>3500</v>
      </c>
      <c r="AM101">
        <f>MATCH(AJ101,$AW$10:$BJ$10,1)</f>
        <v>14</v>
      </c>
      <c r="AN101">
        <v>175</v>
      </c>
      <c r="AO101">
        <f>(AE101*AN101/760)/$AS$14</f>
        <v>6.049544877497512</v>
      </c>
      <c r="AP101">
        <f t="shared" si="39"/>
        <v>1.6804291326381977</v>
      </c>
      <c r="AQ101" s="21">
        <f>SUM(AP$3:AP101)</f>
        <v>66.279529729535284</v>
      </c>
    </row>
    <row r="102" spans="1:43">
      <c r="A102">
        <f t="shared" si="24"/>
        <v>887.5</v>
      </c>
      <c r="B102">
        <f t="shared" si="25"/>
        <v>0.65733433443624134</v>
      </c>
      <c r="C102">
        <f t="shared" si="26"/>
        <v>117.20365947904217</v>
      </c>
      <c r="D102" s="4">
        <v>180.84803916600001</v>
      </c>
      <c r="E102">
        <f t="shared" si="27"/>
        <v>48.828970574820005</v>
      </c>
      <c r="F102" s="4">
        <v>26.76</v>
      </c>
      <c r="G102" s="20">
        <f t="shared" si="28"/>
        <v>99.012000000000015</v>
      </c>
      <c r="J102" s="7">
        <v>13.563602937450002</v>
      </c>
      <c r="K102">
        <f t="shared" si="29"/>
        <v>1.9157912308605352</v>
      </c>
      <c r="L102">
        <f t="shared" si="40"/>
        <v>67.499079012177972</v>
      </c>
      <c r="M102">
        <f t="shared" si="41"/>
        <v>0.18895164449537341</v>
      </c>
      <c r="N102">
        <f>M102*$AU$2</f>
        <v>113.74888998621479</v>
      </c>
      <c r="O102">
        <v>137.30000000000001</v>
      </c>
      <c r="P102">
        <f t="shared" si="30"/>
        <v>13.730000000000002</v>
      </c>
      <c r="Q102">
        <f t="shared" si="31"/>
        <v>1.610000000000003</v>
      </c>
      <c r="R102">
        <f t="shared" si="42"/>
        <v>0.22000000000000242</v>
      </c>
      <c r="S102">
        <f>(0.5*$AU$2*(J102*J102))/1000</f>
        <v>55.375368718085497</v>
      </c>
      <c r="T102">
        <f>($AU$2*9.81*Q102)/1000</f>
        <v>9.508048200000017</v>
      </c>
      <c r="U102">
        <f t="shared" si="22"/>
        <v>2.7042253521126384E-2</v>
      </c>
      <c r="V102">
        <f t="shared" si="23"/>
        <v>2.7035664560876738E-2</v>
      </c>
      <c r="W102">
        <f t="shared" si="32"/>
        <v>1.5490294756696472</v>
      </c>
      <c r="X102">
        <f>($AU$2*9.81*SIN(W102))</f>
        <v>5904.2210262374165</v>
      </c>
      <c r="Y102">
        <f>(0.08*($AU$2*9.81))</f>
        <v>472.44959999999998</v>
      </c>
      <c r="Z102">
        <f t="shared" si="33"/>
        <v>6.557918595235809</v>
      </c>
      <c r="AA102">
        <f>SUM(Z$3:Z102)</f>
        <v>97.411990054965486</v>
      </c>
      <c r="AB102">
        <v>0.55000000000000004</v>
      </c>
      <c r="AC102" s="7">
        <f t="shared" si="34"/>
        <v>88.949003921898409</v>
      </c>
      <c r="AD102" s="21">
        <f>IF(AC102&gt;$AX$2,J102-1,AC102)</f>
        <v>12.563602937450002</v>
      </c>
      <c r="AE102" s="21">
        <f t="shared" si="35"/>
        <v>12.563602937450002</v>
      </c>
      <c r="AF102" s="22">
        <f t="shared" si="36"/>
        <v>0</v>
      </c>
      <c r="AG102" s="21">
        <f t="shared" si="37"/>
        <v>0</v>
      </c>
      <c r="AH102" s="21">
        <f>SUM(AE$3:AE102)</f>
        <v>503.19868473690758</v>
      </c>
      <c r="AI102" s="21">
        <f>SUM(AG$3:AG102)</f>
        <v>1139.6632075094835</v>
      </c>
      <c r="AJ102" s="23">
        <f t="shared" si="38"/>
        <v>12.563602937450002</v>
      </c>
      <c r="AK102" cm="1">
        <f t="array" ref="AK102">_xlfn.IFS(K102&lt;4,1,K102&lt;8,2,K102&gt;8,3)</f>
        <v>1</v>
      </c>
      <c r="AL102" cm="1">
        <f t="array" ref="AL102">_xlfn.IFS(K102&lt;5,2000,K102&lt;6,3500,K102&lt;7,5000,K102&lt;8,6500)</f>
        <v>2000</v>
      </c>
      <c r="AM102">
        <f>MATCH(AJ102,$AW$10:$BJ$10,1)</f>
        <v>14</v>
      </c>
      <c r="AN102">
        <v>175</v>
      </c>
      <c r="AO102">
        <f>(AE102*AN102/760)/$AS$14</f>
        <v>6.1099481285672974</v>
      </c>
      <c r="AP102">
        <f t="shared" si="39"/>
        <v>1.6972078134909159</v>
      </c>
      <c r="AQ102" s="21">
        <f>SUM(AP$3:AP102)</f>
        <v>67.976737543026204</v>
      </c>
    </row>
    <row r="103" spans="1:43">
      <c r="A103">
        <f t="shared" si="24"/>
        <v>896.375</v>
      </c>
      <c r="B103">
        <f t="shared" si="25"/>
        <v>0.65159525369870164</v>
      </c>
      <c r="C103">
        <f t="shared" si="26"/>
        <v>117.85525473274087</v>
      </c>
      <c r="D103" s="4">
        <v>182.36311886999999</v>
      </c>
      <c r="E103">
        <f t="shared" si="27"/>
        <v>49.238042094900003</v>
      </c>
      <c r="F103" s="4">
        <v>27.03</v>
      </c>
      <c r="G103" s="20">
        <f t="shared" si="28"/>
        <v>100.01100000000001</v>
      </c>
      <c r="J103" s="7">
        <v>13.677233915250001</v>
      </c>
      <c r="K103">
        <f t="shared" si="29"/>
        <v>3.0189977485115738</v>
      </c>
      <c r="L103">
        <f t="shared" si="40"/>
        <v>68.63478234633736</v>
      </c>
      <c r="M103">
        <f t="shared" si="41"/>
        <v>0.17438889733310253</v>
      </c>
      <c r="N103">
        <f>M103*$AU$2</f>
        <v>104.98211619452772</v>
      </c>
      <c r="O103">
        <v>139.69999999999999</v>
      </c>
      <c r="P103">
        <f t="shared" si="30"/>
        <v>13.969999999999999</v>
      </c>
      <c r="Q103">
        <f t="shared" si="31"/>
        <v>1.8499999999999996</v>
      </c>
      <c r="R103">
        <f t="shared" si="42"/>
        <v>0.23999999999999666</v>
      </c>
      <c r="S103">
        <f>(0.5*$AU$2*(J103*J103))/1000</f>
        <v>56.307084999311932</v>
      </c>
      <c r="T103">
        <f>($AU$2*9.81*Q103)/1000</f>
        <v>10.925396999999997</v>
      </c>
      <c r="U103">
        <f t="shared" si="22"/>
        <v>1.1267605633802977E-2</v>
      </c>
      <c r="V103">
        <f t="shared" si="23"/>
        <v>1.1267128829046347E-2</v>
      </c>
      <c r="W103">
        <f t="shared" si="32"/>
        <v>0.64555892913453294</v>
      </c>
      <c r="X103">
        <f>($AU$2*9.81*SIN(W103))</f>
        <v>3553.0866546869347</v>
      </c>
      <c r="Y103">
        <f>(0.08*($AU$2*9.81))</f>
        <v>472.44959999999998</v>
      </c>
      <c r="Z103">
        <f t="shared" si="33"/>
        <v>4.1991531532277993</v>
      </c>
      <c r="AA103">
        <f>SUM(Z$3:Z103)</f>
        <v>101.61114320819328</v>
      </c>
      <c r="AB103">
        <v>0.55000000000000004</v>
      </c>
      <c r="AC103" s="7">
        <f t="shared" si="34"/>
        <v>57.432799922656244</v>
      </c>
      <c r="AD103" s="21">
        <f>IF(AC103&gt;$AX$2,J103-1,AC103)</f>
        <v>12.677233915250001</v>
      </c>
      <c r="AE103" s="21">
        <f t="shared" si="35"/>
        <v>12.677233915250001</v>
      </c>
      <c r="AF103" s="22">
        <f t="shared" si="36"/>
        <v>0</v>
      </c>
      <c r="AG103" s="21">
        <f t="shared" si="37"/>
        <v>0</v>
      </c>
      <c r="AH103" s="21">
        <f>SUM(AE$3:AE103)</f>
        <v>515.87591865215757</v>
      </c>
      <c r="AI103" s="21">
        <f>SUM(AG$3:AG103)</f>
        <v>1139.6632075094835</v>
      </c>
      <c r="AJ103" s="23">
        <f t="shared" si="38"/>
        <v>12.677233915250001</v>
      </c>
      <c r="AK103" cm="1">
        <f t="array" ref="AK103">_xlfn.IFS(K103&lt;4,1,K103&lt;8,2,K103&gt;8,3)</f>
        <v>1</v>
      </c>
      <c r="AL103" cm="1">
        <f t="array" ref="AL103">_xlfn.IFS(K103&lt;9,2000,K103&lt;10,3500,K103&lt;12,5000,K103&lt;14,6500)</f>
        <v>2000</v>
      </c>
      <c r="AM103">
        <f>MATCH(AJ103,$AW$10:$BJ$10,1)</f>
        <v>14</v>
      </c>
      <c r="AN103">
        <v>175</v>
      </c>
      <c r="AO103">
        <f>(AE103*AN103/760)/$AS$14</f>
        <v>6.1652092971678156</v>
      </c>
      <c r="AP103">
        <f t="shared" si="39"/>
        <v>1.7125581381021711</v>
      </c>
      <c r="AQ103" s="21">
        <f>SUM(AP$3:AP103)</f>
        <v>69.689295681128371</v>
      </c>
    </row>
    <row r="104" spans="1:43">
      <c r="A104">
        <f t="shared" si="24"/>
        <v>905.25</v>
      </c>
      <c r="B104">
        <f t="shared" si="25"/>
        <v>0.64639762424224767</v>
      </c>
      <c r="C104">
        <f t="shared" si="26"/>
        <v>118.50165235698313</v>
      </c>
      <c r="D104" s="4">
        <v>183.768589835</v>
      </c>
      <c r="E104">
        <f t="shared" si="27"/>
        <v>49.617519255450006</v>
      </c>
      <c r="F104" s="4">
        <v>27.31</v>
      </c>
      <c r="G104" s="20">
        <f t="shared" si="28"/>
        <v>101.047</v>
      </c>
      <c r="J104" s="7">
        <v>13.782644237625</v>
      </c>
      <c r="K104">
        <f t="shared" si="29"/>
        <v>19.963004897427236</v>
      </c>
      <c r="L104">
        <f t="shared" si="40"/>
        <v>69.69679443218601</v>
      </c>
      <c r="M104">
        <f t="shared" si="41"/>
        <v>0.16307349906888485</v>
      </c>
      <c r="N104">
        <f>M104*$AU$2</f>
        <v>98.170246439468684</v>
      </c>
      <c r="O104">
        <v>140.69999999999999</v>
      </c>
      <c r="P104">
        <f t="shared" si="30"/>
        <v>14.07</v>
      </c>
      <c r="Q104">
        <f t="shared" si="31"/>
        <v>1.9500000000000011</v>
      </c>
      <c r="R104">
        <f t="shared" si="42"/>
        <v>0.10000000000000142</v>
      </c>
      <c r="S104">
        <f>(0.5*$AU$2*(J104*J104))/1000</f>
        <v>57.178345936462222</v>
      </c>
      <c r="T104">
        <f>($AU$2*9.81*Q104)/1000</f>
        <v>11.515959000000006</v>
      </c>
      <c r="U104">
        <f t="shared" si="22"/>
        <v>0</v>
      </c>
      <c r="V104">
        <f t="shared" si="23"/>
        <v>0</v>
      </c>
      <c r="W104">
        <f t="shared" si="32"/>
        <v>0</v>
      </c>
      <c r="X104">
        <f>($AU$2*9.81*SIN(W104))</f>
        <v>0</v>
      </c>
      <c r="Y104">
        <f>(0.08*($AU$2*9.81))</f>
        <v>472.44959999999998</v>
      </c>
      <c r="Z104">
        <f t="shared" si="33"/>
        <v>0.64031664087165474</v>
      </c>
      <c r="AA104">
        <f>SUM(Z$3:Z104)</f>
        <v>102.25145984906494</v>
      </c>
      <c r="AB104">
        <v>0.55000000000000004</v>
      </c>
      <c r="AC104" s="7">
        <f t="shared" si="34"/>
        <v>8.8252564605651092</v>
      </c>
      <c r="AD104" s="21">
        <f>IF(AC104&gt;$AX$2,J104-1,AC104)</f>
        <v>12.782644237625</v>
      </c>
      <c r="AE104" s="21">
        <f t="shared" si="35"/>
        <v>12.782644237625</v>
      </c>
      <c r="AF104" s="22">
        <f t="shared" si="36"/>
        <v>0</v>
      </c>
      <c r="AG104" s="21">
        <f t="shared" si="37"/>
        <v>0</v>
      </c>
      <c r="AH104" s="21">
        <f>SUM(AE$3:AE104)</f>
        <v>528.65856288978262</v>
      </c>
      <c r="AI104" s="21">
        <f>SUM(AG$3:AG104)</f>
        <v>1139.6632075094835</v>
      </c>
      <c r="AJ104" s="23">
        <f t="shared" si="38"/>
        <v>12.782644237625</v>
      </c>
      <c r="AK104" cm="1">
        <f t="array" ref="AK104">_xlfn.IFS(K104&lt;4,1,K104&lt;8,2,K104&gt;8,3)</f>
        <v>3</v>
      </c>
      <c r="AL104" t="e" cm="1">
        <f t="array" ref="AL104">_xlfn.IFS(K104&lt;9,2000,K104&lt;10,3500,K104&lt;12,5000,K104&lt;14,6500)</f>
        <v>#N/A</v>
      </c>
      <c r="AM104">
        <f>MATCH(AJ104,$AW$10:$BJ$10,1)</f>
        <v>14</v>
      </c>
      <c r="AN104">
        <v>175</v>
      </c>
      <c r="AO104">
        <f>(AE104*AN104/760)/$AS$14</f>
        <v>6.2164725856634258</v>
      </c>
      <c r="AP104">
        <f t="shared" si="39"/>
        <v>1.7267979404620628</v>
      </c>
      <c r="AQ104" s="21">
        <f>SUM(AP$3:AP104)</f>
        <v>71.416093621590434</v>
      </c>
    </row>
    <row r="105" spans="1:43">
      <c r="A105">
        <f t="shared" si="24"/>
        <v>914.125</v>
      </c>
      <c r="B105">
        <f t="shared" si="25"/>
        <v>0.65083383200254075</v>
      </c>
      <c r="C105">
        <f t="shared" si="26"/>
        <v>119.15248618898568</v>
      </c>
      <c r="D105" s="4">
        <v>179.86749518299999</v>
      </c>
      <c r="E105">
        <f t="shared" si="27"/>
        <v>48.56422369941</v>
      </c>
      <c r="F105" s="4">
        <v>27.58</v>
      </c>
      <c r="G105" s="20">
        <f t="shared" si="28"/>
        <v>102.04599999999999</v>
      </c>
      <c r="J105" s="7">
        <v>13.490062138725001</v>
      </c>
      <c r="K105">
        <f t="shared" si="29"/>
        <v>13.490062138725001</v>
      </c>
      <c r="L105">
        <f t="shared" si="40"/>
        <v>66.769113800294207</v>
      </c>
      <c r="M105">
        <f t="shared" si="41"/>
        <v>-0.44954961545215677</v>
      </c>
      <c r="N105">
        <f>M105*$AU$2</f>
        <v>-270.62886850219837</v>
      </c>
      <c r="O105">
        <v>140.69999999999999</v>
      </c>
      <c r="P105">
        <f t="shared" si="30"/>
        <v>14.07</v>
      </c>
      <c r="Q105">
        <f t="shared" si="31"/>
        <v>1.9500000000000011</v>
      </c>
      <c r="R105">
        <f t="shared" si="42"/>
        <v>0</v>
      </c>
      <c r="S105">
        <f>(0.5*$AU$2*(J105*J105))/1000</f>
        <v>54.776514728505184</v>
      </c>
      <c r="T105">
        <f>($AU$2*9.81*Q105)/1000</f>
        <v>11.515959000000006</v>
      </c>
      <c r="U105">
        <f t="shared" si="22"/>
        <v>-2.2535211267605753E-2</v>
      </c>
      <c r="V105">
        <f t="shared" si="23"/>
        <v>-2.2531397700922592E-2</v>
      </c>
      <c r="W105">
        <f t="shared" si="32"/>
        <v>-1.2909539947936308</v>
      </c>
      <c r="X105">
        <f>($AU$2*9.81*SIN(W105))</f>
        <v>-5675.8854693352141</v>
      </c>
      <c r="Y105">
        <f>(0.08*($AU$2*9.81))</f>
        <v>472.44959999999998</v>
      </c>
      <c r="Z105">
        <f t="shared" si="33"/>
        <v>-5.4072956240371184</v>
      </c>
      <c r="AA105">
        <f>SUM(Z$3:Z105)</f>
        <v>96.844164225027825</v>
      </c>
      <c r="AB105">
        <v>0.55000000000000004</v>
      </c>
      <c r="AC105" s="7">
        <f t="shared" si="34"/>
        <v>-72.944753970716505</v>
      </c>
      <c r="AD105" s="21">
        <f>IF(AC105&gt;$AX$2,J105-1,AC105)</f>
        <v>-72.944753970716505</v>
      </c>
      <c r="AE105" s="21">
        <f t="shared" si="35"/>
        <v>0</v>
      </c>
      <c r="AF105" s="22">
        <f t="shared" si="36"/>
        <v>-72.944753970716505</v>
      </c>
      <c r="AG105" s="21">
        <f t="shared" si="37"/>
        <v>72.944753970716505</v>
      </c>
      <c r="AH105" s="21">
        <f>SUM(AE$3:AE105)</f>
        <v>528.65856288978262</v>
      </c>
      <c r="AI105" s="21">
        <f>SUM(AG$3:AG105)</f>
        <v>1212.6079614801999</v>
      </c>
      <c r="AJ105" s="23">
        <f t="shared" si="38"/>
        <v>0</v>
      </c>
      <c r="AK105" cm="1">
        <f t="array" ref="AK105">_xlfn.IFS(K105&lt;4,1,K105&lt;8,2,K105&gt;8,3)</f>
        <v>3</v>
      </c>
      <c r="AL105" cm="1">
        <f t="array" ref="AL105">_xlfn.IFS(K105&lt;9,2000,K105&lt;10,3500,K105&lt;12,5000,K105&lt;14,6500)</f>
        <v>6500</v>
      </c>
      <c r="AM105">
        <f>MATCH(AJ105,$AW$10:$BJ$10,1)</f>
        <v>2</v>
      </c>
      <c r="AN105">
        <v>175</v>
      </c>
      <c r="AO105">
        <f>(AE105*AN105/760)/$AS$14</f>
        <v>0</v>
      </c>
      <c r="AP105">
        <f t="shared" si="39"/>
        <v>0</v>
      </c>
      <c r="AQ105" s="21">
        <f>SUM(AP$3:AP105)</f>
        <v>71.416093621590434</v>
      </c>
    </row>
    <row r="106" spans="1:43">
      <c r="A106">
        <f t="shared" si="24"/>
        <v>923</v>
      </c>
      <c r="B106">
        <f t="shared" si="25"/>
        <v>0.67904796168296755</v>
      </c>
      <c r="C106">
        <f t="shared" si="26"/>
        <v>119.83153415066865</v>
      </c>
      <c r="D106" s="4">
        <v>168.65967818499999</v>
      </c>
      <c r="E106">
        <f t="shared" si="27"/>
        <v>45.538113109950004</v>
      </c>
      <c r="F106" s="4">
        <v>27.85</v>
      </c>
      <c r="G106" s="20">
        <f t="shared" si="28"/>
        <v>103.04500000000002</v>
      </c>
      <c r="J106" s="7">
        <v>12.649475863875001</v>
      </c>
      <c r="K106">
        <f t="shared" si="29"/>
        <v>2.1467702883396904</v>
      </c>
      <c r="L106">
        <f t="shared" si="40"/>
        <v>58.707390020524443</v>
      </c>
      <c r="M106">
        <f t="shared" si="41"/>
        <v>-1.2378894014594664</v>
      </c>
      <c r="N106">
        <f>M106*$AU$2</f>
        <v>-745.20941967859869</v>
      </c>
      <c r="O106">
        <v>138.69999999999999</v>
      </c>
      <c r="P106">
        <f t="shared" si="30"/>
        <v>13.87</v>
      </c>
      <c r="Q106">
        <f t="shared" si="31"/>
        <v>1.75</v>
      </c>
      <c r="R106">
        <f t="shared" si="42"/>
        <v>0.20000000000000107</v>
      </c>
      <c r="S106">
        <f>(0.5*$AU$2*(J106*J106))/1000</f>
        <v>48.16278112885761</v>
      </c>
      <c r="T106">
        <f>($AU$2*9.81*Q106)/1000</f>
        <v>10.334835</v>
      </c>
      <c r="U106">
        <f t="shared" si="22"/>
        <v>3.2676056338028274E-2</v>
      </c>
      <c r="V106">
        <f t="shared" si="23"/>
        <v>3.2664434105702647E-2</v>
      </c>
      <c r="W106">
        <f t="shared" si="32"/>
        <v>1.8715342144399452</v>
      </c>
      <c r="X106">
        <f>($AU$2*9.81*SIN(W106))</f>
        <v>5640.5649574072313</v>
      </c>
      <c r="Y106">
        <f>(0.08*($AU$2*9.81))</f>
        <v>472.44959999999998</v>
      </c>
      <c r="Z106">
        <f t="shared" si="33"/>
        <v>5.426512527749157</v>
      </c>
      <c r="AA106">
        <f>SUM(Z$3:Z106)</f>
        <v>102.27067675277698</v>
      </c>
      <c r="AB106">
        <v>0.55000000000000004</v>
      </c>
      <c r="AC106" s="7">
        <f t="shared" si="34"/>
        <v>68.642539244778277</v>
      </c>
      <c r="AD106" s="21">
        <f>IF(AC106&gt;$AX$2,J106-1,AC106)</f>
        <v>11.649475863875001</v>
      </c>
      <c r="AE106" s="21">
        <f t="shared" si="35"/>
        <v>11.649475863875001</v>
      </c>
      <c r="AF106" s="22">
        <f t="shared" si="36"/>
        <v>0</v>
      </c>
      <c r="AG106" s="21">
        <f t="shared" si="37"/>
        <v>0</v>
      </c>
      <c r="AH106" s="21">
        <f>SUM(AE$3:AE106)</f>
        <v>540.30803875365757</v>
      </c>
      <c r="AI106" s="21">
        <f>SUM(AG$3:AG106)</f>
        <v>1212.6079614801999</v>
      </c>
      <c r="AJ106" s="23">
        <f t="shared" si="38"/>
        <v>11.649475863875001</v>
      </c>
      <c r="AK106" cm="1">
        <f t="array" ref="AK106">_xlfn.IFS(K106&lt;4,1,K106&lt;8,2,K106&gt;8,3)</f>
        <v>1</v>
      </c>
      <c r="AL106" cm="1">
        <f t="array" ref="AL106">_xlfn.IFS(K106&lt;9,2000,K106&lt;10,3500,K106&lt;12,5000,K106&lt;14,6500)</f>
        <v>2000</v>
      </c>
      <c r="AM106">
        <f>MATCH(AJ106,$AW$10:$BJ$10,1)</f>
        <v>13</v>
      </c>
      <c r="AN106">
        <v>175</v>
      </c>
      <c r="AO106">
        <f>(AE106*AN106/760)/$AS$14</f>
        <v>5.6653886315607878</v>
      </c>
      <c r="AP106">
        <f t="shared" si="39"/>
        <v>1.573719064322441</v>
      </c>
      <c r="AQ106" s="21">
        <f>SUM(AP$3:AP106)</f>
        <v>72.989812685912881</v>
      </c>
    </row>
    <row r="107" spans="1:43">
      <c r="A107">
        <f t="shared" si="24"/>
        <v>931.875</v>
      </c>
      <c r="B107">
        <f t="shared" si="25"/>
        <v>0.72436448413333965</v>
      </c>
      <c r="C107">
        <f t="shared" si="26"/>
        <v>120.55589863480199</v>
      </c>
      <c r="D107" s="4">
        <v>158.06350033999999</v>
      </c>
      <c r="E107">
        <f t="shared" si="27"/>
        <v>42.6771450918</v>
      </c>
      <c r="F107" s="4">
        <v>28.12</v>
      </c>
      <c r="G107" s="20">
        <f t="shared" si="28"/>
        <v>104.04400000000001</v>
      </c>
      <c r="J107" s="7">
        <v>11.8547625255</v>
      </c>
      <c r="K107">
        <f t="shared" si="29"/>
        <v>11.8547625255</v>
      </c>
      <c r="L107">
        <f t="shared" si="40"/>
        <v>51.562436255258085</v>
      </c>
      <c r="M107">
        <f t="shared" si="41"/>
        <v>-1.0971180335074298</v>
      </c>
      <c r="N107">
        <f>M107*$AU$2</f>
        <v>-660.46505617147272</v>
      </c>
      <c r="O107">
        <v>141.6</v>
      </c>
      <c r="P107">
        <f t="shared" si="30"/>
        <v>14.16</v>
      </c>
      <c r="Q107">
        <f t="shared" si="31"/>
        <v>2.0400000000000009</v>
      </c>
      <c r="R107">
        <f t="shared" si="42"/>
        <v>0.29000000000000092</v>
      </c>
      <c r="S107">
        <f>(0.5*$AU$2*(J107*J107))/1000</f>
        <v>42.30115375533574</v>
      </c>
      <c r="T107">
        <f>($AU$2*9.81*Q107)/1000</f>
        <v>12.047464800000006</v>
      </c>
      <c r="U107">
        <f t="shared" si="22"/>
        <v>-3.3802816901405729E-3</v>
      </c>
      <c r="V107">
        <f t="shared" si="23"/>
        <v>-3.3802688155197625E-3</v>
      </c>
      <c r="W107">
        <f t="shared" si="32"/>
        <v>-0.19367513674896827</v>
      </c>
      <c r="X107">
        <f>($AU$2*9.81*SIN(W107))</f>
        <v>-1136.6346689204208</v>
      </c>
      <c r="Y107">
        <f>(0.08*($AU$2*9.81))</f>
        <v>472.44959999999998</v>
      </c>
      <c r="Z107">
        <f t="shared" si="33"/>
        <v>-1.2730876888366356</v>
      </c>
      <c r="AA107">
        <f>SUM(Z$3:Z107)</f>
        <v>100.99758906394034</v>
      </c>
      <c r="AB107">
        <v>0.55000000000000004</v>
      </c>
      <c r="AC107" s="7">
        <f t="shared" si="34"/>
        <v>-15.092152225295953</v>
      </c>
      <c r="AD107" s="21">
        <f>IF(AC107&gt;$AX$2,J107-1,AC107)</f>
        <v>-15.092152225295953</v>
      </c>
      <c r="AE107" s="21">
        <f t="shared" si="35"/>
        <v>0</v>
      </c>
      <c r="AF107" s="22">
        <f t="shared" si="36"/>
        <v>-15.092152225295953</v>
      </c>
      <c r="AG107" s="21">
        <f t="shared" si="37"/>
        <v>15.092152225295953</v>
      </c>
      <c r="AH107" s="21">
        <f>SUM(AE$3:AE107)</f>
        <v>540.30803875365757</v>
      </c>
      <c r="AI107" s="21">
        <f>SUM(AG$3:AG107)</f>
        <v>1227.7001137054958</v>
      </c>
      <c r="AJ107" s="23">
        <f t="shared" si="38"/>
        <v>0</v>
      </c>
      <c r="AK107" cm="1">
        <f t="array" ref="AK107">_xlfn.IFS(K107&lt;4,1,K107&lt;8,2,K107&gt;8,3)</f>
        <v>3</v>
      </c>
      <c r="AL107" cm="1">
        <f t="array" ref="AL107">_xlfn.IFS(K107&lt;9,2000,K107&lt;10,3500,K107&lt;12,5000,K107&lt;14,6500)</f>
        <v>5000</v>
      </c>
      <c r="AM107">
        <f>MATCH(AJ107,$AW$10:$BJ$10,1)</f>
        <v>2</v>
      </c>
      <c r="AN107">
        <v>175</v>
      </c>
      <c r="AO107">
        <f>(AE107*AN107/760)/$AS$14</f>
        <v>0</v>
      </c>
      <c r="AP107">
        <f t="shared" si="39"/>
        <v>0</v>
      </c>
      <c r="AQ107" s="21">
        <f>SUM(AP$3:AP107)</f>
        <v>72.989812685912881</v>
      </c>
    </row>
    <row r="108" spans="1:43">
      <c r="A108">
        <f t="shared" si="24"/>
        <v>940.75</v>
      </c>
      <c r="B108">
        <f t="shared" si="25"/>
        <v>0.77355916804136504</v>
      </c>
      <c r="C108">
        <f t="shared" si="26"/>
        <v>121.32945780284335</v>
      </c>
      <c r="D108" s="4">
        <v>147.881637982</v>
      </c>
      <c r="E108">
        <f t="shared" si="27"/>
        <v>39.928042255139999</v>
      </c>
      <c r="F108" s="4">
        <v>28.39</v>
      </c>
      <c r="G108" s="20">
        <f t="shared" si="28"/>
        <v>105.04300000000001</v>
      </c>
      <c r="J108" s="7">
        <v>11.091122848649999</v>
      </c>
      <c r="K108">
        <f t="shared" si="29"/>
        <v>7.0496579813648781</v>
      </c>
      <c r="L108">
        <f t="shared" si="40"/>
        <v>45.133471917487121</v>
      </c>
      <c r="M108">
        <f t="shared" si="41"/>
        <v>-0.98717681645933586</v>
      </c>
      <c r="N108">
        <f>M108*$AU$2</f>
        <v>-594.28044350852019</v>
      </c>
      <c r="O108">
        <v>141.30000000000001</v>
      </c>
      <c r="P108">
        <f t="shared" si="30"/>
        <v>14.130000000000003</v>
      </c>
      <c r="Q108">
        <f t="shared" si="31"/>
        <v>2.0100000000000033</v>
      </c>
      <c r="R108">
        <f t="shared" si="42"/>
        <v>2.9999999999997584E-2</v>
      </c>
      <c r="S108">
        <f>(0.5*$AU$2*(J108*J108))/1000</f>
        <v>37.026914819197664</v>
      </c>
      <c r="T108">
        <f>($AU$2*9.81*Q108)/1000</f>
        <v>11.870296200000018</v>
      </c>
      <c r="U108">
        <f t="shared" si="22"/>
        <v>4.5070422535208304E-3</v>
      </c>
      <c r="V108">
        <f t="shared" si="23"/>
        <v>4.5070117360638574E-3</v>
      </c>
      <c r="W108">
        <f t="shared" si="32"/>
        <v>0.25823275069238916</v>
      </c>
      <c r="X108">
        <f>($AU$2*9.81*SIN(W108))</f>
        <v>1508.1317582414142</v>
      </c>
      <c r="Y108">
        <f>(0.08*($AU$2*9.81))</f>
        <v>472.44959999999998</v>
      </c>
      <c r="Z108">
        <f t="shared" si="33"/>
        <v>1.4314343866503811</v>
      </c>
      <c r="AA108">
        <f>SUM(Z$3:Z108)</f>
        <v>102.42902345059072</v>
      </c>
      <c r="AB108">
        <v>0.55000000000000004</v>
      </c>
      <c r="AC108" s="7">
        <f t="shared" si="34"/>
        <v>15.876214632121339</v>
      </c>
      <c r="AD108" s="21">
        <f>IF(AC108&gt;$AX$2,J108-1,AC108)</f>
        <v>10.091122848649999</v>
      </c>
      <c r="AE108" s="21">
        <f t="shared" si="35"/>
        <v>10.091122848649999</v>
      </c>
      <c r="AF108" s="22">
        <f t="shared" si="36"/>
        <v>0</v>
      </c>
      <c r="AG108" s="21">
        <f t="shared" si="37"/>
        <v>0</v>
      </c>
      <c r="AH108" s="21">
        <f>SUM(AE$3:AE108)</f>
        <v>550.39916160230757</v>
      </c>
      <c r="AI108" s="21">
        <f>SUM(AG$3:AG108)</f>
        <v>1227.7001137054958</v>
      </c>
      <c r="AJ108" s="23">
        <f t="shared" si="38"/>
        <v>10.091122848649999</v>
      </c>
      <c r="AK108" cm="1">
        <f t="array" ref="AK108">_xlfn.IFS(K108&lt;4,1,K108&lt;8,2,K108&gt;8,3)</f>
        <v>2</v>
      </c>
      <c r="AL108" cm="1">
        <f t="array" ref="AL108">_xlfn.IFS(K108&lt;5,2000,K108&lt;6,3500,K108&lt;7,5000,K108&lt;8,6500)</f>
        <v>6500</v>
      </c>
      <c r="AM108">
        <f>MATCH(AJ108,$AW$10:$BJ$10,1)</f>
        <v>12</v>
      </c>
      <c r="AN108">
        <v>175</v>
      </c>
      <c r="AO108">
        <f>(AE108*AN108/760)/$AS$14</f>
        <v>4.9075283158197252</v>
      </c>
      <c r="AP108">
        <f t="shared" si="39"/>
        <v>1.3632023099499235</v>
      </c>
      <c r="AQ108" s="21">
        <f>SUM(AP$3:AP108)</f>
        <v>74.353014995862807</v>
      </c>
    </row>
    <row r="109" spans="1:43">
      <c r="A109">
        <f t="shared" si="24"/>
        <v>949.625</v>
      </c>
      <c r="B109">
        <f t="shared" si="25"/>
        <v>0.82805621708059185</v>
      </c>
      <c r="C109">
        <f t="shared" si="26"/>
        <v>122.15751401992394</v>
      </c>
      <c r="D109" s="4">
        <v>137.92826451600001</v>
      </c>
      <c r="E109">
        <f t="shared" si="27"/>
        <v>37.240631419320003</v>
      </c>
      <c r="F109" s="4">
        <v>28.66</v>
      </c>
      <c r="G109" s="20">
        <f t="shared" si="28"/>
        <v>106.042</v>
      </c>
      <c r="J109" s="7">
        <v>10.3446198387</v>
      </c>
      <c r="K109">
        <f t="shared" si="29"/>
        <v>10.3446198387</v>
      </c>
      <c r="L109">
        <f t="shared" si="40"/>
        <v>39.262394459891077</v>
      </c>
      <c r="M109">
        <f t="shared" si="41"/>
        <v>-0.90151247530256629</v>
      </c>
      <c r="N109">
        <f>M109*$AU$2</f>
        <v>-542.71051013214492</v>
      </c>
      <c r="O109">
        <v>141.69999999999999</v>
      </c>
      <c r="P109">
        <f t="shared" si="30"/>
        <v>14.17</v>
      </c>
      <c r="Q109">
        <f t="shared" si="31"/>
        <v>2.0500000000000007</v>
      </c>
      <c r="R109">
        <f t="shared" si="42"/>
        <v>3.9999999999997371E-2</v>
      </c>
      <c r="S109">
        <f>(0.5*$AU$2*(J109*J109))/1000</f>
        <v>32.210359041774907</v>
      </c>
      <c r="T109">
        <f>($AU$2*9.81*Q109)/1000</f>
        <v>12.106521000000004</v>
      </c>
      <c r="U109">
        <f t="shared" si="22"/>
        <v>-1.4647887323943549E-2</v>
      </c>
      <c r="V109">
        <f t="shared" si="23"/>
        <v>-1.4646839838943748E-2</v>
      </c>
      <c r="W109">
        <f t="shared" si="32"/>
        <v>-0.83920210597555123</v>
      </c>
      <c r="X109">
        <f>($AU$2*9.81*SIN(W109))</f>
        <v>-4394.4327785152145</v>
      </c>
      <c r="Y109">
        <f>(0.08*($AU$2*9.81))</f>
        <v>472.44959999999998</v>
      </c>
      <c r="Z109">
        <f t="shared" si="33"/>
        <v>-4.4254312941874687</v>
      </c>
      <c r="AA109">
        <f>SUM(Z$3:Z109)</f>
        <v>98.003592156403244</v>
      </c>
      <c r="AB109">
        <v>0.55000000000000004</v>
      </c>
      <c r="AC109" s="7">
        <f t="shared" si="34"/>
        <v>-45.779404360655505</v>
      </c>
      <c r="AD109" s="21">
        <f>IF(AC109&gt;$AX$2,J109-1,AC109)</f>
        <v>-45.779404360655505</v>
      </c>
      <c r="AE109" s="21">
        <f t="shared" si="35"/>
        <v>0</v>
      </c>
      <c r="AF109" s="22">
        <f t="shared" si="36"/>
        <v>-45.779404360655505</v>
      </c>
      <c r="AG109" s="21">
        <f t="shared" si="37"/>
        <v>45.779404360655505</v>
      </c>
      <c r="AH109" s="21">
        <f>SUM(AE$3:AE109)</f>
        <v>550.39916160230757</v>
      </c>
      <c r="AI109" s="21">
        <f>SUM(AG$3:AG109)</f>
        <v>1273.4795180661513</v>
      </c>
      <c r="AJ109" s="23">
        <f t="shared" si="38"/>
        <v>0</v>
      </c>
      <c r="AK109" cm="1">
        <f t="array" ref="AK109">_xlfn.IFS(K109&lt;4,1,K109&lt;8,2,K109&gt;8,3)</f>
        <v>3</v>
      </c>
      <c r="AL109" cm="1">
        <f t="array" ref="AL109">_xlfn.IFS(K109&lt;9,2000,K109&lt;10,3500,K109&lt;12,5000,K109&lt;14,6500)</f>
        <v>5000</v>
      </c>
      <c r="AM109">
        <f>MATCH(AJ109,$AW$10:$BJ$10,1)</f>
        <v>2</v>
      </c>
      <c r="AN109">
        <v>175</v>
      </c>
      <c r="AO109">
        <f>(AE109*AN109/760)/$AS$14</f>
        <v>0</v>
      </c>
      <c r="AP109">
        <f t="shared" si="39"/>
        <v>0</v>
      </c>
      <c r="AQ109" s="21">
        <f>SUM(AP$3:AP109)</f>
        <v>74.353014995862807</v>
      </c>
    </row>
    <row r="110" spans="1:43">
      <c r="A110">
        <f t="shared" si="24"/>
        <v>958.5</v>
      </c>
      <c r="B110">
        <f t="shared" si="25"/>
        <v>0.89181555139231783</v>
      </c>
      <c r="C110">
        <f t="shared" si="26"/>
        <v>123.04932957131625</v>
      </c>
      <c r="D110" s="4">
        <v>127.447985424</v>
      </c>
      <c r="E110">
        <f t="shared" si="27"/>
        <v>34.410956064480004</v>
      </c>
      <c r="F110" s="4">
        <v>28.93</v>
      </c>
      <c r="G110" s="20">
        <f t="shared" si="28"/>
        <v>107.04100000000001</v>
      </c>
      <c r="J110" s="7">
        <v>9.5585989068000021</v>
      </c>
      <c r="K110">
        <f t="shared" si="29"/>
        <v>9.5585989068000021</v>
      </c>
      <c r="L110">
        <f t="shared" si="40"/>
        <v>33.52248371210959</v>
      </c>
      <c r="M110">
        <f t="shared" si="41"/>
        <v>-0.88137163640267657</v>
      </c>
      <c r="N110">
        <f>M110*$AU$2</f>
        <v>-530.58572511441128</v>
      </c>
      <c r="O110">
        <v>140.4</v>
      </c>
      <c r="P110">
        <f t="shared" si="30"/>
        <v>14.040000000000001</v>
      </c>
      <c r="Q110">
        <f t="shared" si="31"/>
        <v>1.9200000000000017</v>
      </c>
      <c r="R110">
        <f t="shared" si="42"/>
        <v>0.12999999999999901</v>
      </c>
      <c r="S110">
        <f>(0.5*$AU$2*(J110*J110))/1000</f>
        <v>27.501410731384535</v>
      </c>
      <c r="T110">
        <f>($AU$2*9.81*Q110)/1000</f>
        <v>11.338790400000009</v>
      </c>
      <c r="U110">
        <f t="shared" si="22"/>
        <v>-4.7323943661972026E-2</v>
      </c>
      <c r="V110">
        <f t="shared" si="23"/>
        <v>-4.7288662856144761E-2</v>
      </c>
      <c r="W110">
        <f t="shared" si="32"/>
        <v>-2.7094408004741561</v>
      </c>
      <c r="X110">
        <f>($AU$2*9.81*SIN(W110))</f>
        <v>-2473.4260005995907</v>
      </c>
      <c r="Y110">
        <f>(0.08*($AU$2*9.81))</f>
        <v>472.44959999999998</v>
      </c>
      <c r="Z110">
        <f t="shared" si="33"/>
        <v>-2.4980396420018924</v>
      </c>
      <c r="AA110">
        <f>SUM(Z$3:Z110)</f>
        <v>95.505552514401344</v>
      </c>
      <c r="AB110">
        <v>0.55000000000000004</v>
      </c>
      <c r="AC110" s="7">
        <f t="shared" si="34"/>
        <v>-23.877758991182358</v>
      </c>
      <c r="AD110" s="21">
        <f>IF(AC110&gt;$AX$2,J110-1,AC110)</f>
        <v>-23.877758991182358</v>
      </c>
      <c r="AE110" s="21">
        <f t="shared" si="35"/>
        <v>0</v>
      </c>
      <c r="AF110" s="22">
        <f t="shared" si="36"/>
        <v>-23.877758991182358</v>
      </c>
      <c r="AG110" s="21">
        <f t="shared" si="37"/>
        <v>23.877758991182358</v>
      </c>
      <c r="AH110" s="21">
        <f>SUM(AE$3:AE110)</f>
        <v>550.39916160230757</v>
      </c>
      <c r="AI110" s="21">
        <f>SUM(AG$3:AG110)</f>
        <v>1297.3572770573337</v>
      </c>
      <c r="AJ110" s="23">
        <f t="shared" si="38"/>
        <v>0</v>
      </c>
      <c r="AK110" cm="1">
        <f t="array" ref="AK110">_xlfn.IFS(K110&lt;4,1,K110&lt;8,2,K110&gt;8,3)</f>
        <v>3</v>
      </c>
      <c r="AL110" cm="1">
        <f t="array" ref="AL110">_xlfn.IFS(K110&lt;9,2000,K110&lt;10,3500,K110&lt;12,5000,K110&lt;14,6500)</f>
        <v>3500</v>
      </c>
      <c r="AM110">
        <f>MATCH(AJ110,$AW$10:$BJ$10,1)</f>
        <v>2</v>
      </c>
      <c r="AN110">
        <v>175</v>
      </c>
      <c r="AO110">
        <f>(AE110*AN110/760)/$AS$14</f>
        <v>0</v>
      </c>
      <c r="AP110">
        <f t="shared" si="39"/>
        <v>0</v>
      </c>
      <c r="AQ110" s="21">
        <f>SUM(AP$3:AP110)</f>
        <v>74.353014995862807</v>
      </c>
    </row>
    <row r="111" spans="1:43">
      <c r="A111">
        <f t="shared" si="24"/>
        <v>967.375</v>
      </c>
      <c r="B111">
        <f t="shared" si="25"/>
        <v>0.95629107073801012</v>
      </c>
      <c r="C111">
        <f t="shared" si="26"/>
        <v>124.00562064205425</v>
      </c>
      <c r="D111" s="4">
        <v>120.03593857</v>
      </c>
      <c r="E111">
        <f t="shared" si="27"/>
        <v>32.409703413900004</v>
      </c>
      <c r="F111" s="4">
        <v>29.2</v>
      </c>
      <c r="G111" s="20">
        <f t="shared" si="28"/>
        <v>108.04</v>
      </c>
      <c r="J111" s="7">
        <v>9.0026953927500024</v>
      </c>
      <c r="K111">
        <f t="shared" si="29"/>
        <v>1.8403100442989664</v>
      </c>
      <c r="L111">
        <f t="shared" si="40"/>
        <v>29.736703578380197</v>
      </c>
      <c r="M111">
        <f t="shared" si="41"/>
        <v>-0.58131204092597977</v>
      </c>
      <c r="N111">
        <f>M111*$AU$2</f>
        <v>-349.9498486374398</v>
      </c>
      <c r="O111">
        <v>136.19999999999999</v>
      </c>
      <c r="P111">
        <f t="shared" si="30"/>
        <v>13.62</v>
      </c>
      <c r="Q111">
        <f t="shared" si="31"/>
        <v>1.5</v>
      </c>
      <c r="R111">
        <f t="shared" si="42"/>
        <v>0.42000000000000171</v>
      </c>
      <c r="S111">
        <f>(0.5*$AU$2*(J111*J111))/1000</f>
        <v>24.395605824727276</v>
      </c>
      <c r="T111">
        <f>($AU$2*9.81*Q111)/1000</f>
        <v>8.8584300000000002</v>
      </c>
      <c r="U111">
        <f t="shared" si="22"/>
        <v>-6.8732394366197117E-2</v>
      </c>
      <c r="V111">
        <f t="shared" si="23"/>
        <v>-6.8624466257585434E-2</v>
      </c>
      <c r="W111">
        <f t="shared" si="32"/>
        <v>-3.9318922878975728</v>
      </c>
      <c r="X111">
        <f>($AU$2*9.81*SIN(W111))</f>
        <v>4196.3217771576556</v>
      </c>
      <c r="Y111">
        <f>(0.08*($AU$2*9.81))</f>
        <v>472.44959999999998</v>
      </c>
      <c r="Z111">
        <f t="shared" si="33"/>
        <v>4.348558232098596</v>
      </c>
      <c r="AA111">
        <f>SUM(Z$3:Z111)</f>
        <v>99.854110746499941</v>
      </c>
      <c r="AB111">
        <v>0.55000000000000004</v>
      </c>
      <c r="AC111" s="7">
        <f t="shared" si="34"/>
        <v>39.148745161219125</v>
      </c>
      <c r="AD111" s="21">
        <f>IF(AC111&gt;$AX$2,J111-1,AC111)</f>
        <v>8.0026953927500024</v>
      </c>
      <c r="AE111" s="21">
        <f t="shared" si="35"/>
        <v>8.0026953927500024</v>
      </c>
      <c r="AF111" s="22">
        <f t="shared" si="36"/>
        <v>0</v>
      </c>
      <c r="AG111" s="21">
        <f t="shared" si="37"/>
        <v>0</v>
      </c>
      <c r="AH111" s="21">
        <f>SUM(AE$3:AE111)</f>
        <v>558.40185699505753</v>
      </c>
      <c r="AI111" s="21">
        <f>SUM(AG$3:AG111)</f>
        <v>1297.3572770573337</v>
      </c>
      <c r="AJ111" s="23">
        <f t="shared" si="38"/>
        <v>8.0026953927500024</v>
      </c>
      <c r="AK111" cm="1">
        <f t="array" ref="AK111">_xlfn.IFS(K111&lt;4,1,K111&lt;8,2,K111&gt;8,3)</f>
        <v>1</v>
      </c>
      <c r="AL111" cm="1">
        <f t="array" ref="AL111">_xlfn.IFS(K111&lt;9,2000,K111&lt;10,3500,K111&lt;12,5000,K111&lt;14,6500)</f>
        <v>2000</v>
      </c>
      <c r="AM111">
        <f>MATCH(AJ111,$AW$10:$BJ$10,1)</f>
        <v>10</v>
      </c>
      <c r="AN111">
        <v>175</v>
      </c>
      <c r="AO111">
        <f>(AE111*AN111/760)/$AS$14</f>
        <v>3.8918814914689839</v>
      </c>
      <c r="AP111">
        <f t="shared" si="39"/>
        <v>1.0810781920747177</v>
      </c>
      <c r="AQ111" s="21">
        <f>SUM(AP$3:AP111)</f>
        <v>75.43409318793752</v>
      </c>
    </row>
    <row r="112" spans="1:43">
      <c r="A112">
        <f t="shared" si="24"/>
        <v>976.25</v>
      </c>
      <c r="B112">
        <f t="shared" si="25"/>
        <v>0.98570084614256126</v>
      </c>
      <c r="C112">
        <f t="shared" si="26"/>
        <v>124.99132148819682</v>
      </c>
      <c r="D112" s="4">
        <v>120.06395339300001</v>
      </c>
      <c r="E112">
        <f t="shared" si="27"/>
        <v>32.417267416110001</v>
      </c>
      <c r="F112" s="4">
        <v>29.46</v>
      </c>
      <c r="G112" s="20">
        <f t="shared" si="28"/>
        <v>109.00200000000001</v>
      </c>
      <c r="J112" s="7">
        <v>9.0047965044749994</v>
      </c>
      <c r="K112">
        <f t="shared" si="29"/>
        <v>1.8387239957334223</v>
      </c>
      <c r="L112">
        <f t="shared" si="40"/>
        <v>29.750585515922193</v>
      </c>
      <c r="M112">
        <f t="shared" si="41"/>
        <v>2.1315916824251693E-3</v>
      </c>
      <c r="N112">
        <f>M112*$AU$2</f>
        <v>1.283218192819952</v>
      </c>
      <c r="O112">
        <v>130.1</v>
      </c>
      <c r="P112">
        <f t="shared" si="30"/>
        <v>13.01</v>
      </c>
      <c r="Q112">
        <f t="shared" si="31"/>
        <v>0.89000000000000057</v>
      </c>
      <c r="R112">
        <f t="shared" si="42"/>
        <v>0.60999999999999943</v>
      </c>
      <c r="S112">
        <f>(0.5*$AU$2*(J112*J112))/1000</f>
        <v>24.406994386188554</v>
      </c>
      <c r="T112">
        <f>($AU$2*9.81*Q112)/1000</f>
        <v>5.2560018000000035</v>
      </c>
      <c r="U112">
        <f t="shared" si="22"/>
        <v>1.2394366197183034E-2</v>
      </c>
      <c r="V112">
        <f t="shared" si="23"/>
        <v>1.2393731580202717E-2</v>
      </c>
      <c r="W112">
        <f t="shared" si="32"/>
        <v>0.71010851196362035</v>
      </c>
      <c r="X112">
        <f>($AU$2*9.81*SIN(W112))</f>
        <v>3849.9685135171926</v>
      </c>
      <c r="Y112">
        <f>(0.08*($AU$2*9.81))</f>
        <v>472.44959999999998</v>
      </c>
      <c r="Z112">
        <f t="shared" si="33"/>
        <v>4.3534519172259349</v>
      </c>
      <c r="AA112">
        <f>SUM(Z$3:Z112)</f>
        <v>104.20756266372588</v>
      </c>
      <c r="AB112">
        <v>0.55000000000000004</v>
      </c>
      <c r="AC112" s="7">
        <f t="shared" si="34"/>
        <v>39.20194860663608</v>
      </c>
      <c r="AD112" s="21">
        <f>IF(AC112&gt;$AX$2,J112-1,AC112)</f>
        <v>8.0047965044749994</v>
      </c>
      <c r="AE112" s="21">
        <f t="shared" si="35"/>
        <v>8.0047965044749994</v>
      </c>
      <c r="AF112" s="22">
        <f t="shared" si="36"/>
        <v>0</v>
      </c>
      <c r="AG112" s="21">
        <f t="shared" si="37"/>
        <v>0</v>
      </c>
      <c r="AH112" s="21">
        <f>SUM(AE$3:AE112)</f>
        <v>566.40665349953258</v>
      </c>
      <c r="AI112" s="21">
        <f>SUM(AG$3:AG112)</f>
        <v>1297.3572770573337</v>
      </c>
      <c r="AJ112" s="23">
        <f t="shared" si="38"/>
        <v>8.0047965044749994</v>
      </c>
      <c r="AK112" cm="1">
        <f t="array" ref="AK112">_xlfn.IFS(K112&lt;4,1,K112&lt;8,2,K112&gt;8,3)</f>
        <v>1</v>
      </c>
      <c r="AL112" cm="1">
        <f t="array" ref="AL112">_xlfn.IFS(K112&lt;1,2000,K112&lt;2,3500,K112&lt;3,5000,K112&lt;4,6500)</f>
        <v>3500</v>
      </c>
      <c r="AM112">
        <f>MATCH(AJ112,$AW$10:$BJ$10,1)</f>
        <v>10</v>
      </c>
      <c r="AN112">
        <v>175</v>
      </c>
      <c r="AO112">
        <f>(AE112*AN112/760)/$AS$14</f>
        <v>3.8929033069239902</v>
      </c>
      <c r="AP112">
        <f t="shared" si="39"/>
        <v>1.0813620297011084</v>
      </c>
      <c r="AQ112" s="21">
        <f>SUM(AP$3:AP112)</f>
        <v>76.515455217638632</v>
      </c>
    </row>
    <row r="113" spans="1:43">
      <c r="A113">
        <f t="shared" si="24"/>
        <v>985.125</v>
      </c>
      <c r="B113">
        <f t="shared" si="25"/>
        <v>1.0308260265450711</v>
      </c>
      <c r="C113">
        <f t="shared" si="26"/>
        <v>126.02214751474189</v>
      </c>
      <c r="D113" s="4">
        <v>109.525386197</v>
      </c>
      <c r="E113">
        <f t="shared" si="27"/>
        <v>29.571854273190002</v>
      </c>
      <c r="F113" s="4">
        <v>29.74</v>
      </c>
      <c r="G113" s="20">
        <f t="shared" si="28"/>
        <v>110.038</v>
      </c>
      <c r="J113" s="7">
        <v>8.2144039647750002</v>
      </c>
      <c r="K113">
        <f t="shared" si="29"/>
        <v>1.2153961744597499</v>
      </c>
      <c r="L113">
        <f t="shared" si="40"/>
        <v>24.757103082969973</v>
      </c>
      <c r="M113">
        <f t="shared" si="41"/>
        <v>-0.76675648397148854</v>
      </c>
      <c r="N113">
        <f>M113*$AU$2</f>
        <v>-461.5874033508361</v>
      </c>
      <c r="O113">
        <v>131.19999999999999</v>
      </c>
      <c r="P113">
        <f t="shared" si="30"/>
        <v>13.12</v>
      </c>
      <c r="Q113">
        <f t="shared" si="31"/>
        <v>1</v>
      </c>
      <c r="R113">
        <f t="shared" si="42"/>
        <v>0.10999999999999943</v>
      </c>
      <c r="S113">
        <f>(0.5*$AU$2*(J113*J113))/1000</f>
        <v>20.310406181449881</v>
      </c>
      <c r="T113">
        <f>($AU$2*9.81*Q113)/1000</f>
        <v>5.9056199999999999</v>
      </c>
      <c r="U113">
        <f t="shared" si="22"/>
        <v>2.8169014084507043E-2</v>
      </c>
      <c r="V113">
        <f t="shared" si="23"/>
        <v>2.8161566987892423E-2</v>
      </c>
      <c r="W113">
        <f t="shared" si="32"/>
        <v>1.6135389328811822</v>
      </c>
      <c r="X113">
        <f>($AU$2*9.81*SIN(W113))</f>
        <v>5900.2262429624861</v>
      </c>
      <c r="Y113">
        <f>(0.08*($AU$2*9.81))</f>
        <v>472.44959999999998</v>
      </c>
      <c r="Z113">
        <f t="shared" si="33"/>
        <v>5.9358455426946204</v>
      </c>
      <c r="AA113">
        <f>SUM(Z$3:Z113)</f>
        <v>110.1434082064205</v>
      </c>
      <c r="AB113">
        <v>0.55000000000000004</v>
      </c>
      <c r="AC113" s="7">
        <f t="shared" si="34"/>
        <v>48.759433160202704</v>
      </c>
      <c r="AD113" s="21">
        <f>IF(AC113&gt;$AX$2,J113-1,AC113)</f>
        <v>7.2144039647750002</v>
      </c>
      <c r="AE113" s="21">
        <f t="shared" si="35"/>
        <v>7.2144039647750002</v>
      </c>
      <c r="AF113" s="22">
        <f t="shared" si="36"/>
        <v>0</v>
      </c>
      <c r="AG113" s="21">
        <f t="shared" si="37"/>
        <v>0</v>
      </c>
      <c r="AH113" s="21">
        <f>SUM(AE$3:AE113)</f>
        <v>573.62105746430757</v>
      </c>
      <c r="AI113" s="21">
        <f>SUM(AG$3:AG113)</f>
        <v>1297.3572770573337</v>
      </c>
      <c r="AJ113" s="23">
        <f t="shared" si="38"/>
        <v>7.2144039647750002</v>
      </c>
      <c r="AK113" cm="1">
        <f t="array" ref="AK113">_xlfn.IFS(K113&lt;4,1,K113&lt;8,2,K113&gt;8,3)</f>
        <v>1</v>
      </c>
      <c r="AL113" cm="1">
        <f t="array" ref="AL113">_xlfn.IFS(K113&lt;9,2000,K113&lt;10,3500,K113&lt;12,5000,K113&lt;14,6500)</f>
        <v>2000</v>
      </c>
      <c r="AM113">
        <f>MATCH(AJ113,$AW$10:$BJ$10,1)</f>
        <v>9</v>
      </c>
      <c r="AN113">
        <v>175</v>
      </c>
      <c r="AO113">
        <f>(AE113*AN113/760)/$AS$14</f>
        <v>3.5085185533770318</v>
      </c>
      <c r="AP113">
        <f t="shared" si="39"/>
        <v>0.97458848704917544</v>
      </c>
      <c r="AQ113" s="21">
        <f>SUM(AP$3:AP113)</f>
        <v>77.490043704687807</v>
      </c>
    </row>
    <row r="114" spans="1:43">
      <c r="A114">
        <f t="shared" si="24"/>
        <v>994</v>
      </c>
      <c r="B114">
        <f t="shared" si="25"/>
        <v>1.1164775808106973</v>
      </c>
      <c r="C114">
        <f t="shared" si="26"/>
        <v>127.13862509555258</v>
      </c>
      <c r="D114" s="4">
        <v>102.45080637</v>
      </c>
      <c r="E114">
        <f t="shared" si="27"/>
        <v>27.6617177199</v>
      </c>
      <c r="F114" s="4">
        <v>30.01</v>
      </c>
      <c r="G114" s="20">
        <f t="shared" si="28"/>
        <v>111.03700000000001</v>
      </c>
      <c r="J114" s="7">
        <v>7.6838104777499998</v>
      </c>
      <c r="K114">
        <f t="shared" si="29"/>
        <v>7.6838104777499998</v>
      </c>
      <c r="L114">
        <f t="shared" si="40"/>
        <v>21.662122154733112</v>
      </c>
      <c r="M114">
        <f t="shared" si="41"/>
        <v>-0.47523881907214521</v>
      </c>
      <c r="N114">
        <f>M114*$AU$2</f>
        <v>-286.09376908143145</v>
      </c>
      <c r="O114">
        <v>133.69999999999999</v>
      </c>
      <c r="P114">
        <f t="shared" si="30"/>
        <v>13.37</v>
      </c>
      <c r="Q114">
        <f t="shared" si="31"/>
        <v>1.25</v>
      </c>
      <c r="R114">
        <f t="shared" si="42"/>
        <v>0.25</v>
      </c>
      <c r="S114">
        <f>(0.5*$AU$2*(J114*J114))/1000</f>
        <v>17.771323980852188</v>
      </c>
      <c r="T114">
        <f>($AU$2*9.81*Q114)/1000</f>
        <v>7.3820249999999996</v>
      </c>
      <c r="U114">
        <f t="shared" si="22"/>
        <v>-2.9295774647887299E-2</v>
      </c>
      <c r="V114">
        <f t="shared" si="23"/>
        <v>-2.9287398002212733E-2</v>
      </c>
      <c r="W114">
        <f t="shared" si="32"/>
        <v>-1.6780442984466684</v>
      </c>
      <c r="X114">
        <f>($AU$2*9.81*SIN(W114))</f>
        <v>-5871.6889451121488</v>
      </c>
      <c r="Y114">
        <f>(0.08*($AU$2*9.81))</f>
        <v>472.44959999999998</v>
      </c>
      <c r="Z114">
        <f t="shared" si="33"/>
        <v>-5.6636709920388473</v>
      </c>
      <c r="AA114">
        <f>SUM(Z$3:Z114)</f>
        <v>104.47973721438166</v>
      </c>
      <c r="AB114">
        <v>0.55000000000000004</v>
      </c>
      <c r="AC114" s="7">
        <f t="shared" si="34"/>
        <v>-43.518574511156828</v>
      </c>
      <c r="AD114" s="21">
        <f>IF(AC114&gt;$AX$2,J114-1,AC114)</f>
        <v>-43.518574511156828</v>
      </c>
      <c r="AE114" s="21">
        <f t="shared" si="35"/>
        <v>0</v>
      </c>
      <c r="AF114" s="22">
        <f t="shared" si="36"/>
        <v>-43.518574511156828</v>
      </c>
      <c r="AG114" s="21">
        <f t="shared" si="37"/>
        <v>43.518574511156828</v>
      </c>
      <c r="AH114" s="21">
        <f>SUM(AE$3:AE114)</f>
        <v>573.62105746430757</v>
      </c>
      <c r="AI114" s="21">
        <f>SUM(AG$3:AG114)</f>
        <v>1340.8758515684906</v>
      </c>
      <c r="AJ114" s="23">
        <f t="shared" si="38"/>
        <v>0</v>
      </c>
      <c r="AK114" cm="1">
        <f t="array" ref="AK114">_xlfn.IFS(K114&lt;4,1,K114&lt;8,2,K114&gt;8,3)</f>
        <v>2</v>
      </c>
      <c r="AL114" cm="1">
        <f t="array" ref="AL114">_xlfn.IFS(K114&lt;5,2000,K114&lt;6,3500,K114&lt;7,5000,K114&lt;8,6500)</f>
        <v>6500</v>
      </c>
      <c r="AM114">
        <f>MATCH(AJ114,$AW$10:$BJ$10,1)</f>
        <v>2</v>
      </c>
      <c r="AN114">
        <v>175</v>
      </c>
      <c r="AO114">
        <f>(AE114*AN114/760)/$AS$14</f>
        <v>0</v>
      </c>
      <c r="AP114">
        <f t="shared" si="39"/>
        <v>0</v>
      </c>
      <c r="AQ114" s="21">
        <f>SUM(AP$3:AP114)</f>
        <v>77.490043704687807</v>
      </c>
    </row>
    <row r="115" spans="1:43">
      <c r="A115">
        <f t="shared" si="24"/>
        <v>1002.875</v>
      </c>
      <c r="B115">
        <f t="shared" si="25"/>
        <v>1.145696639693899</v>
      </c>
      <c r="C115">
        <f t="shared" si="26"/>
        <v>128.28432173524649</v>
      </c>
      <c r="D115" s="4">
        <v>104.119291217</v>
      </c>
      <c r="E115">
        <f t="shared" si="27"/>
        <v>28.11220862859</v>
      </c>
      <c r="F115" s="4">
        <v>30.28</v>
      </c>
      <c r="G115" s="20">
        <f t="shared" si="28"/>
        <v>112.03600000000002</v>
      </c>
      <c r="J115" s="7">
        <v>7.8089468412750005</v>
      </c>
      <c r="K115">
        <f t="shared" si="29"/>
        <v>2.3598660930978763</v>
      </c>
      <c r="L115">
        <f t="shared" si="40"/>
        <v>22.373433867461198</v>
      </c>
      <c r="M115">
        <f t="shared" si="41"/>
        <v>0.10922294714806251</v>
      </c>
      <c r="N115">
        <f>M115*$AU$2</f>
        <v>65.752214183133631</v>
      </c>
      <c r="O115">
        <v>131.1</v>
      </c>
      <c r="P115">
        <f t="shared" si="30"/>
        <v>13.11</v>
      </c>
      <c r="Q115">
        <f t="shared" si="31"/>
        <v>0.99000000000000021</v>
      </c>
      <c r="R115">
        <f t="shared" si="42"/>
        <v>0.25999999999999979</v>
      </c>
      <c r="S115">
        <f>(0.5*$AU$2*(J115*J115))/1000</f>
        <v>18.3548748817275</v>
      </c>
      <c r="T115">
        <f>($AU$2*9.81*Q115)/1000</f>
        <v>5.8465638000000011</v>
      </c>
      <c r="U115">
        <f t="shared" si="22"/>
        <v>-6.1971830985915376E-2</v>
      </c>
      <c r="V115">
        <f t="shared" si="23"/>
        <v>-6.1892678862462663E-2</v>
      </c>
      <c r="W115">
        <f t="shared" si="32"/>
        <v>-3.5461892815776714</v>
      </c>
      <c r="X115">
        <f>($AU$2*9.81*SIN(W115))</f>
        <v>2324.7354317332165</v>
      </c>
      <c r="Y115">
        <f>(0.08*($AU$2*9.81))</f>
        <v>472.44959999999998</v>
      </c>
      <c r="Z115">
        <f t="shared" si="33"/>
        <v>2.8853106797838115</v>
      </c>
      <c r="AA115">
        <f>SUM(Z$3:Z115)</f>
        <v>107.36504789416547</v>
      </c>
      <c r="AB115">
        <v>0.55000000000000004</v>
      </c>
      <c r="AC115" s="7">
        <f t="shared" si="34"/>
        <v>22.53123771899482</v>
      </c>
      <c r="AD115" s="21">
        <f>IF(AC115&gt;$AX$2,J115-1,AC115)</f>
        <v>6.8089468412750005</v>
      </c>
      <c r="AE115" s="21">
        <f t="shared" si="35"/>
        <v>6.8089468412750005</v>
      </c>
      <c r="AF115" s="22">
        <f t="shared" si="36"/>
        <v>0</v>
      </c>
      <c r="AG115" s="21">
        <f t="shared" si="37"/>
        <v>0</v>
      </c>
      <c r="AH115" s="21">
        <f>SUM(AE$3:AE115)</f>
        <v>580.43000430558254</v>
      </c>
      <c r="AI115" s="21">
        <f>SUM(AG$3:AG115)</f>
        <v>1340.8758515684906</v>
      </c>
      <c r="AJ115" s="23">
        <f t="shared" si="38"/>
        <v>6.8089468412750005</v>
      </c>
      <c r="AK115" cm="1">
        <f t="array" ref="AK115">_xlfn.IFS(K115&lt;4,1,K115&lt;8,2,K115&gt;8,3)</f>
        <v>1</v>
      </c>
      <c r="AL115" cm="1">
        <f t="array" ref="AL115">_xlfn.IFS(K115&lt;5,2000,K115&lt;6,3500,K115&lt;7,5000,K115&lt;8,6500)</f>
        <v>2000</v>
      </c>
      <c r="AM115">
        <f>MATCH(AJ115,$AW$10:$BJ$10,1)</f>
        <v>8</v>
      </c>
      <c r="AN115">
        <v>175</v>
      </c>
      <c r="AO115">
        <f>(AE115*AN115/760)/$AS$14</f>
        <v>3.3113361045781593</v>
      </c>
      <c r="AP115">
        <f t="shared" si="39"/>
        <v>0.9198155846050442</v>
      </c>
      <c r="AQ115" s="21">
        <f>SUM(AP$3:AP115)</f>
        <v>78.409859289292854</v>
      </c>
    </row>
    <row r="116" spans="1:43">
      <c r="A116">
        <f t="shared" si="24"/>
        <v>1011.75</v>
      </c>
      <c r="B116">
        <f t="shared" si="25"/>
        <v>1.125962070709311</v>
      </c>
      <c r="C116">
        <f t="shared" si="26"/>
        <v>129.4102838059558</v>
      </c>
      <c r="D116" s="4">
        <v>106.071329607</v>
      </c>
      <c r="E116">
        <f t="shared" si="27"/>
        <v>28.63925899389</v>
      </c>
      <c r="F116" s="4">
        <v>30.55</v>
      </c>
      <c r="G116" s="20">
        <f t="shared" si="28"/>
        <v>113.03500000000001</v>
      </c>
      <c r="J116" s="7">
        <v>7.9553497205249997</v>
      </c>
      <c r="K116">
        <f t="shared" si="29"/>
        <v>7.9553497205249997</v>
      </c>
      <c r="L116">
        <f t="shared" si="40"/>
        <v>23.220216468622006</v>
      </c>
      <c r="M116">
        <f t="shared" si="41"/>
        <v>0.13002469892948687</v>
      </c>
      <c r="N116">
        <f>M116*$AU$2</f>
        <v>78.274868755551097</v>
      </c>
      <c r="O116">
        <v>125.6</v>
      </c>
      <c r="P116">
        <f t="shared" si="30"/>
        <v>12.56</v>
      </c>
      <c r="Q116">
        <f t="shared" si="31"/>
        <v>0.44000000000000128</v>
      </c>
      <c r="R116">
        <f t="shared" si="42"/>
        <v>0.54999999999999893</v>
      </c>
      <c r="S116">
        <f>(0.5*$AU$2*(J116*J116))/1000</f>
        <v>19.049564341933014</v>
      </c>
      <c r="T116">
        <f>($AU$2*9.81*Q116)/1000</f>
        <v>2.5984728000000072</v>
      </c>
      <c r="U116">
        <f t="shared" si="22"/>
        <v>-2.4788732394366068E-2</v>
      </c>
      <c r="V116">
        <f t="shared" si="23"/>
        <v>-2.4783656861739885E-2</v>
      </c>
      <c r="W116">
        <f t="shared" si="32"/>
        <v>-1.4199989390781382</v>
      </c>
      <c r="X116">
        <f>($AU$2*9.81*SIN(W116))</f>
        <v>-5838.6006825062232</v>
      </c>
      <c r="Y116">
        <f>(0.08*($AU$2*9.81))</f>
        <v>472.44959999999998</v>
      </c>
      <c r="Z116">
        <f t="shared" si="33"/>
        <v>-5.2646559972820501</v>
      </c>
      <c r="AA116">
        <f>SUM(Z$3:Z116)</f>
        <v>102.10039189688342</v>
      </c>
      <c r="AB116">
        <v>0.55000000000000004</v>
      </c>
      <c r="AC116" s="7">
        <f t="shared" si="34"/>
        <v>-41.88217961663802</v>
      </c>
      <c r="AD116" s="21">
        <f>IF(AC116&gt;$AX$2,J116-1,AC116)</f>
        <v>-41.88217961663802</v>
      </c>
      <c r="AE116" s="21">
        <f t="shared" si="35"/>
        <v>0</v>
      </c>
      <c r="AF116" s="22">
        <f t="shared" si="36"/>
        <v>-41.88217961663802</v>
      </c>
      <c r="AG116" s="21">
        <f t="shared" si="37"/>
        <v>41.88217961663802</v>
      </c>
      <c r="AH116" s="21">
        <f>SUM(AE$3:AE116)</f>
        <v>580.43000430558254</v>
      </c>
      <c r="AI116" s="21">
        <f>SUM(AG$3:AG116)</f>
        <v>1382.7580311851286</v>
      </c>
      <c r="AJ116" s="23">
        <f t="shared" si="38"/>
        <v>0</v>
      </c>
      <c r="AK116" cm="1">
        <f t="array" ref="AK116">_xlfn.IFS(K116&lt;4,1,K116&lt;8,2,K116&gt;8,3)</f>
        <v>2</v>
      </c>
      <c r="AL116" cm="1">
        <f t="array" ref="AL116">_xlfn.IFS(K116&lt;5,2000,K116&lt;6,3500,K116&lt;7,5000,K116&lt;8,6500)</f>
        <v>6500</v>
      </c>
      <c r="AM116">
        <f>MATCH(AJ116,$AW$10:$BJ$10,1)</f>
        <v>2</v>
      </c>
      <c r="AN116">
        <v>175</v>
      </c>
      <c r="AO116">
        <f>(AE116*AN116/760)/$AS$14</f>
        <v>0</v>
      </c>
      <c r="AP116">
        <f t="shared" si="39"/>
        <v>0</v>
      </c>
      <c r="AQ116" s="21">
        <f>SUM(AP$3:AP116)</f>
        <v>78.409859289292854</v>
      </c>
    </row>
    <row r="117" spans="1:43">
      <c r="A117">
        <f t="shared" si="24"/>
        <v>1020.625</v>
      </c>
      <c r="B117">
        <f t="shared" si="25"/>
        <v>1.1086386061689186</v>
      </c>
      <c r="C117">
        <f t="shared" si="26"/>
        <v>130.51892241212471</v>
      </c>
      <c r="D117" s="4">
        <v>107.40370666699999</v>
      </c>
      <c r="E117">
        <f t="shared" si="27"/>
        <v>28.999000800090002</v>
      </c>
      <c r="F117" s="4">
        <v>30.82</v>
      </c>
      <c r="G117" s="20">
        <f t="shared" si="28"/>
        <v>114.03400000000001</v>
      </c>
      <c r="J117" s="7">
        <v>8.0552780000249999</v>
      </c>
      <c r="K117">
        <f t="shared" si="29"/>
        <v>8.0552780000249999</v>
      </c>
      <c r="L117">
        <f t="shared" si="40"/>
        <v>23.807225092005275</v>
      </c>
      <c r="M117">
        <f t="shared" si="41"/>
        <v>9.0136027145328743E-2</v>
      </c>
      <c r="N117">
        <f>M117*$AU$2</f>
        <v>54.261888341487904</v>
      </c>
      <c r="O117">
        <v>123.4</v>
      </c>
      <c r="P117">
        <f t="shared" si="30"/>
        <v>12.340000000000002</v>
      </c>
      <c r="Q117">
        <f t="shared" si="31"/>
        <v>0.22000000000000242</v>
      </c>
      <c r="R117">
        <f t="shared" si="42"/>
        <v>0.21999999999999886</v>
      </c>
      <c r="S117">
        <f>(0.5*$AU$2*(J117*J117))/1000</f>
        <v>19.531138600963718</v>
      </c>
      <c r="T117">
        <f>($AU$2*9.81*Q117)/1000</f>
        <v>1.2992364000000143</v>
      </c>
      <c r="U117">
        <f t="shared" si="22"/>
        <v>7.2112676056338088E-2</v>
      </c>
      <c r="V117">
        <f t="shared" si="23"/>
        <v>7.1988063607258373E-2</v>
      </c>
      <c r="W117">
        <f t="shared" si="32"/>
        <v>4.1246122200152211</v>
      </c>
      <c r="X117">
        <f>($AU$2*9.81*SIN(W117))</f>
        <v>-4914.5125619799874</v>
      </c>
      <c r="Y117">
        <f>(0.08*($AU$2*9.81))</f>
        <v>472.44959999999998</v>
      </c>
      <c r="Z117">
        <f t="shared" si="33"/>
        <v>-4.3639938485464942</v>
      </c>
      <c r="AA117">
        <f>SUM(Z$3:Z117)</f>
        <v>97.736398048336923</v>
      </c>
      <c r="AB117">
        <v>0.55000000000000004</v>
      </c>
      <c r="AC117" s="7">
        <f t="shared" si="34"/>
        <v>-35.153183640441007</v>
      </c>
      <c r="AD117" s="21">
        <f>IF(AC117&gt;$AX$2,J117-1,AC117)</f>
        <v>-35.153183640441007</v>
      </c>
      <c r="AE117" s="21">
        <f t="shared" si="35"/>
        <v>0</v>
      </c>
      <c r="AF117" s="22">
        <f t="shared" si="36"/>
        <v>-35.153183640441007</v>
      </c>
      <c r="AG117" s="21">
        <f t="shared" si="37"/>
        <v>35.153183640441007</v>
      </c>
      <c r="AH117" s="21">
        <f>SUM(AE$3:AE117)</f>
        <v>580.43000430558254</v>
      </c>
      <c r="AI117" s="21">
        <f>SUM(AG$3:AG117)</f>
        <v>1417.9112148255697</v>
      </c>
      <c r="AJ117" s="23">
        <f t="shared" si="38"/>
        <v>0</v>
      </c>
      <c r="AK117" cm="1">
        <f t="array" ref="AK117">_xlfn.IFS(K117&lt;4,1,K117&lt;8,2,K117&gt;8,3)</f>
        <v>3</v>
      </c>
      <c r="AL117" cm="1">
        <f t="array" ref="AL117">_xlfn.IFS(K117&lt;9,2000,K117&lt;10,3500,K117&lt;12,5000,K117&lt;14,6500)</f>
        <v>2000</v>
      </c>
      <c r="AM117">
        <f>MATCH(AJ117,$AW$10:$BJ$10,1)</f>
        <v>2</v>
      </c>
      <c r="AN117">
        <v>175</v>
      </c>
      <c r="AO117">
        <f>(AE117*AN117/760)/$AS$14</f>
        <v>0</v>
      </c>
      <c r="AP117">
        <f t="shared" si="39"/>
        <v>0</v>
      </c>
      <c r="AQ117" s="21">
        <f>SUM(AP$3:AP117)</f>
        <v>78.409859289292854</v>
      </c>
    </row>
    <row r="118" spans="1:43">
      <c r="A118">
        <f t="shared" si="24"/>
        <v>1029.5</v>
      </c>
      <c r="B118">
        <f t="shared" si="25"/>
        <v>1.0979997300316608</v>
      </c>
      <c r="C118">
        <f t="shared" si="26"/>
        <v>131.61692214215637</v>
      </c>
      <c r="D118" s="4">
        <v>108.139758594</v>
      </c>
      <c r="E118">
        <f t="shared" si="27"/>
        <v>29.197734820380003</v>
      </c>
      <c r="F118" s="4">
        <v>31.09</v>
      </c>
      <c r="G118" s="20">
        <f t="shared" si="28"/>
        <v>115.033</v>
      </c>
      <c r="J118" s="7">
        <v>8.1104818945500003</v>
      </c>
      <c r="K118">
        <f t="shared" si="29"/>
        <v>1.3359127486816718</v>
      </c>
      <c r="L118">
        <f t="shared" si="40"/>
        <v>24.13465138653299</v>
      </c>
      <c r="M118">
        <f t="shared" si="41"/>
        <v>5.0276783331639485E-2</v>
      </c>
      <c r="N118">
        <f>M118*$AU$2</f>
        <v>30.26662356564697</v>
      </c>
      <c r="O118">
        <v>129.80000000000001</v>
      </c>
      <c r="P118">
        <f t="shared" si="30"/>
        <v>12.980000000000002</v>
      </c>
      <c r="Q118">
        <f t="shared" si="31"/>
        <v>0.86000000000000298</v>
      </c>
      <c r="R118">
        <f t="shared" si="42"/>
        <v>0.64000000000000057</v>
      </c>
      <c r="S118">
        <f>(0.5*$AU$2*(J118*J118))/1000</f>
        <v>19.799754885108829</v>
      </c>
      <c r="T118">
        <f>($AU$2*9.81*Q118)/1000</f>
        <v>5.0788332000000169</v>
      </c>
      <c r="U118">
        <f t="shared" si="22"/>
        <v>3.8309859154929363E-2</v>
      </c>
      <c r="V118">
        <f t="shared" si="23"/>
        <v>3.8291133879717436E-2</v>
      </c>
      <c r="W118">
        <f t="shared" si="32"/>
        <v>2.1939203640782066</v>
      </c>
      <c r="X118">
        <f>($AU$2*9.81*SIN(W118))</f>
        <v>4795.7137173588726</v>
      </c>
      <c r="Y118">
        <f>(0.08*($AU$2*9.81))</f>
        <v>472.44959999999998</v>
      </c>
      <c r="Z118">
        <f t="shared" si="33"/>
        <v>5.3225645923110525</v>
      </c>
      <c r="AA118">
        <f>SUM(Z$3:Z118)</f>
        <v>103.05896264064798</v>
      </c>
      <c r="AB118">
        <v>0.55000000000000004</v>
      </c>
      <c r="AC118" s="7">
        <f t="shared" si="34"/>
        <v>43.168563758511695</v>
      </c>
      <c r="AD118" s="21">
        <f>IF(AC118&gt;$AX$2,J118-1,AC118)</f>
        <v>7.1104818945500003</v>
      </c>
      <c r="AE118" s="21">
        <f t="shared" si="35"/>
        <v>7.1104818945500003</v>
      </c>
      <c r="AF118" s="22">
        <f t="shared" si="36"/>
        <v>0</v>
      </c>
      <c r="AG118" s="21">
        <f t="shared" si="37"/>
        <v>0</v>
      </c>
      <c r="AH118" s="21">
        <f>SUM(AE$3:AE118)</f>
        <v>587.54048620013259</v>
      </c>
      <c r="AI118" s="21">
        <f>SUM(AG$3:AG118)</f>
        <v>1417.9112148255697</v>
      </c>
      <c r="AJ118" s="23">
        <f t="shared" si="38"/>
        <v>7.1104818945500003</v>
      </c>
      <c r="AK118" cm="1">
        <f t="array" ref="AK118">_xlfn.IFS(K118&lt;4,1,K118&lt;8,2,K118&gt;8,3)</f>
        <v>1</v>
      </c>
      <c r="AL118" cm="1">
        <f t="array" ref="AL118">_xlfn.IFS(K118&lt;1,2000,K118&lt;2,3500,K118&lt;3,5000,K118&lt;4,6500)</f>
        <v>3500</v>
      </c>
      <c r="AM118">
        <f>MATCH(AJ118,$AW$10:$BJ$10,1)</f>
        <v>9</v>
      </c>
      <c r="AN118">
        <v>175</v>
      </c>
      <c r="AO118">
        <f>(AE118*AN118/760)/$AS$14</f>
        <v>3.4579790336509371</v>
      </c>
      <c r="AP118">
        <f t="shared" si="39"/>
        <v>0.9605497315697048</v>
      </c>
      <c r="AQ118" s="21">
        <f>SUM(AP$3:AP118)</f>
        <v>79.370409020862553</v>
      </c>
    </row>
    <row r="119" spans="1:43">
      <c r="A119">
        <f t="shared" si="24"/>
        <v>1038.375</v>
      </c>
      <c r="B119">
        <f t="shared" si="25"/>
        <v>1.0891149411458587</v>
      </c>
      <c r="C119">
        <f t="shared" si="26"/>
        <v>132.70603708330222</v>
      </c>
      <c r="D119" s="4">
        <v>109.162068537</v>
      </c>
      <c r="E119">
        <f t="shared" si="27"/>
        <v>29.473758504990002</v>
      </c>
      <c r="F119" s="4">
        <v>31.36</v>
      </c>
      <c r="G119" s="20">
        <f t="shared" si="28"/>
        <v>116.032</v>
      </c>
      <c r="J119" s="7">
        <v>8.1871551402749994</v>
      </c>
      <c r="K119">
        <f t="shared" si="29"/>
        <v>8.1871551402749994</v>
      </c>
      <c r="L119">
        <f t="shared" si="40"/>
        <v>24.59312695884271</v>
      </c>
      <c r="M119">
        <f t="shared" si="41"/>
        <v>7.0399590372281121E-2</v>
      </c>
      <c r="N119">
        <f>M119*$AU$2</f>
        <v>42.380553404113236</v>
      </c>
      <c r="O119">
        <v>133.19999999999999</v>
      </c>
      <c r="P119">
        <f t="shared" si="30"/>
        <v>13.32</v>
      </c>
      <c r="Q119">
        <f t="shared" si="31"/>
        <v>1.2000000000000011</v>
      </c>
      <c r="R119">
        <f t="shared" si="42"/>
        <v>0.33999999999999808</v>
      </c>
      <c r="S119">
        <f>(0.5*$AU$2*(J119*J119))/1000</f>
        <v>20.175882296570332</v>
      </c>
      <c r="T119">
        <f>($AU$2*9.81*Q119)/1000</f>
        <v>7.0867440000000057</v>
      </c>
      <c r="U119">
        <f t="shared" si="22"/>
        <v>-4.5070422535210307E-3</v>
      </c>
      <c r="V119">
        <f t="shared" si="23"/>
        <v>-4.5070117360640578E-3</v>
      </c>
      <c r="W119">
        <f t="shared" si="32"/>
        <v>-0.25823275069240065</v>
      </c>
      <c r="X119">
        <f>($AU$2*9.81*SIN(W119))</f>
        <v>-1508.1317582414797</v>
      </c>
      <c r="Y119">
        <f>(0.08*($AU$2*9.81))</f>
        <v>472.44959999999998</v>
      </c>
      <c r="Z119">
        <f t="shared" si="33"/>
        <v>-0.96870847787852377</v>
      </c>
      <c r="AA119">
        <f>SUM(Z$3:Z119)</f>
        <v>102.09025416276945</v>
      </c>
      <c r="AB119">
        <v>0.55000000000000004</v>
      </c>
      <c r="AC119" s="7">
        <f t="shared" si="34"/>
        <v>-7.9309665940911263</v>
      </c>
      <c r="AD119" s="21">
        <f>IF(AC119&gt;$AX$2,J119-1,AC119)</f>
        <v>-7.9309665940911263</v>
      </c>
      <c r="AE119" s="21">
        <f t="shared" si="35"/>
        <v>0</v>
      </c>
      <c r="AF119" s="22">
        <f t="shared" si="36"/>
        <v>-7.9309665940911263</v>
      </c>
      <c r="AG119" s="21">
        <f t="shared" si="37"/>
        <v>7.9309665940911263</v>
      </c>
      <c r="AH119" s="21">
        <f>SUM(AE$3:AE119)</f>
        <v>587.54048620013259</v>
      </c>
      <c r="AI119" s="21">
        <f>SUM(AG$3:AG119)</f>
        <v>1425.8421814196608</v>
      </c>
      <c r="AJ119" s="23">
        <f t="shared" si="38"/>
        <v>0</v>
      </c>
      <c r="AK119" cm="1">
        <f t="array" ref="AK119">_xlfn.IFS(K119&lt;4,1,K119&lt;8,2,K119&gt;8,3)</f>
        <v>3</v>
      </c>
      <c r="AL119" cm="1">
        <f t="array" ref="AL119">_xlfn.IFS(K119&lt;9,2000,K119&lt;10,3500,K119&lt;12,5000,K119&lt;14,6500)</f>
        <v>2000</v>
      </c>
      <c r="AM119">
        <f>MATCH(AJ119,$AW$10:$BJ$10,1)</f>
        <v>2</v>
      </c>
      <c r="AN119">
        <v>175</v>
      </c>
      <c r="AO119">
        <f>(AE119*AN119/760)/$AS$14</f>
        <v>0</v>
      </c>
      <c r="AP119">
        <f t="shared" si="39"/>
        <v>0</v>
      </c>
      <c r="AQ119" s="21">
        <f>SUM(AP$3:AP119)</f>
        <v>79.370409020862553</v>
      </c>
    </row>
    <row r="120" spans="1:43">
      <c r="A120">
        <f t="shared" si="24"/>
        <v>1047.25</v>
      </c>
      <c r="B120">
        <f t="shared" si="25"/>
        <v>1.0743830806994672</v>
      </c>
      <c r="C120">
        <f t="shared" si="26"/>
        <v>133.7804201640017</v>
      </c>
      <c r="D120" s="4">
        <v>111.119384995</v>
      </c>
      <c r="E120">
        <f t="shared" si="27"/>
        <v>30.002233948650002</v>
      </c>
      <c r="F120" s="4">
        <v>31.63</v>
      </c>
      <c r="G120" s="20">
        <f t="shared" si="28"/>
        <v>117.03100000000001</v>
      </c>
      <c r="J120" s="7">
        <v>8.333953874625001</v>
      </c>
      <c r="K120">
        <f t="shared" si="29"/>
        <v>1.655461926410337</v>
      </c>
      <c r="L120">
        <f t="shared" si="40"/>
        <v>25.482961417947948</v>
      </c>
      <c r="M120">
        <f t="shared" si="41"/>
        <v>0.13663537427863109</v>
      </c>
      <c r="N120">
        <f>M120*$AU$2</f>
        <v>82.254495315735923</v>
      </c>
      <c r="O120">
        <v>132.80000000000001</v>
      </c>
      <c r="P120">
        <f t="shared" si="30"/>
        <v>13.280000000000001</v>
      </c>
      <c r="Q120">
        <f t="shared" si="31"/>
        <v>1.1600000000000019</v>
      </c>
      <c r="R120">
        <f t="shared" si="42"/>
        <v>3.9999999999999147E-2</v>
      </c>
      <c r="S120">
        <f>(0.5*$AU$2*(J120*J120))/1000</f>
        <v>20.9058909424975</v>
      </c>
      <c r="T120">
        <f>($AU$2*9.81*Q120)/1000</f>
        <v>6.8505192000000115</v>
      </c>
      <c r="U120">
        <f t="shared" si="22"/>
        <v>1.2394366197183034E-2</v>
      </c>
      <c r="V120">
        <f t="shared" si="23"/>
        <v>1.2393731580202717E-2</v>
      </c>
      <c r="W120">
        <f t="shared" si="32"/>
        <v>0.71010851196362035</v>
      </c>
      <c r="X120">
        <f>($AU$2*9.81*SIN(W120))</f>
        <v>3849.9685135171926</v>
      </c>
      <c r="Y120">
        <f>(0.08*($AU$2*9.81))</f>
        <v>472.44959999999998</v>
      </c>
      <c r="Z120">
        <f t="shared" si="33"/>
        <v>4.4301555702508768</v>
      </c>
      <c r="AA120">
        <f>SUM(Z$3:Z120)</f>
        <v>106.52040973302033</v>
      </c>
      <c r="AB120">
        <v>0.55000000000000004</v>
      </c>
      <c r="AC120" s="7">
        <f t="shared" si="34"/>
        <v>36.920712179883829</v>
      </c>
      <c r="AD120" s="21">
        <f>IF(AC120&gt;$AX$2,J120-1,AC120)</f>
        <v>7.333953874625001</v>
      </c>
      <c r="AE120" s="21">
        <f t="shared" si="35"/>
        <v>7.333953874625001</v>
      </c>
      <c r="AF120" s="22">
        <f t="shared" si="36"/>
        <v>0</v>
      </c>
      <c r="AG120" s="21">
        <f t="shared" si="37"/>
        <v>0</v>
      </c>
      <c r="AH120" s="21">
        <f>SUM(AE$3:AE120)</f>
        <v>594.87444007475756</v>
      </c>
      <c r="AI120" s="21">
        <f>SUM(AG$3:AG120)</f>
        <v>1425.8421814196608</v>
      </c>
      <c r="AJ120" s="23">
        <f t="shared" si="38"/>
        <v>7.333953874625001</v>
      </c>
      <c r="AK120" cm="1">
        <f t="array" ref="AK120">_xlfn.IFS(K120&lt;4,1,K120&lt;8,2,K120&gt;8,3)</f>
        <v>1</v>
      </c>
      <c r="AL120" cm="1">
        <f t="array" ref="AL120">_xlfn.IFS(K120&lt;1,2000,K120&lt;2,3500,K120&lt;3,5000,K120&lt;4,6500)</f>
        <v>3500</v>
      </c>
      <c r="AM120">
        <f>MATCH(AJ120,$AW$10:$BJ$10,1)</f>
        <v>9</v>
      </c>
      <c r="AN120">
        <v>175</v>
      </c>
      <c r="AO120">
        <f>(AE120*AN120/760)/$AS$14</f>
        <v>3.5666582249023926</v>
      </c>
      <c r="AP120">
        <f t="shared" si="39"/>
        <v>0.99073839580622014</v>
      </c>
      <c r="AQ120" s="21">
        <f>SUM(AP$3:AP120)</f>
        <v>80.361147416668771</v>
      </c>
    </row>
    <row r="121" spans="1:43">
      <c r="A121">
        <f t="shared" si="24"/>
        <v>1056.125</v>
      </c>
      <c r="B121">
        <f t="shared" si="25"/>
        <v>1.0505443973217572</v>
      </c>
      <c r="C121">
        <f t="shared" si="26"/>
        <v>134.83096456132344</v>
      </c>
      <c r="D121" s="4">
        <v>114.160638648</v>
      </c>
      <c r="E121">
        <f t="shared" si="27"/>
        <v>30.823372434960003</v>
      </c>
      <c r="F121" s="4">
        <v>31.9</v>
      </c>
      <c r="G121" s="20">
        <f t="shared" si="28"/>
        <v>118.03</v>
      </c>
      <c r="J121" s="7">
        <v>8.5620478986000013</v>
      </c>
      <c r="K121">
        <f t="shared" si="29"/>
        <v>1.186829990029169</v>
      </c>
      <c r="L121">
        <f t="shared" si="40"/>
        <v>26.896948901555103</v>
      </c>
      <c r="M121">
        <f t="shared" si="41"/>
        <v>0.21711983287570022</v>
      </c>
      <c r="N121">
        <f>M121*$AU$2</f>
        <v>130.70613939117152</v>
      </c>
      <c r="O121">
        <v>133.9</v>
      </c>
      <c r="P121">
        <f t="shared" si="30"/>
        <v>13.39</v>
      </c>
      <c r="Q121">
        <f t="shared" si="31"/>
        <v>1.2700000000000014</v>
      </c>
      <c r="R121">
        <f t="shared" si="42"/>
        <v>0.10999999999999943</v>
      </c>
      <c r="S121">
        <f>(0.5*$AU$2*(J121*J121))/1000</f>
        <v>22.065907929594129</v>
      </c>
      <c r="T121">
        <f>($AU$2*9.81*Q121)/1000</f>
        <v>7.5001374000000078</v>
      </c>
      <c r="U121">
        <f t="shared" si="22"/>
        <v>3.1549295774647816E-2</v>
      </c>
      <c r="V121">
        <f t="shared" si="23"/>
        <v>3.1538834406302237E-2</v>
      </c>
      <c r="W121">
        <f t="shared" si="32"/>
        <v>1.8070421022431076</v>
      </c>
      <c r="X121">
        <f>($AU$2*9.81*SIN(W121))</f>
        <v>5741.5826445944604</v>
      </c>
      <c r="Y121">
        <f>(0.08*($AU$2*9.81))</f>
        <v>472.44959999999998</v>
      </c>
      <c r="Z121">
        <f t="shared" si="33"/>
        <v>6.3716353328871866</v>
      </c>
      <c r="AA121">
        <f>SUM(Z$3:Z121)</f>
        <v>112.89204506590751</v>
      </c>
      <c r="AB121">
        <v>0.55000000000000004</v>
      </c>
      <c r="AC121" s="7">
        <f t="shared" si="34"/>
        <v>54.554246912592255</v>
      </c>
      <c r="AD121" s="21">
        <f>IF(AC121&gt;$AX$2,J121-1,AC121)</f>
        <v>7.5620478986000013</v>
      </c>
      <c r="AE121" s="21">
        <f t="shared" si="35"/>
        <v>7.5620478986000013</v>
      </c>
      <c r="AF121" s="22">
        <f t="shared" si="36"/>
        <v>0</v>
      </c>
      <c r="AG121" s="21">
        <f t="shared" si="37"/>
        <v>0</v>
      </c>
      <c r="AH121" s="21">
        <f>SUM(AE$3:AE121)</f>
        <v>602.43648797335754</v>
      </c>
      <c r="AI121" s="21">
        <f>SUM(AG$3:AG121)</f>
        <v>1425.8421814196608</v>
      </c>
      <c r="AJ121" s="23">
        <f t="shared" si="38"/>
        <v>7.5620478986000013</v>
      </c>
      <c r="AK121" cm="1">
        <f t="array" ref="AK121">_xlfn.IFS(K121&lt;4,1,K121&lt;8,2,K121&gt;8,3)</f>
        <v>1</v>
      </c>
      <c r="AL121" cm="1">
        <f t="array" ref="AL121">_xlfn.IFS(K121&lt;9,2000,K121&lt;10,3500,K121&lt;12,5000,K121&lt;14,6500)</f>
        <v>2000</v>
      </c>
      <c r="AM121">
        <f>MATCH(AJ121,$AW$10:$BJ$10,1)</f>
        <v>9</v>
      </c>
      <c r="AN121">
        <v>175</v>
      </c>
      <c r="AO121">
        <f>(AE121*AN121/760)/$AS$14</f>
        <v>3.6775852147047541</v>
      </c>
      <c r="AP121">
        <f t="shared" si="39"/>
        <v>1.0215514485290984</v>
      </c>
      <c r="AQ121" s="21">
        <f>SUM(AP$3:AP121)</f>
        <v>81.382698865197867</v>
      </c>
    </row>
    <row r="122" spans="1:43">
      <c r="A122">
        <f t="shared" si="24"/>
        <v>1065</v>
      </c>
      <c r="B122">
        <f t="shared" si="25"/>
        <v>1.0192456185741376</v>
      </c>
      <c r="C122">
        <f t="shared" si="26"/>
        <v>135.85021017989757</v>
      </c>
      <c r="D122" s="4">
        <v>118.037236284</v>
      </c>
      <c r="E122">
        <f t="shared" si="27"/>
        <v>31.870053796680004</v>
      </c>
      <c r="F122" s="4">
        <v>32.17</v>
      </c>
      <c r="G122" s="20">
        <f t="shared" si="28"/>
        <v>119.02900000000001</v>
      </c>
      <c r="J122" s="7">
        <v>8.8527927213000019</v>
      </c>
      <c r="K122">
        <f t="shared" si="29"/>
        <v>2.0061677327352352</v>
      </c>
      <c r="L122">
        <f t="shared" si="40"/>
        <v>28.754664406736314</v>
      </c>
      <c r="M122">
        <f t="shared" si="41"/>
        <v>0.28525491540178166</v>
      </c>
      <c r="N122">
        <f>M122*$AU$2</f>
        <v>171.72345907187255</v>
      </c>
      <c r="O122">
        <v>136.69999999999999</v>
      </c>
      <c r="P122">
        <f t="shared" si="30"/>
        <v>13.67</v>
      </c>
      <c r="Q122">
        <f t="shared" si="31"/>
        <v>1.5500000000000007</v>
      </c>
      <c r="R122">
        <f t="shared" si="42"/>
        <v>0.27999999999999936</v>
      </c>
      <c r="S122">
        <f>(0.5*$AU$2*(J122*J122))/1000</f>
        <v>23.589953628856989</v>
      </c>
      <c r="T122">
        <f>($AU$2*9.81*Q122)/1000</f>
        <v>9.1537110000000048</v>
      </c>
      <c r="U122">
        <f t="shared" si="22"/>
        <v>1.0140845070422519E-2</v>
      </c>
      <c r="V122">
        <f t="shared" si="23"/>
        <v>1.0140497474724588E-2</v>
      </c>
      <c r="W122">
        <f t="shared" si="32"/>
        <v>0.58100770746478814</v>
      </c>
      <c r="X122">
        <f>($AU$2*9.81*SIN(W122))</f>
        <v>3241.3973816278331</v>
      </c>
      <c r="Y122">
        <f>(0.08*($AU$2*9.81))</f>
        <v>472.44959999999998</v>
      </c>
      <c r="Z122">
        <f t="shared" si="33"/>
        <v>3.9143251051064416</v>
      </c>
      <c r="AA122">
        <f>SUM(Z$3:Z122)</f>
        <v>116.80637017101395</v>
      </c>
      <c r="AB122">
        <v>0.55000000000000004</v>
      </c>
      <c r="AC122" s="7">
        <f t="shared" si="34"/>
        <v>34.65270879928817</v>
      </c>
      <c r="AD122" s="21">
        <f>IF(AC122&gt;$AX$2,J122-1,AC122)</f>
        <v>7.8527927213000019</v>
      </c>
      <c r="AE122" s="21">
        <f t="shared" si="35"/>
        <v>7.8527927213000019</v>
      </c>
      <c r="AF122" s="22">
        <f t="shared" si="36"/>
        <v>0</v>
      </c>
      <c r="AG122" s="21">
        <f t="shared" si="37"/>
        <v>0</v>
      </c>
      <c r="AH122" s="21">
        <f>SUM(AE$3:AE122)</f>
        <v>610.28928069465758</v>
      </c>
      <c r="AI122" s="21">
        <f>SUM(AG$3:AG122)</f>
        <v>1425.8421814196608</v>
      </c>
      <c r="AJ122" s="23">
        <f t="shared" si="38"/>
        <v>7.8527927213000019</v>
      </c>
      <c r="AK122" cm="1">
        <f t="array" ref="AK122">_xlfn.IFS(K122&lt;4,1,K122&lt;8,2,K122&gt;8,3)</f>
        <v>1</v>
      </c>
      <c r="AL122" cm="1">
        <f t="array" ref="AL122">_xlfn.IFS(K122&lt;9,2000,K122&lt;10,3500,K122&lt;12,5000,K122&lt;14,6500)</f>
        <v>2000</v>
      </c>
      <c r="AM122">
        <f>MATCH(AJ122,$AW$10:$BJ$10,1)</f>
        <v>9</v>
      </c>
      <c r="AN122">
        <v>175</v>
      </c>
      <c r="AO122">
        <f>(AE122*AN122/760)/$AS$14</f>
        <v>3.8189806244602824</v>
      </c>
      <c r="AP122">
        <f t="shared" si="39"/>
        <v>1.0608279512389673</v>
      </c>
      <c r="AQ122" s="21">
        <f>SUM(AP$3:AP122)</f>
        <v>82.44352681643683</v>
      </c>
    </row>
    <row r="123" spans="1:43">
      <c r="A123">
        <f t="shared" si="24"/>
        <v>1073.875</v>
      </c>
      <c r="B123">
        <f t="shared" si="25"/>
        <v>0.9871922976853168</v>
      </c>
      <c r="C123">
        <f t="shared" si="26"/>
        <v>136.83740247758288</v>
      </c>
      <c r="D123" s="4">
        <v>121.69991241699999</v>
      </c>
      <c r="E123">
        <f t="shared" si="27"/>
        <v>32.858976352589998</v>
      </c>
      <c r="F123" s="4">
        <v>32.44</v>
      </c>
      <c r="G123" s="20">
        <f t="shared" si="28"/>
        <v>120.02799999999999</v>
      </c>
      <c r="J123" s="7">
        <v>9.1274934312749991</v>
      </c>
      <c r="K123">
        <f t="shared" si="29"/>
        <v>9.1274934312749991</v>
      </c>
      <c r="L123">
        <f t="shared" si="40"/>
        <v>30.566855922400553</v>
      </c>
      <c r="M123">
        <f t="shared" si="41"/>
        <v>0.27826464065723888</v>
      </c>
      <c r="N123">
        <f>M123*$AU$2</f>
        <v>167.51531367565781</v>
      </c>
      <c r="O123">
        <v>137.6</v>
      </c>
      <c r="P123">
        <f t="shared" si="30"/>
        <v>13.76</v>
      </c>
      <c r="Q123">
        <f t="shared" si="31"/>
        <v>1.6400000000000006</v>
      </c>
      <c r="R123">
        <f t="shared" si="42"/>
        <v>8.9999999999999858E-2</v>
      </c>
      <c r="S123">
        <f>(0.5*$AU$2*(J123*J123))/1000</f>
        <v>25.076652037728444</v>
      </c>
      <c r="T123">
        <f>($AU$2*9.81*Q123)/1000</f>
        <v>9.6852168000000045</v>
      </c>
      <c r="U123">
        <f t="shared" si="22"/>
        <v>6.7605633802816867E-2</v>
      </c>
      <c r="V123">
        <f t="shared" si="23"/>
        <v>6.7502917663227996E-2</v>
      </c>
      <c r="W123">
        <f t="shared" si="32"/>
        <v>3.8676322869220616</v>
      </c>
      <c r="X123">
        <f>($AU$2*9.81*SIN(W123))</f>
        <v>-3920.8193621537671</v>
      </c>
      <c r="Y123">
        <f>(0.08*($AU$2*9.81))</f>
        <v>472.44959999999998</v>
      </c>
      <c r="Z123">
        <f t="shared" si="33"/>
        <v>-3.2502875925557086</v>
      </c>
      <c r="AA123">
        <f>SUM(Z$3:Z123)</f>
        <v>113.55608257845824</v>
      </c>
      <c r="AB123">
        <v>0.55000000000000004</v>
      </c>
      <c r="AC123" s="7">
        <f t="shared" si="34"/>
        <v>-29.666978650806861</v>
      </c>
      <c r="AD123" s="21">
        <f>IF(AC123&gt;$AX$2,J123-1,AC123)</f>
        <v>-29.666978650806861</v>
      </c>
      <c r="AE123" s="21">
        <f t="shared" si="35"/>
        <v>0</v>
      </c>
      <c r="AF123" s="22">
        <f t="shared" si="36"/>
        <v>-29.666978650806861</v>
      </c>
      <c r="AG123" s="21">
        <f t="shared" si="37"/>
        <v>29.666978650806861</v>
      </c>
      <c r="AH123" s="21">
        <f>SUM(AE$3:AE123)</f>
        <v>610.28928069465758</v>
      </c>
      <c r="AI123" s="21">
        <f>SUM(AG$3:AG123)</f>
        <v>1455.5091600704677</v>
      </c>
      <c r="AJ123" s="23">
        <f t="shared" si="38"/>
        <v>0</v>
      </c>
      <c r="AK123" cm="1">
        <f t="array" ref="AK123">_xlfn.IFS(K123&lt;4,1,K123&lt;8,2,K123&gt;8,3)</f>
        <v>3</v>
      </c>
      <c r="AL123" cm="1">
        <f t="array" ref="AL123">_xlfn.IFS(K123&lt;9,2000,K123&lt;10,3500,K123&lt;12,5000,K123&lt;14,6500)</f>
        <v>3500</v>
      </c>
      <c r="AM123">
        <f>MATCH(AJ123,$AW$10:$BJ$10,1)</f>
        <v>2</v>
      </c>
      <c r="AN123">
        <v>175</v>
      </c>
      <c r="AO123">
        <f>(AE123*AN123/760)/$AS$14</f>
        <v>0</v>
      </c>
      <c r="AP123">
        <f t="shared" si="39"/>
        <v>0</v>
      </c>
      <c r="AQ123" s="21">
        <f>SUM(AP$3:AP123)</f>
        <v>82.44352681643683</v>
      </c>
    </row>
    <row r="124" spans="1:43">
      <c r="A124">
        <f t="shared" si="24"/>
        <v>1082.75</v>
      </c>
      <c r="B124">
        <f t="shared" si="25"/>
        <v>0.95965309085524153</v>
      </c>
      <c r="C124">
        <f t="shared" si="26"/>
        <v>137.79705556843814</v>
      </c>
      <c r="D124" s="4">
        <v>124.916983753</v>
      </c>
      <c r="E124">
        <f t="shared" si="27"/>
        <v>33.727585613309998</v>
      </c>
      <c r="F124" s="4">
        <v>32.700000000000003</v>
      </c>
      <c r="G124" s="20">
        <f t="shared" si="28"/>
        <v>120.99000000000002</v>
      </c>
      <c r="J124" s="7">
        <v>9.3687737814749994</v>
      </c>
      <c r="K124">
        <f t="shared" si="29"/>
        <v>1.3290990630444039</v>
      </c>
      <c r="L124">
        <f t="shared" si="40"/>
        <v>32.204252043605536</v>
      </c>
      <c r="M124">
        <f t="shared" si="41"/>
        <v>0.25142455383014306</v>
      </c>
      <c r="N124">
        <f>M124*$AU$2</f>
        <v>151.35758140574612</v>
      </c>
      <c r="O124">
        <v>143.6</v>
      </c>
      <c r="P124">
        <f t="shared" si="30"/>
        <v>14.36</v>
      </c>
      <c r="Q124">
        <f t="shared" si="31"/>
        <v>2.2400000000000002</v>
      </c>
      <c r="R124">
        <f t="shared" si="42"/>
        <v>0.59999999999999964</v>
      </c>
      <c r="S124">
        <f>(0.5*$AU$2*(J124*J124))/1000</f>
        <v>26.419950572704458</v>
      </c>
      <c r="T124">
        <f>($AU$2*9.81*Q124)/1000</f>
        <v>13.228588800000001</v>
      </c>
      <c r="U124">
        <f t="shared" si="22"/>
        <v>3.2676056338028274E-2</v>
      </c>
      <c r="V124">
        <f t="shared" si="23"/>
        <v>3.2664434105702647E-2</v>
      </c>
      <c r="W124">
        <f t="shared" si="32"/>
        <v>1.8715342144399452</v>
      </c>
      <c r="X124">
        <f>($AU$2*9.81*SIN(W124))</f>
        <v>5640.5649574072313</v>
      </c>
      <c r="Y124">
        <f>(0.08*($AU$2*9.81))</f>
        <v>472.44959999999998</v>
      </c>
      <c r="Z124">
        <f t="shared" si="33"/>
        <v>6.2965763908565835</v>
      </c>
      <c r="AA124">
        <f>SUM(Z$3:Z124)</f>
        <v>119.85265896931483</v>
      </c>
      <c r="AB124">
        <v>0.55000000000000004</v>
      </c>
      <c r="AC124" s="7">
        <f t="shared" si="34"/>
        <v>58.991199803711638</v>
      </c>
      <c r="AD124" s="21">
        <f>IF(AC124&gt;$AX$2,J124-1,AC124)</f>
        <v>8.3687737814749994</v>
      </c>
      <c r="AE124" s="21">
        <f t="shared" si="35"/>
        <v>8.3687737814749994</v>
      </c>
      <c r="AF124" s="22">
        <f t="shared" si="36"/>
        <v>0</v>
      </c>
      <c r="AG124" s="21">
        <f t="shared" si="37"/>
        <v>0</v>
      </c>
      <c r="AH124" s="21">
        <f>SUM(AE$3:AE124)</f>
        <v>618.65805447613252</v>
      </c>
      <c r="AI124" s="21">
        <f>SUM(AG$3:AG124)</f>
        <v>1455.5091600704677</v>
      </c>
      <c r="AJ124" s="23">
        <f t="shared" si="38"/>
        <v>8.3687737814749994</v>
      </c>
      <c r="AK124" cm="1">
        <f t="array" ref="AK124">_xlfn.IFS(K124&lt;4,1,K124&lt;8,2,K124&gt;8,3)</f>
        <v>1</v>
      </c>
      <c r="AL124" cm="1">
        <f t="array" ref="AL124">_xlfn.IFS(K124&lt;9,2000,K124&lt;10,3500,K124&lt;12,5000,K124&lt;14,6500)</f>
        <v>2000</v>
      </c>
      <c r="AM124">
        <f>MATCH(AJ124,$AW$10:$BJ$10,1)</f>
        <v>10</v>
      </c>
      <c r="AN124">
        <v>175</v>
      </c>
      <c r="AO124">
        <f>(AE124*AN124/760)/$AS$14</f>
        <v>4.0699132214778917</v>
      </c>
      <c r="AP124">
        <f t="shared" si="39"/>
        <v>1.1305314504105255</v>
      </c>
      <c r="AQ124" s="21">
        <f>SUM(AP$3:AP124)</f>
        <v>83.574058266847359</v>
      </c>
    </row>
    <row r="125" spans="1:43">
      <c r="A125">
        <f t="shared" si="24"/>
        <v>1091.625</v>
      </c>
      <c r="B125">
        <f t="shared" si="25"/>
        <v>0.93505189657225996</v>
      </c>
      <c r="C125">
        <f t="shared" si="26"/>
        <v>138.73210746501039</v>
      </c>
      <c r="D125" s="4">
        <v>128.18839738599999</v>
      </c>
      <c r="E125">
        <f t="shared" si="27"/>
        <v>34.61086729422</v>
      </c>
      <c r="F125" s="4">
        <v>32.97</v>
      </c>
      <c r="G125" s="20">
        <f t="shared" si="28"/>
        <v>121.989</v>
      </c>
      <c r="J125" s="7">
        <v>9.6141298039500001</v>
      </c>
      <c r="K125">
        <f t="shared" si="29"/>
        <v>1.3155403154067276</v>
      </c>
      <c r="L125">
        <f t="shared" si="40"/>
        <v>33.913114373413556</v>
      </c>
      <c r="M125">
        <f t="shared" si="41"/>
        <v>0.26239829401388004</v>
      </c>
      <c r="N125">
        <f>M125*$AU$2</f>
        <v>157.96377299635577</v>
      </c>
      <c r="O125">
        <v>146.5</v>
      </c>
      <c r="P125">
        <f t="shared" si="30"/>
        <v>14.65</v>
      </c>
      <c r="Q125">
        <f t="shared" si="31"/>
        <v>2.5300000000000011</v>
      </c>
      <c r="R125">
        <f t="shared" si="42"/>
        <v>0.29000000000000092</v>
      </c>
      <c r="S125">
        <f>(0.5*$AU$2*(J125*J125))/1000</f>
        <v>27.821879058047099</v>
      </c>
      <c r="T125">
        <f>($AU$2*9.81*Q125)/1000</f>
        <v>14.941218600000006</v>
      </c>
      <c r="U125">
        <f t="shared" si="22"/>
        <v>2.5915492957746727E-2</v>
      </c>
      <c r="V125">
        <f t="shared" si="23"/>
        <v>2.5909693569151113E-2</v>
      </c>
      <c r="W125">
        <f t="shared" si="32"/>
        <v>1.484516089989609</v>
      </c>
      <c r="X125">
        <f>($AU$2*9.81*SIN(W125))</f>
        <v>5883.6520907605081</v>
      </c>
      <c r="Y125">
        <f>(0.08*($AU$2*9.81))</f>
        <v>472.44959999999998</v>
      </c>
      <c r="Z125">
        <f t="shared" si="33"/>
        <v>6.5479785781302775</v>
      </c>
      <c r="AA125">
        <f>SUM(Z$3:Z125)</f>
        <v>126.40063754744511</v>
      </c>
      <c r="AB125">
        <v>0.55000000000000004</v>
      </c>
      <c r="AC125" s="7">
        <f t="shared" si="34"/>
        <v>62.953116003628445</v>
      </c>
      <c r="AD125" s="21">
        <f>IF(AC125&gt;$AX$2,J125-1,AC125)</f>
        <v>8.6141298039500001</v>
      </c>
      <c r="AE125" s="21">
        <f t="shared" si="35"/>
        <v>8.6141298039500001</v>
      </c>
      <c r="AF125" s="22">
        <f t="shared" si="36"/>
        <v>0</v>
      </c>
      <c r="AG125" s="21">
        <f t="shared" si="37"/>
        <v>0</v>
      </c>
      <c r="AH125" s="21">
        <f>SUM(AE$3:AE125)</f>
        <v>627.27218428008257</v>
      </c>
      <c r="AI125" s="21">
        <f>SUM(AG$3:AG125)</f>
        <v>1455.5091600704677</v>
      </c>
      <c r="AJ125" s="23">
        <f t="shared" si="38"/>
        <v>8.6141298039500001</v>
      </c>
      <c r="AK125" cm="1">
        <f t="array" ref="AK125">_xlfn.IFS(K125&lt;4,1,K125&lt;8,2,K125&gt;8,3)</f>
        <v>1</v>
      </c>
      <c r="AL125" cm="1">
        <f t="array" ref="AL125">_xlfn.IFS(K125&lt;1,2000,K125&lt;2,3500,K125&lt;3,5000,K125&lt;4,6500)</f>
        <v>3500</v>
      </c>
      <c r="AM125">
        <f>MATCH(AJ125,$AW$10:$BJ$10,1)</f>
        <v>10</v>
      </c>
      <c r="AN125">
        <v>175</v>
      </c>
      <c r="AO125">
        <f>(AE125*AN125/760)/$AS$14</f>
        <v>4.1892350894020396</v>
      </c>
      <c r="AP125">
        <f t="shared" si="39"/>
        <v>1.1636764137227888</v>
      </c>
      <c r="AQ125" s="21">
        <f>SUM(AP$3:AP125)</f>
        <v>84.737734680570142</v>
      </c>
    </row>
    <row r="126" spans="1:43">
      <c r="A126">
        <f t="shared" si="24"/>
        <v>1100.5</v>
      </c>
      <c r="B126">
        <f t="shared" si="25"/>
        <v>0.91140956122732386</v>
      </c>
      <c r="C126">
        <f t="shared" si="26"/>
        <v>139.6435170262377</v>
      </c>
      <c r="D126" s="4">
        <v>131.48264046</v>
      </c>
      <c r="E126">
        <f t="shared" si="27"/>
        <v>35.500312924200003</v>
      </c>
      <c r="F126" s="4">
        <v>33.25</v>
      </c>
      <c r="G126" s="20">
        <f t="shared" si="28"/>
        <v>123.02500000000001</v>
      </c>
      <c r="J126" s="7">
        <v>9.8611980344999992</v>
      </c>
      <c r="K126">
        <f t="shared" si="29"/>
        <v>9.8611980344999992</v>
      </c>
      <c r="L126">
        <f t="shared" si="40"/>
        <v>35.678539867287419</v>
      </c>
      <c r="M126">
        <f t="shared" si="41"/>
        <v>0.27108365005222662</v>
      </c>
      <c r="N126">
        <f>M126*$AU$2</f>
        <v>163.19235733144043</v>
      </c>
      <c r="O126">
        <v>148.80000000000001</v>
      </c>
      <c r="P126">
        <f t="shared" si="30"/>
        <v>14.880000000000003</v>
      </c>
      <c r="Q126">
        <f t="shared" si="31"/>
        <v>2.7600000000000033</v>
      </c>
      <c r="R126">
        <f t="shared" si="42"/>
        <v>0.2300000000000022</v>
      </c>
      <c r="S126">
        <f>(0.5*$AU$2*(J126*J126))/1000</f>
        <v>29.270211229363621</v>
      </c>
      <c r="T126">
        <f>($AU$2*9.81*Q126)/1000</f>
        <v>16.299511200000019</v>
      </c>
      <c r="U126">
        <f t="shared" si="22"/>
        <v>-1.3521126760563693E-2</v>
      </c>
      <c r="V126">
        <f t="shared" si="23"/>
        <v>-1.3520302869555641E-2</v>
      </c>
      <c r="W126">
        <f t="shared" si="32"/>
        <v>-0.77465629216415421</v>
      </c>
      <c r="X126">
        <f>($AU$2*9.81*SIN(W126))</f>
        <v>-4130.8068673976168</v>
      </c>
      <c r="Y126">
        <f>(0.08*($AU$2*9.81))</f>
        <v>472.44959999999998</v>
      </c>
      <c r="Z126">
        <f t="shared" si="33"/>
        <v>-3.4594863701988889</v>
      </c>
      <c r="AA126">
        <f>SUM(Z$3:Z126)</f>
        <v>122.94115117724623</v>
      </c>
      <c r="AB126">
        <v>0.55000000000000004</v>
      </c>
      <c r="AC126" s="7">
        <f t="shared" si="34"/>
        <v>-34.114680194184821</v>
      </c>
      <c r="AD126" s="21">
        <f>IF(AC126&gt;$AX$2,J126-1,AC126)</f>
        <v>-34.114680194184821</v>
      </c>
      <c r="AE126" s="21">
        <f t="shared" si="35"/>
        <v>0</v>
      </c>
      <c r="AF126" s="22">
        <f t="shared" si="36"/>
        <v>-34.114680194184821</v>
      </c>
      <c r="AG126" s="21">
        <f t="shared" si="37"/>
        <v>34.114680194184821</v>
      </c>
      <c r="AH126" s="21">
        <f>SUM(AE$3:AE126)</f>
        <v>627.27218428008257</v>
      </c>
      <c r="AI126" s="21">
        <f>SUM(AG$3:AG126)</f>
        <v>1489.6238402646525</v>
      </c>
      <c r="AJ126" s="23">
        <f t="shared" si="38"/>
        <v>0</v>
      </c>
      <c r="AK126" cm="1">
        <f t="array" ref="AK126">_xlfn.IFS(K126&lt;4,1,K126&lt;8,2,K126&gt;8,3)</f>
        <v>3</v>
      </c>
      <c r="AL126" cm="1">
        <f t="array" ref="AL126">_xlfn.IFS(K126&lt;9,2000,K126&lt;10,3500,K126&lt;12,5000,K126&lt;14,6500)</f>
        <v>3500</v>
      </c>
      <c r="AM126">
        <f>MATCH(AJ126,$AW$10:$BJ$10,1)</f>
        <v>2</v>
      </c>
      <c r="AN126">
        <v>175</v>
      </c>
      <c r="AO126">
        <f>(AE126*AN126/760)/$AS$14</f>
        <v>0</v>
      </c>
      <c r="AP126">
        <f t="shared" si="39"/>
        <v>0</v>
      </c>
      <c r="AQ126" s="21">
        <f>SUM(AP$3:AP126)</f>
        <v>84.737734680570142</v>
      </c>
    </row>
    <row r="127" spans="1:43">
      <c r="A127">
        <f t="shared" si="24"/>
        <v>1109.375</v>
      </c>
      <c r="B127">
        <f t="shared" si="25"/>
        <v>0.88974716465202297</v>
      </c>
      <c r="C127">
        <f t="shared" si="26"/>
        <v>140.53326419088972</v>
      </c>
      <c r="D127" s="4">
        <v>134.510527115</v>
      </c>
      <c r="E127">
        <f t="shared" si="27"/>
        <v>36.317842321050001</v>
      </c>
      <c r="F127" s="4">
        <v>33.520000000000003</v>
      </c>
      <c r="G127" s="20">
        <f t="shared" si="28"/>
        <v>124.02400000000002</v>
      </c>
      <c r="J127" s="7">
        <v>10.088289533625002</v>
      </c>
      <c r="K127">
        <f t="shared" si="29"/>
        <v>10.088289533625002</v>
      </c>
      <c r="L127">
        <f t="shared" si="40"/>
        <v>37.340728598557504</v>
      </c>
      <c r="M127">
        <f t="shared" si="41"/>
        <v>0.25523149513358373</v>
      </c>
      <c r="N127">
        <f>M127*$AU$2</f>
        <v>153.6493600704174</v>
      </c>
      <c r="O127">
        <v>147.6</v>
      </c>
      <c r="P127">
        <f t="shared" si="30"/>
        <v>14.76</v>
      </c>
      <c r="Q127">
        <f t="shared" si="31"/>
        <v>2.6400000000000006</v>
      </c>
      <c r="R127">
        <f t="shared" si="42"/>
        <v>0.12000000000000277</v>
      </c>
      <c r="S127">
        <f>(0.5*$AU$2*(J127*J127))/1000</f>
        <v>30.633849299988576</v>
      </c>
      <c r="T127">
        <f>($AU$2*9.81*Q127)/1000</f>
        <v>15.590836800000003</v>
      </c>
      <c r="U127">
        <f t="shared" si="22"/>
        <v>-9.0140845070420614E-3</v>
      </c>
      <c r="V127">
        <f t="shared" si="23"/>
        <v>-9.0138403763125076E-3</v>
      </c>
      <c r="W127">
        <f t="shared" si="32"/>
        <v>-0.51645501076732037</v>
      </c>
      <c r="X127">
        <f>($AU$2*9.81*SIN(W127))</f>
        <v>-2916.1987732457233</v>
      </c>
      <c r="Y127">
        <f>(0.08*($AU$2*9.81))</f>
        <v>472.44959999999998</v>
      </c>
      <c r="Z127">
        <f t="shared" si="33"/>
        <v>-2.2527590845767484</v>
      </c>
      <c r="AA127">
        <f>SUM(Z$3:Z127)</f>
        <v>120.68839209266947</v>
      </c>
      <c r="AB127">
        <v>0.55000000000000004</v>
      </c>
      <c r="AC127" s="7">
        <f t="shared" si="34"/>
        <v>-22.726485894714251</v>
      </c>
      <c r="AD127" s="21">
        <f>IF(AC127&gt;$AX$2,J127-1,AC127)</f>
        <v>-22.726485894714251</v>
      </c>
      <c r="AE127" s="21">
        <f t="shared" si="35"/>
        <v>0</v>
      </c>
      <c r="AF127" s="22">
        <f t="shared" si="36"/>
        <v>-22.726485894714251</v>
      </c>
      <c r="AG127" s="21">
        <f t="shared" si="37"/>
        <v>22.726485894714251</v>
      </c>
      <c r="AH127" s="21">
        <f>SUM(AE$3:AE127)</f>
        <v>627.27218428008257</v>
      </c>
      <c r="AI127" s="21">
        <f>SUM(AG$3:AG127)</f>
        <v>1512.3503261593667</v>
      </c>
      <c r="AJ127" s="23">
        <f t="shared" si="38"/>
        <v>0</v>
      </c>
      <c r="AK127" cm="1">
        <f t="array" ref="AK127">_xlfn.IFS(K127&lt;4,1,K127&lt;8,2,K127&gt;8,3)</f>
        <v>3</v>
      </c>
      <c r="AL127" cm="1">
        <f t="array" ref="AL127">_xlfn.IFS(K127&lt;9,2000,K127&lt;10,3500,K127&lt;12,5000,K127&lt;14,6500)</f>
        <v>5000</v>
      </c>
      <c r="AM127">
        <f>MATCH(AJ127,$AW$10:$BJ$10,1)</f>
        <v>2</v>
      </c>
      <c r="AN127">
        <v>175</v>
      </c>
      <c r="AO127">
        <f>(AE127*AN127/760)/$AS$14</f>
        <v>0</v>
      </c>
      <c r="AP127">
        <f t="shared" si="39"/>
        <v>0</v>
      </c>
      <c r="AQ127" s="21">
        <f>SUM(AP$3:AP127)</f>
        <v>84.737734680570142</v>
      </c>
    </row>
    <row r="128" spans="1:43">
      <c r="A128">
        <f t="shared" si="24"/>
        <v>1118.25</v>
      </c>
      <c r="B128">
        <f t="shared" si="25"/>
        <v>0.87063555767296397</v>
      </c>
      <c r="C128">
        <f t="shared" si="26"/>
        <v>141.40389974856268</v>
      </c>
      <c r="D128" s="4">
        <v>137.32154381399999</v>
      </c>
      <c r="E128">
        <f t="shared" si="27"/>
        <v>37.07681682978</v>
      </c>
      <c r="F128" s="4">
        <v>33.79</v>
      </c>
      <c r="G128" s="20">
        <f t="shared" si="28"/>
        <v>125.023</v>
      </c>
      <c r="J128" s="7">
        <v>10.299115786050001</v>
      </c>
      <c r="K128">
        <f t="shared" si="29"/>
        <v>5.1840963166404883</v>
      </c>
      <c r="L128">
        <f t="shared" si="40"/>
        <v>38.91773827403096</v>
      </c>
      <c r="M128">
        <f t="shared" si="41"/>
        <v>0.24215212733614738</v>
      </c>
      <c r="N128">
        <f>M128*$AU$2</f>
        <v>145.77558065636072</v>
      </c>
      <c r="O128">
        <v>146.80000000000001</v>
      </c>
      <c r="P128">
        <f t="shared" si="30"/>
        <v>14.680000000000001</v>
      </c>
      <c r="Q128">
        <f t="shared" si="31"/>
        <v>2.5600000000000023</v>
      </c>
      <c r="R128">
        <f t="shared" si="42"/>
        <v>7.9999999999998295E-2</v>
      </c>
      <c r="S128">
        <f>(0.5*$AU$2*(J128*J128))/1000</f>
        <v>31.927607578313761</v>
      </c>
      <c r="T128">
        <f>($AU$2*9.81*Q128)/1000</f>
        <v>15.118387200000013</v>
      </c>
      <c r="U128">
        <f t="shared" si="22"/>
        <v>3.3802816901407728E-3</v>
      </c>
      <c r="V128">
        <f t="shared" si="23"/>
        <v>3.3802688155199624E-3</v>
      </c>
      <c r="W128">
        <f t="shared" si="32"/>
        <v>0.19367513674897971</v>
      </c>
      <c r="X128">
        <f>($AU$2*9.81*SIN(W128))</f>
        <v>1136.634668920487</v>
      </c>
      <c r="Y128">
        <f>(0.08*($AU$2*9.81))</f>
        <v>472.44959999999998</v>
      </c>
      <c r="Z128">
        <f t="shared" si="33"/>
        <v>1.7937775878508788</v>
      </c>
      <c r="AA128">
        <f>SUM(Z$3:Z128)</f>
        <v>122.48216968052036</v>
      </c>
      <c r="AB128">
        <v>0.55000000000000004</v>
      </c>
      <c r="AC128" s="7">
        <f t="shared" si="34"/>
        <v>18.474323071697679</v>
      </c>
      <c r="AD128" s="21">
        <f>IF(AC128&gt;$AX$2,J128-1,AC128)</f>
        <v>9.2991157860500007</v>
      </c>
      <c r="AE128" s="21">
        <f t="shared" si="35"/>
        <v>9.2991157860500007</v>
      </c>
      <c r="AF128" s="22">
        <f t="shared" si="36"/>
        <v>0</v>
      </c>
      <c r="AG128" s="21">
        <f t="shared" si="37"/>
        <v>0</v>
      </c>
      <c r="AH128" s="21">
        <f>SUM(AE$3:AE128)</f>
        <v>636.57130006613261</v>
      </c>
      <c r="AI128" s="21">
        <f>SUM(AG$3:AG128)</f>
        <v>1512.3503261593667</v>
      </c>
      <c r="AJ128" s="23">
        <f t="shared" si="38"/>
        <v>9.2991157860500007</v>
      </c>
      <c r="AK128" cm="1">
        <f t="array" ref="AK128">_xlfn.IFS(K128&lt;4,1,K128&lt;8,2,K128&gt;8,3)</f>
        <v>2</v>
      </c>
      <c r="AL128" cm="1">
        <f t="array" ref="AL128">_xlfn.IFS(K128&lt;9,2000,K128&lt;10,3500,K128&lt;12,5000,K128&lt;14,6500)</f>
        <v>2000</v>
      </c>
      <c r="AM128">
        <f>MATCH(AJ128,$AW$10:$BJ$10,1)</f>
        <v>11</v>
      </c>
      <c r="AN128">
        <v>175</v>
      </c>
      <c r="AO128">
        <f>(AE128*AN128/760)/$AS$14</f>
        <v>4.5223583853437841</v>
      </c>
      <c r="AP128">
        <f t="shared" si="39"/>
        <v>1.2562106625954956</v>
      </c>
      <c r="AQ128" s="21">
        <f>SUM(AP$3:AP128)</f>
        <v>85.993945343165635</v>
      </c>
    </row>
    <row r="129" spans="1:43">
      <c r="A129">
        <f t="shared" si="24"/>
        <v>1127.125</v>
      </c>
      <c r="B129">
        <f t="shared" si="25"/>
        <v>0.85396524986114164</v>
      </c>
      <c r="C129">
        <f t="shared" si="26"/>
        <v>142.25786499842383</v>
      </c>
      <c r="D129" s="4">
        <v>139.81697757800001</v>
      </c>
      <c r="E129">
        <f t="shared" si="27"/>
        <v>37.750583946060004</v>
      </c>
      <c r="F129" s="4">
        <v>34.06</v>
      </c>
      <c r="G129" s="20">
        <f t="shared" si="28"/>
        <v>126.02200000000002</v>
      </c>
      <c r="J129" s="7">
        <v>10.486273318350001</v>
      </c>
      <c r="K129">
        <f t="shared" si="29"/>
        <v>1.8213129313558025</v>
      </c>
      <c r="L129">
        <f t="shared" si="40"/>
        <v>40.345031422509351</v>
      </c>
      <c r="M129">
        <f t="shared" si="41"/>
        <v>0.21916293705210121</v>
      </c>
      <c r="N129">
        <f>M129*$AU$2</f>
        <v>131.93608810536495</v>
      </c>
      <c r="O129">
        <v>147.1</v>
      </c>
      <c r="P129">
        <f t="shared" si="30"/>
        <v>14.71</v>
      </c>
      <c r="Q129">
        <f t="shared" si="31"/>
        <v>2.5900000000000016</v>
      </c>
      <c r="R129">
        <f t="shared" si="42"/>
        <v>2.9999999999999361E-2</v>
      </c>
      <c r="S129">
        <f>(0.5*$AU$2*(J129*J129))/1000</f>
        <v>33.098540360248883</v>
      </c>
      <c r="T129">
        <f>($AU$2*9.81*Q129)/1000</f>
        <v>15.29555580000001</v>
      </c>
      <c r="U129">
        <f t="shared" si="22"/>
        <v>3.943661971830982E-2</v>
      </c>
      <c r="V129">
        <f t="shared" si="23"/>
        <v>3.9416194213776047E-2</v>
      </c>
      <c r="W129">
        <f t="shared" si="32"/>
        <v>2.2583815729173438</v>
      </c>
      <c r="X129">
        <f>($AU$2*9.81*SIN(W129))</f>
        <v>4563.7500171066204</v>
      </c>
      <c r="Y129">
        <f>(0.08*($AU$2*9.81))</f>
        <v>472.44959999999998</v>
      </c>
      <c r="Z129">
        <f t="shared" si="33"/>
        <v>5.2084807366344945</v>
      </c>
      <c r="AA129">
        <f>SUM(Z$3:Z129)</f>
        <v>127.69065041715486</v>
      </c>
      <c r="AB129">
        <v>0.55000000000000004</v>
      </c>
      <c r="AC129" s="7">
        <f t="shared" si="34"/>
        <v>54.617552577710256</v>
      </c>
      <c r="AD129" s="21">
        <f>IF(AC129&gt;$AX$2,J129-1,AC129)</f>
        <v>9.4862733183500012</v>
      </c>
      <c r="AE129" s="21">
        <f t="shared" si="35"/>
        <v>9.4862733183500012</v>
      </c>
      <c r="AF129" s="22">
        <f t="shared" si="36"/>
        <v>0</v>
      </c>
      <c r="AG129" s="21">
        <f t="shared" si="37"/>
        <v>0</v>
      </c>
      <c r="AH129" s="21">
        <f>SUM(AE$3:AE129)</f>
        <v>646.05757338448257</v>
      </c>
      <c r="AI129" s="21">
        <f>SUM(AG$3:AG129)</f>
        <v>1512.3503261593667</v>
      </c>
      <c r="AJ129" s="23">
        <f t="shared" si="38"/>
        <v>9.4862733183500012</v>
      </c>
      <c r="AK129" cm="1">
        <f t="array" ref="AK129">_xlfn.IFS(K129&lt;4,1,K129&lt;8,2,K129&gt;8,3)</f>
        <v>1</v>
      </c>
      <c r="AL129" cm="1">
        <f t="array" ref="AL129">_xlfn.IFS(K129&lt;5,2000,K129&lt;6,3500,K129&lt;7,5000,K129&lt;8,6500)</f>
        <v>2000</v>
      </c>
      <c r="AM129">
        <f>MATCH(AJ129,$AW$10:$BJ$10,1)</f>
        <v>11</v>
      </c>
      <c r="AN129">
        <v>175</v>
      </c>
      <c r="AO129">
        <f>(AE129*AN129/760)/$AS$14</f>
        <v>4.6133770859439931</v>
      </c>
      <c r="AP129">
        <f t="shared" si="39"/>
        <v>1.2814936349844426</v>
      </c>
      <c r="AQ129" s="21">
        <f>SUM(AP$3:AP129)</f>
        <v>87.275438978150078</v>
      </c>
    </row>
    <row r="130" spans="1:43">
      <c r="A130">
        <f t="shared" si="24"/>
        <v>1136</v>
      </c>
      <c r="B130">
        <f t="shared" si="25"/>
        <v>0.84094703499090517</v>
      </c>
      <c r="C130">
        <f t="shared" si="26"/>
        <v>143.09881203341473</v>
      </c>
      <c r="D130" s="4">
        <v>141.61176504100001</v>
      </c>
      <c r="E130">
        <f t="shared" si="27"/>
        <v>38.235176561070006</v>
      </c>
      <c r="F130" s="4">
        <v>34.33</v>
      </c>
      <c r="G130" s="20">
        <f t="shared" si="28"/>
        <v>127.021</v>
      </c>
      <c r="J130" s="7">
        <v>10.620882378075001</v>
      </c>
      <c r="K130">
        <f t="shared" si="29"/>
        <v>1.6091327691779957</v>
      </c>
      <c r="L130">
        <f t="shared" si="40"/>
        <v>41.387472979178909</v>
      </c>
      <c r="M130">
        <f t="shared" si="41"/>
        <v>0.16006841587408094</v>
      </c>
      <c r="N130">
        <f>M130*$AU$2</f>
        <v>96.361186356196725</v>
      </c>
      <c r="O130">
        <v>150.6</v>
      </c>
      <c r="P130">
        <f t="shared" si="30"/>
        <v>15.06</v>
      </c>
      <c r="Q130">
        <f t="shared" si="31"/>
        <v>2.9400000000000013</v>
      </c>
      <c r="R130">
        <f t="shared" si="42"/>
        <v>0.34999999999999964</v>
      </c>
      <c r="S130">
        <f>(0.5*$AU$2*(J130*J130))/1000</f>
        <v>33.953745889160125</v>
      </c>
      <c r="T130">
        <f>($AU$2*9.81*Q130)/1000</f>
        <v>17.362522800000008</v>
      </c>
      <c r="U130">
        <f t="shared" si="22"/>
        <v>3.4929577464788586E-2</v>
      </c>
      <c r="V130">
        <f t="shared" si="23"/>
        <v>3.4915382282334831E-2</v>
      </c>
      <c r="W130">
        <f t="shared" si="32"/>
        <v>2.0005040448636375</v>
      </c>
      <c r="X130">
        <f>($AU$2*9.81*SIN(W130))</f>
        <v>5368.7256444949471</v>
      </c>
      <c r="Y130">
        <f>(0.08*($AU$2*9.81))</f>
        <v>472.44959999999998</v>
      </c>
      <c r="Z130">
        <f t="shared" si="33"/>
        <v>5.9789239038303235</v>
      </c>
      <c r="AA130">
        <f>SUM(Z$3:Z130)</f>
        <v>133.66957432098519</v>
      </c>
      <c r="AB130">
        <v>0.55000000000000004</v>
      </c>
      <c r="AC130" s="7">
        <f t="shared" si="34"/>
        <v>63.501447530042874</v>
      </c>
      <c r="AD130" s="21">
        <f>IF(AC130&gt;$AX$2,J130-1,AC130)</f>
        <v>9.6208823780750006</v>
      </c>
      <c r="AE130" s="21">
        <f t="shared" si="35"/>
        <v>9.6208823780750006</v>
      </c>
      <c r="AF130" s="22">
        <f t="shared" si="36"/>
        <v>0</v>
      </c>
      <c r="AG130" s="21">
        <f t="shared" si="37"/>
        <v>0</v>
      </c>
      <c r="AH130" s="21">
        <f>SUM(AE$3:AE130)</f>
        <v>655.67845576255752</v>
      </c>
      <c r="AI130" s="21">
        <f>SUM(AG$3:AG130)</f>
        <v>1512.3503261593667</v>
      </c>
      <c r="AJ130" s="23">
        <f t="shared" si="38"/>
        <v>9.6208823780750006</v>
      </c>
      <c r="AK130" cm="1">
        <f t="array" ref="AK130">_xlfn.IFS(K130&lt;4,1,K130&lt;8,2,K130&gt;8,3)</f>
        <v>1</v>
      </c>
      <c r="AL130" cm="1">
        <f t="array" ref="AL130">_xlfn.IFS(K130&lt;5,2000,K130&lt;6,3500,K130&lt;7,5000,K130&lt;8,6500)</f>
        <v>2000</v>
      </c>
      <c r="AM130">
        <f>MATCH(AJ130,$AW$10:$BJ$10,1)</f>
        <v>11</v>
      </c>
      <c r="AN130">
        <v>175</v>
      </c>
      <c r="AO130">
        <f>(AE130*AN130/760)/$AS$14</f>
        <v>4.6788403433113022</v>
      </c>
      <c r="AP130">
        <f t="shared" si="39"/>
        <v>1.2996778731420284</v>
      </c>
      <c r="AQ130" s="21">
        <f>SUM(AP$3:AP130)</f>
        <v>88.575116851292108</v>
      </c>
    </row>
    <row r="131" spans="1:43">
      <c r="A131">
        <f t="shared" si="24"/>
        <v>1144.875</v>
      </c>
      <c r="B131">
        <f t="shared" si="25"/>
        <v>0.84469023509159724</v>
      </c>
      <c r="C131">
        <f t="shared" si="26"/>
        <v>143.94350226850634</v>
      </c>
      <c r="D131" s="4">
        <v>138.56984098999999</v>
      </c>
      <c r="E131">
        <f t="shared" si="27"/>
        <v>37.4138570673</v>
      </c>
      <c r="F131" s="4">
        <v>34.6</v>
      </c>
      <c r="G131" s="20">
        <f t="shared" si="28"/>
        <v>128.02000000000001</v>
      </c>
      <c r="J131" s="7">
        <v>10.39273807425</v>
      </c>
      <c r="K131">
        <f t="shared" si="29"/>
        <v>5.0563445805738532</v>
      </c>
      <c r="L131">
        <f t="shared" si="40"/>
        <v>39.628503817079377</v>
      </c>
      <c r="M131">
        <f t="shared" si="41"/>
        <v>-0.27009227092610977</v>
      </c>
      <c r="N131">
        <f>M131*$AU$2</f>
        <v>-162.59554709751808</v>
      </c>
      <c r="O131">
        <v>153.69999999999999</v>
      </c>
      <c r="P131">
        <f t="shared" si="30"/>
        <v>15.37</v>
      </c>
      <c r="Q131">
        <f t="shared" si="31"/>
        <v>3.25</v>
      </c>
      <c r="R131">
        <f t="shared" si="42"/>
        <v>0.30999999999999872</v>
      </c>
      <c r="S131">
        <f>(0.5*$AU$2*(J131*J131))/1000</f>
        <v>32.510710408669645</v>
      </c>
      <c r="T131">
        <f>($AU$2*9.81*Q131)/1000</f>
        <v>19.193265</v>
      </c>
      <c r="U131">
        <f t="shared" ref="U131:U155" si="43">(Q132-Q131)/(A132-A131)</f>
        <v>4.5070422535212311E-3</v>
      </c>
      <c r="V131">
        <f t="shared" ref="V131:V155" si="44">ATAN((Q132-Q131)/(A132-A131))</f>
        <v>4.5070117360642582E-3</v>
      </c>
      <c r="W131">
        <f t="shared" si="32"/>
        <v>0.25823275069241208</v>
      </c>
      <c r="X131">
        <f>($AU$2*9.81*SIN(W131))</f>
        <v>1508.131758241545</v>
      </c>
      <c r="Y131">
        <f>(0.08*($AU$2*9.81))</f>
        <v>472.44959999999998</v>
      </c>
      <c r="Z131">
        <f t="shared" si="33"/>
        <v>1.8576143149611062</v>
      </c>
      <c r="AA131">
        <f>SUM(Z$3:Z131)</f>
        <v>135.52718863594629</v>
      </c>
      <c r="AB131">
        <v>0.55000000000000004</v>
      </c>
      <c r="AC131" s="7">
        <f t="shared" si="34"/>
        <v>19.30569901836812</v>
      </c>
      <c r="AD131" s="21">
        <f>IF(AC131&gt;$AX$2,J131-1,AC131)</f>
        <v>9.3927380742499995</v>
      </c>
      <c r="AE131" s="21">
        <f t="shared" si="35"/>
        <v>9.3927380742499995</v>
      </c>
      <c r="AF131" s="22">
        <f t="shared" si="36"/>
        <v>0</v>
      </c>
      <c r="AG131" s="21">
        <f t="shared" si="37"/>
        <v>0</v>
      </c>
      <c r="AH131" s="21">
        <f>SUM(AE$3:AE131)</f>
        <v>665.07119383680754</v>
      </c>
      <c r="AI131" s="21">
        <f>SUM(AG$3:AG131)</f>
        <v>1512.3503261593667</v>
      </c>
      <c r="AJ131" s="23">
        <f t="shared" si="38"/>
        <v>9.3927380742499995</v>
      </c>
      <c r="AK131" cm="1">
        <f t="array" ref="AK131">_xlfn.IFS(K131&lt;4,1,K131&lt;8,2,K131&gt;8,3)</f>
        <v>2</v>
      </c>
      <c r="AL131" cm="1">
        <f t="array" ref="AL131">_xlfn.IFS(K131&lt;5,2000,K131&lt;6,3500,K131&lt;7,5000,K131&lt;8,6500)</f>
        <v>3500</v>
      </c>
      <c r="AM131">
        <f>MATCH(AJ131,$AW$10:$BJ$10,1)</f>
        <v>11</v>
      </c>
      <c r="AN131">
        <v>175</v>
      </c>
      <c r="AO131">
        <f>(AE131*AN131/760)/$AS$14</f>
        <v>4.5678889013452615</v>
      </c>
      <c r="AP131">
        <f t="shared" si="39"/>
        <v>1.2688580281514614</v>
      </c>
      <c r="AQ131" s="21">
        <f>SUM(AP$3:AP131)</f>
        <v>89.843974879443564</v>
      </c>
    </row>
    <row r="132" spans="1:43">
      <c r="A132">
        <f t="shared" ref="A132:A155" si="45">A131+$D$1</f>
        <v>1153.75</v>
      </c>
      <c r="B132">
        <f t="shared" ref="B132:B155" si="46">(2*$A$3)/(J131+J132)</f>
        <v>0.87600548350437635</v>
      </c>
      <c r="C132">
        <f t="shared" ref="C132:C155" si="47">B132+C131</f>
        <v>144.81950775201071</v>
      </c>
      <c r="D132" s="4">
        <v>131.59589555299999</v>
      </c>
      <c r="E132">
        <f t="shared" ref="E132:E155" si="48">D132*0.27</f>
        <v>35.530891799309998</v>
      </c>
      <c r="F132" s="4">
        <v>34.869999999999997</v>
      </c>
      <c r="G132" s="20">
        <f t="shared" ref="G132:G155" si="49">F132*$I$3</f>
        <v>129.01900000000001</v>
      </c>
      <c r="J132" s="7">
        <v>9.8696921664749997</v>
      </c>
      <c r="K132">
        <f t="shared" ref="K132:K155" si="50">AD132/Z132</f>
        <v>9.8696921664749997</v>
      </c>
      <c r="L132">
        <f t="shared" si="40"/>
        <v>35.740031127832822</v>
      </c>
      <c r="M132">
        <f t="shared" si="41"/>
        <v>-0.59708063205564343</v>
      </c>
      <c r="N132">
        <f>M132*$AU$2</f>
        <v>-359.44254049749736</v>
      </c>
      <c r="O132">
        <v>154.1</v>
      </c>
      <c r="P132">
        <f t="shared" ref="P132:P155" si="51">O132*0.1</f>
        <v>15.41</v>
      </c>
      <c r="Q132">
        <f t="shared" ref="Q132:Q155" si="52">P132-12.12</f>
        <v>3.2900000000000009</v>
      </c>
      <c r="R132">
        <f t="shared" si="42"/>
        <v>4.0000000000000924E-2</v>
      </c>
      <c r="S132">
        <f>(0.5*$AU$2*(J132*J132))/1000</f>
        <v>29.32065786175437</v>
      </c>
      <c r="T132">
        <f>($AU$2*9.81*Q132)/1000</f>
        <v>19.429489800000006</v>
      </c>
      <c r="U132">
        <f t="shared" si="43"/>
        <v>-1.3521126760563293E-2</v>
      </c>
      <c r="V132">
        <f t="shared" si="44"/>
        <v>-1.352030286955524E-2</v>
      </c>
      <c r="W132">
        <f t="shared" ref="W132:W155" si="53">V132*180/PI()</f>
        <v>-0.77465629216413123</v>
      </c>
      <c r="X132">
        <f>($AU$2*9.81*SIN(W132))</f>
        <v>-4130.8068673975204</v>
      </c>
      <c r="Y132">
        <f>(0.08*($AU$2*9.81))</f>
        <v>472.44959999999998</v>
      </c>
      <c r="Z132">
        <f t="shared" ref="Z132:Z155" si="54">(L132+N132+X132+Y132)/1000</f>
        <v>-3.9820597767671853</v>
      </c>
      <c r="AA132">
        <f>SUM(Z$3:Z132)</f>
        <v>131.5451288591791</v>
      </c>
      <c r="AB132">
        <v>0.55000000000000004</v>
      </c>
      <c r="AC132" s="7">
        <f t="shared" ref="AC132:AC155" si="55">(Z132*J132)</f>
        <v>-39.301704185194275</v>
      </c>
      <c r="AD132" s="21">
        <f>IF(AC132&gt;$AX$2,J132-1,AC132)</f>
        <v>-39.301704185194275</v>
      </c>
      <c r="AE132" s="21">
        <f t="shared" ref="AE132:AE155" si="56">IF(AD132&gt;0,AD132,0)</f>
        <v>0</v>
      </c>
      <c r="AF132" s="22">
        <f t="shared" ref="AF132:AF155" si="57">IF(AD132&lt;0,AD132,0)</f>
        <v>-39.301704185194275</v>
      </c>
      <c r="AG132" s="21">
        <f t="shared" ref="AG132:AG155" si="58">AF132*-1</f>
        <v>39.301704185194275</v>
      </c>
      <c r="AH132" s="21">
        <f>SUM(AE$3:AE132)</f>
        <v>665.07119383680754</v>
      </c>
      <c r="AI132" s="21">
        <f>SUM(AG$3:AG132)</f>
        <v>1551.6520303445609</v>
      </c>
      <c r="AJ132" s="23">
        <f t="shared" ref="AJ132:AJ155" si="59">IF(AD132&lt;0,0,AD132)</f>
        <v>0</v>
      </c>
      <c r="AK132" cm="1">
        <f t="array" ref="AK132">_xlfn.IFS(K132&lt;4,1,K132&lt;8,2,K132&gt;8,3)</f>
        <v>3</v>
      </c>
      <c r="AL132" cm="1">
        <f t="array" ref="AL132">_xlfn.IFS(K132&lt;9,2000,K132&lt;10,3500,K132&lt;12,5000,K132&lt;14,6500)</f>
        <v>3500</v>
      </c>
      <c r="AM132">
        <f>MATCH(AJ132,$AW$10:$BJ$10,1)</f>
        <v>2</v>
      </c>
      <c r="AN132">
        <v>175</v>
      </c>
      <c r="AO132">
        <f>(AE132*AN132/760)/$AS$14</f>
        <v>0</v>
      </c>
      <c r="AP132">
        <f t="shared" ref="AP132:AP155" si="60">(AO132/3600)*1000</f>
        <v>0</v>
      </c>
      <c r="AQ132" s="21">
        <f>SUM(AP$3:AP132)</f>
        <v>89.843974879443564</v>
      </c>
    </row>
    <row r="133" spans="1:43">
      <c r="A133">
        <f t="shared" si="45"/>
        <v>1162.625</v>
      </c>
      <c r="B133">
        <f t="shared" si="46"/>
        <v>0.91990402241214797</v>
      </c>
      <c r="C133">
        <f t="shared" si="47"/>
        <v>145.73941177442285</v>
      </c>
      <c r="D133" s="4">
        <v>125.677320892</v>
      </c>
      <c r="E133">
        <f t="shared" si="48"/>
        <v>33.93287664084</v>
      </c>
      <c r="F133" s="4">
        <v>35.14</v>
      </c>
      <c r="G133" s="20">
        <f t="shared" si="49"/>
        <v>130.018</v>
      </c>
      <c r="J133" s="7">
        <v>9.4257990668999998</v>
      </c>
      <c r="K133">
        <f t="shared" si="50"/>
        <v>9.4257990668999998</v>
      </c>
      <c r="L133">
        <f t="shared" ref="L133:L155" si="61">0.5*1.223*1*0.6*(J133*J133)</f>
        <v>32.5974829453883</v>
      </c>
      <c r="M133">
        <f t="shared" ref="M133:M155" si="62">(J133-J132)/(C133-C132)</f>
        <v>-0.48254284007916259</v>
      </c>
      <c r="N133">
        <f>M133*$AU$2</f>
        <v>-290.49078972765591</v>
      </c>
      <c r="O133">
        <v>152.9</v>
      </c>
      <c r="P133">
        <f t="shared" si="51"/>
        <v>15.290000000000001</v>
      </c>
      <c r="Q133">
        <f t="shared" si="52"/>
        <v>3.1700000000000017</v>
      </c>
      <c r="R133">
        <f t="shared" ref="R133:R155" si="63">IF((Q133-Q132)&gt;0,Q133-Q132,(Q133-Q132)*-1)</f>
        <v>0.11999999999999922</v>
      </c>
      <c r="S133">
        <f>(0.5*$AU$2*(J133*J133))/1000</f>
        <v>26.742552102921447</v>
      </c>
      <c r="T133">
        <f>($AU$2*9.81*Q133)/1000</f>
        <v>18.72081540000001</v>
      </c>
      <c r="U133">
        <f t="shared" si="43"/>
        <v>-3.943661971830982E-2</v>
      </c>
      <c r="V133">
        <f t="shared" si="44"/>
        <v>-3.9416194213776047E-2</v>
      </c>
      <c r="W133">
        <f t="shared" si="53"/>
        <v>-2.2583815729173438</v>
      </c>
      <c r="X133">
        <f>($AU$2*9.81*SIN(W133))</f>
        <v>-4563.7500171066204</v>
      </c>
      <c r="Y133">
        <f>(0.08*($AU$2*9.81))</f>
        <v>472.44959999999998</v>
      </c>
      <c r="Z133">
        <f t="shared" si="54"/>
        <v>-4.349193723888888</v>
      </c>
      <c r="AA133">
        <f>SUM(Z$3:Z133)</f>
        <v>127.19593513529021</v>
      </c>
      <c r="AB133">
        <v>0.55000000000000004</v>
      </c>
      <c r="AC133" s="7">
        <f t="shared" si="55"/>
        <v>-40.994626144399213</v>
      </c>
      <c r="AD133" s="21">
        <f>IF(AC133&gt;$AX$2,J133-1,AC133)</f>
        <v>-40.994626144399213</v>
      </c>
      <c r="AE133" s="21">
        <f t="shared" si="56"/>
        <v>0</v>
      </c>
      <c r="AF133" s="22">
        <f t="shared" si="57"/>
        <v>-40.994626144399213</v>
      </c>
      <c r="AG133" s="21">
        <f t="shared" si="58"/>
        <v>40.994626144399213</v>
      </c>
      <c r="AH133" s="21">
        <f>SUM(AE$3:AE133)</f>
        <v>665.07119383680754</v>
      </c>
      <c r="AI133" s="21">
        <f>SUM(AG$3:AG133)</f>
        <v>1592.6466564889602</v>
      </c>
      <c r="AJ133" s="23">
        <f t="shared" si="59"/>
        <v>0</v>
      </c>
      <c r="AK133" cm="1">
        <f t="array" ref="AK133">_xlfn.IFS(K133&lt;4,1,K133&lt;8,2,K133&gt;8,3)</f>
        <v>3</v>
      </c>
      <c r="AL133" cm="1">
        <f t="array" ref="AL133">_xlfn.IFS(K133&lt;9,2000,K133&lt;10,3500,K133&lt;12,5000,K133&lt;14,6500)</f>
        <v>3500</v>
      </c>
      <c r="AM133">
        <f>MATCH(AJ133,$AW$10:$BJ$10,1)</f>
        <v>2</v>
      </c>
      <c r="AN133">
        <v>175</v>
      </c>
      <c r="AO133">
        <f>(AE133*AN133/760)/$AS$14</f>
        <v>0</v>
      </c>
      <c r="AP133">
        <f t="shared" si="60"/>
        <v>0</v>
      </c>
      <c r="AQ133" s="21">
        <f>SUM(AP$3:AP133)</f>
        <v>89.843974879443564</v>
      </c>
    </row>
    <row r="134" spans="1:43">
      <c r="A134">
        <f t="shared" si="45"/>
        <v>1171.5</v>
      </c>
      <c r="B134">
        <f t="shared" si="46"/>
        <v>0.95756067967797065</v>
      </c>
      <c r="C134">
        <f t="shared" si="47"/>
        <v>146.69697245410083</v>
      </c>
      <c r="D134" s="4">
        <v>121.478469534</v>
      </c>
      <c r="E134">
        <f t="shared" si="48"/>
        <v>32.799186774180001</v>
      </c>
      <c r="F134" s="4">
        <v>35.409999999999997</v>
      </c>
      <c r="G134" s="20">
        <f t="shared" si="49"/>
        <v>131.017</v>
      </c>
      <c r="J134" s="7">
        <v>9.1108852150500006</v>
      </c>
      <c r="K134">
        <f t="shared" si="50"/>
        <v>9.1108852150500006</v>
      </c>
      <c r="L134">
        <f t="shared" si="61"/>
        <v>30.455719367526545</v>
      </c>
      <c r="M134">
        <f t="shared" si="62"/>
        <v>-0.32887090973274036</v>
      </c>
      <c r="N134">
        <f>M134*$AU$2</f>
        <v>-197.98028765910971</v>
      </c>
      <c r="O134">
        <v>149.4</v>
      </c>
      <c r="P134">
        <f t="shared" si="51"/>
        <v>14.940000000000001</v>
      </c>
      <c r="Q134">
        <f t="shared" si="52"/>
        <v>2.8200000000000021</v>
      </c>
      <c r="R134">
        <f t="shared" si="63"/>
        <v>0.34999999999999964</v>
      </c>
      <c r="S134">
        <f>(0.5*$AU$2*(J134*J134))/1000</f>
        <v>24.985477049946827</v>
      </c>
      <c r="T134">
        <f>($AU$2*9.81*Q134)/1000</f>
        <v>16.653848400000012</v>
      </c>
      <c r="U134">
        <f t="shared" si="43"/>
        <v>-3.943661971830982E-2</v>
      </c>
      <c r="V134">
        <f t="shared" si="44"/>
        <v>-3.9416194213776047E-2</v>
      </c>
      <c r="W134">
        <f t="shared" si="53"/>
        <v>-2.2583815729173438</v>
      </c>
      <c r="X134">
        <f>($AU$2*9.81*SIN(W134))</f>
        <v>-4563.7500171066204</v>
      </c>
      <c r="Y134">
        <f>(0.08*($AU$2*9.81))</f>
        <v>472.44959999999998</v>
      </c>
      <c r="Z134">
        <f t="shared" si="54"/>
        <v>-4.2588249853982036</v>
      </c>
      <c r="AA134">
        <f>SUM(Z$3:Z134)</f>
        <v>122.93711014989201</v>
      </c>
      <c r="AB134">
        <v>0.55000000000000004</v>
      </c>
      <c r="AC134" s="7">
        <f t="shared" si="55"/>
        <v>-38.80166559295003</v>
      </c>
      <c r="AD134" s="21">
        <f>IF(AC134&gt;$AX$2,J134-1,AC134)</f>
        <v>-38.80166559295003</v>
      </c>
      <c r="AE134" s="21">
        <f t="shared" si="56"/>
        <v>0</v>
      </c>
      <c r="AF134" s="22">
        <f t="shared" si="57"/>
        <v>-38.80166559295003</v>
      </c>
      <c r="AG134" s="21">
        <f t="shared" si="58"/>
        <v>38.80166559295003</v>
      </c>
      <c r="AH134" s="21">
        <f>SUM(AE$3:AE134)</f>
        <v>665.07119383680754</v>
      </c>
      <c r="AI134" s="21">
        <f>SUM(AG$3:AG134)</f>
        <v>1631.4483220819102</v>
      </c>
      <c r="AJ134" s="23">
        <f t="shared" si="59"/>
        <v>0</v>
      </c>
      <c r="AK134" cm="1">
        <f t="array" ref="AK134">_xlfn.IFS(K134&lt;4,1,K134&lt;8,2,K134&gt;8,3)</f>
        <v>3</v>
      </c>
      <c r="AL134" cm="1">
        <f t="array" ref="AL134">_xlfn.IFS(K134&lt;9,2000,K134&lt;10,3500,K134&lt;12,5000,K134&lt;14,6500)</f>
        <v>3500</v>
      </c>
      <c r="AM134">
        <f>MATCH(AJ134,$AW$10:$BJ$10,1)</f>
        <v>2</v>
      </c>
      <c r="AN134">
        <v>175</v>
      </c>
      <c r="AO134">
        <f>(AE134*AN134/760)/$AS$14</f>
        <v>0</v>
      </c>
      <c r="AP134">
        <f t="shared" si="60"/>
        <v>0</v>
      </c>
      <c r="AQ134" s="21">
        <f>SUM(AP$3:AP134)</f>
        <v>89.843974879443564</v>
      </c>
    </row>
    <row r="135" spans="1:43">
      <c r="A135">
        <f t="shared" si="45"/>
        <v>1180.375</v>
      </c>
      <c r="B135">
        <f t="shared" si="46"/>
        <v>0.98786205715055331</v>
      </c>
      <c r="C135">
        <f t="shared" si="47"/>
        <v>147.68483451125138</v>
      </c>
      <c r="D135" s="4">
        <v>118.096140052</v>
      </c>
      <c r="E135">
        <f t="shared" si="48"/>
        <v>31.885957814040001</v>
      </c>
      <c r="F135" s="4">
        <v>35.68</v>
      </c>
      <c r="G135" s="20">
        <f t="shared" si="49"/>
        <v>132.01599999999999</v>
      </c>
      <c r="J135" s="7">
        <v>8.8572105039000011</v>
      </c>
      <c r="K135">
        <f t="shared" si="50"/>
        <v>8.8572105039000011</v>
      </c>
      <c r="L135">
        <f t="shared" si="61"/>
        <v>28.783370275324479</v>
      </c>
      <c r="M135">
        <f t="shared" si="62"/>
        <v>-0.25679163331944771</v>
      </c>
      <c r="N135">
        <f>M135*$AU$2</f>
        <v>-154.58856325830752</v>
      </c>
      <c r="O135">
        <v>145.9</v>
      </c>
      <c r="P135">
        <f t="shared" si="51"/>
        <v>14.590000000000002</v>
      </c>
      <c r="Q135">
        <f t="shared" si="52"/>
        <v>2.4700000000000024</v>
      </c>
      <c r="R135">
        <f t="shared" si="63"/>
        <v>0.34999999999999964</v>
      </c>
      <c r="S135">
        <f>(0.5*$AU$2*(J135*J135))/1000</f>
        <v>23.61350355102935</v>
      </c>
      <c r="T135">
        <f>($AU$2*9.81*Q135)/1000</f>
        <v>14.586881400000015</v>
      </c>
      <c r="U135">
        <f t="shared" si="43"/>
        <v>-3.943661971830982E-2</v>
      </c>
      <c r="V135">
        <f t="shared" si="44"/>
        <v>-3.9416194213776047E-2</v>
      </c>
      <c r="W135">
        <f t="shared" si="53"/>
        <v>-2.2583815729173438</v>
      </c>
      <c r="X135">
        <f>($AU$2*9.81*SIN(W135))</f>
        <v>-4563.7500171066204</v>
      </c>
      <c r="Y135">
        <f>(0.08*($AU$2*9.81))</f>
        <v>472.44959999999998</v>
      </c>
      <c r="Z135">
        <f t="shared" si="54"/>
        <v>-4.2171056100896038</v>
      </c>
      <c r="AA135">
        <f>SUM(Z$3:Z135)</f>
        <v>118.7200045398024</v>
      </c>
      <c r="AB135">
        <v>0.55000000000000004</v>
      </c>
      <c r="AC135" s="7">
        <f t="shared" si="55"/>
        <v>-37.351792105741261</v>
      </c>
      <c r="AD135" s="21">
        <f>IF(AC135&gt;$AX$2,J135-1,AC135)</f>
        <v>-37.351792105741261</v>
      </c>
      <c r="AE135" s="21">
        <f t="shared" si="56"/>
        <v>0</v>
      </c>
      <c r="AF135" s="22">
        <f t="shared" si="57"/>
        <v>-37.351792105741261</v>
      </c>
      <c r="AG135" s="21">
        <f t="shared" si="58"/>
        <v>37.351792105741261</v>
      </c>
      <c r="AH135" s="21">
        <f>SUM(AE$3:AE135)</f>
        <v>665.07119383680754</v>
      </c>
      <c r="AI135" s="21">
        <f>SUM(AG$3:AG135)</f>
        <v>1668.8001141876514</v>
      </c>
      <c r="AJ135" s="23">
        <f t="shared" si="59"/>
        <v>0</v>
      </c>
      <c r="AK135" cm="1">
        <f t="array" ref="AK135">_xlfn.IFS(K135&lt;4,1,K135&lt;8,2,K135&gt;8,3)</f>
        <v>3</v>
      </c>
      <c r="AL135" cm="1">
        <f t="array" ref="AL135">_xlfn.IFS(K135&lt;9,2000,K135&lt;10,3500,K135&lt;12,5000,K135&lt;14,6500)</f>
        <v>2000</v>
      </c>
      <c r="AM135">
        <f>MATCH(AJ135,$AW$10:$BJ$10,1)</f>
        <v>2</v>
      </c>
      <c r="AN135">
        <v>175</v>
      </c>
      <c r="AO135">
        <f>(AE135*AN135/760)/$AS$14</f>
        <v>0</v>
      </c>
      <c r="AP135">
        <f t="shared" si="60"/>
        <v>0</v>
      </c>
      <c r="AQ135" s="21">
        <f>SUM(AP$3:AP135)</f>
        <v>89.843974879443564</v>
      </c>
    </row>
    <row r="136" spans="1:43">
      <c r="A136">
        <f t="shared" si="45"/>
        <v>1189.25</v>
      </c>
      <c r="B136">
        <f t="shared" si="46"/>
        <v>1.0116351664152456</v>
      </c>
      <c r="C136">
        <f t="shared" si="47"/>
        <v>148.69646967766661</v>
      </c>
      <c r="D136" s="4">
        <v>115.84854131500001</v>
      </c>
      <c r="E136">
        <f t="shared" si="48"/>
        <v>31.279106155050002</v>
      </c>
      <c r="F136" s="4">
        <v>35.950000000000003</v>
      </c>
      <c r="G136" s="20">
        <f t="shared" si="49"/>
        <v>133.01500000000001</v>
      </c>
      <c r="J136" s="7">
        <v>8.6886405986249997</v>
      </c>
      <c r="K136">
        <f t="shared" si="50"/>
        <v>8.6886405986249997</v>
      </c>
      <c r="L136">
        <f t="shared" si="61"/>
        <v>27.698189243366166</v>
      </c>
      <c r="M136">
        <f t="shared" si="62"/>
        <v>-0.16663112441250469</v>
      </c>
      <c r="N136">
        <f>M136*$AU$2</f>
        <v>-100.31193689632782</v>
      </c>
      <c r="O136">
        <v>142.4</v>
      </c>
      <c r="P136">
        <f t="shared" si="51"/>
        <v>14.240000000000002</v>
      </c>
      <c r="Q136">
        <f t="shared" si="52"/>
        <v>2.1200000000000028</v>
      </c>
      <c r="R136">
        <f t="shared" si="63"/>
        <v>0.34999999999999964</v>
      </c>
      <c r="S136">
        <f>(0.5*$AU$2*(J136*J136))/1000</f>
        <v>22.723235111074448</v>
      </c>
      <c r="T136">
        <f>($AU$2*9.81*Q136)/1000</f>
        <v>12.519914400000015</v>
      </c>
      <c r="U136">
        <f t="shared" si="43"/>
        <v>-3.1549295774648017E-2</v>
      </c>
      <c r="V136">
        <f t="shared" si="44"/>
        <v>-3.1538834406302438E-2</v>
      </c>
      <c r="W136">
        <f t="shared" si="53"/>
        <v>-1.8070421022431191</v>
      </c>
      <c r="X136">
        <f>($AU$2*9.81*SIN(W136))</f>
        <v>-5741.5826445944449</v>
      </c>
      <c r="Y136">
        <f>(0.08*($AU$2*9.81))</f>
        <v>472.44959999999998</v>
      </c>
      <c r="Z136">
        <f t="shared" si="54"/>
        <v>-5.3417467922474069</v>
      </c>
      <c r="AA136">
        <f>SUM(Z$3:Z136)</f>
        <v>113.378257747555</v>
      </c>
      <c r="AB136">
        <v>0.55000000000000004</v>
      </c>
      <c r="AC136" s="7">
        <f t="shared" si="55"/>
        <v>-46.412518046695681</v>
      </c>
      <c r="AD136" s="21">
        <f>IF(AC136&gt;$AX$2,J136-1,AC136)</f>
        <v>-46.412518046695681</v>
      </c>
      <c r="AE136" s="21">
        <f t="shared" si="56"/>
        <v>0</v>
      </c>
      <c r="AF136" s="22">
        <f t="shared" si="57"/>
        <v>-46.412518046695681</v>
      </c>
      <c r="AG136" s="21">
        <f t="shared" si="58"/>
        <v>46.412518046695681</v>
      </c>
      <c r="AH136" s="21">
        <f>SUM(AE$3:AE136)</f>
        <v>665.07119383680754</v>
      </c>
      <c r="AI136" s="21">
        <f>SUM(AG$3:AG136)</f>
        <v>1715.212632234347</v>
      </c>
      <c r="AJ136" s="23">
        <f t="shared" si="59"/>
        <v>0</v>
      </c>
      <c r="AK136" cm="1">
        <f t="array" ref="AK136">_xlfn.IFS(K136&lt;4,1,K136&lt;8,2,K136&gt;8,3)</f>
        <v>3</v>
      </c>
      <c r="AL136" cm="1">
        <f t="array" ref="AL136">_xlfn.IFS(K136&lt;9,2000,K136&lt;10,3500,K136&lt;12,5000,K136&lt;14,6500)</f>
        <v>2000</v>
      </c>
      <c r="AM136">
        <f>MATCH(AJ136,$AW$10:$BJ$10,1)</f>
        <v>2</v>
      </c>
      <c r="AN136">
        <v>175</v>
      </c>
      <c r="AO136">
        <f>(AE136*AN136/760)/$AS$14</f>
        <v>0</v>
      </c>
      <c r="AP136">
        <f t="shared" si="60"/>
        <v>0</v>
      </c>
      <c r="AQ136" s="21">
        <f>SUM(AP$3:AP136)</f>
        <v>89.843974879443564</v>
      </c>
    </row>
    <row r="137" spans="1:43">
      <c r="A137">
        <f t="shared" si="45"/>
        <v>1198.125</v>
      </c>
      <c r="B137">
        <f t="shared" si="46"/>
        <v>1.0254947938432009</v>
      </c>
      <c r="C137">
        <f t="shared" si="47"/>
        <v>149.72196447150981</v>
      </c>
      <c r="D137" s="4">
        <v>114.93436278900001</v>
      </c>
      <c r="E137">
        <f t="shared" si="48"/>
        <v>31.032277953030004</v>
      </c>
      <c r="F137" s="4">
        <v>36.22</v>
      </c>
      <c r="G137" s="20">
        <f t="shared" si="49"/>
        <v>134.01400000000001</v>
      </c>
      <c r="J137" s="7">
        <v>8.6200772091750011</v>
      </c>
      <c r="K137">
        <f t="shared" si="50"/>
        <v>8.6200772091750011</v>
      </c>
      <c r="L137">
        <f t="shared" si="61"/>
        <v>27.262772737705532</v>
      </c>
      <c r="M137">
        <f t="shared" si="62"/>
        <v>-6.6858837179511313E-2</v>
      </c>
      <c r="N137">
        <f>M137*$AU$2</f>
        <v>-40.249019982065811</v>
      </c>
      <c r="O137">
        <v>139.6</v>
      </c>
      <c r="P137">
        <f t="shared" si="51"/>
        <v>13.96</v>
      </c>
      <c r="Q137">
        <f t="shared" si="52"/>
        <v>1.8400000000000016</v>
      </c>
      <c r="R137">
        <f t="shared" si="63"/>
        <v>0.28000000000000114</v>
      </c>
      <c r="S137">
        <f>(0.5*$AU$2*(J137*J137))/1000</f>
        <v>22.366025058733619</v>
      </c>
      <c r="T137">
        <f>($AU$2*9.81*Q137)/1000</f>
        <v>10.866340800000009</v>
      </c>
      <c r="U137">
        <f t="shared" si="43"/>
        <v>5.9718309859155057E-2</v>
      </c>
      <c r="V137">
        <f t="shared" si="44"/>
        <v>5.9647470707687229E-2</v>
      </c>
      <c r="W137">
        <f t="shared" si="53"/>
        <v>3.4175483301806842</v>
      </c>
      <c r="X137">
        <f>($AU$2*9.81*SIN(W137))</f>
        <v>-1609.0840844374059</v>
      </c>
      <c r="Y137">
        <f>(0.08*($AU$2*9.81))</f>
        <v>472.44959999999998</v>
      </c>
      <c r="Z137">
        <f t="shared" si="54"/>
        <v>-1.1496207316817664</v>
      </c>
      <c r="AA137">
        <f>SUM(Z$3:Z137)</f>
        <v>112.22863701587323</v>
      </c>
      <c r="AB137">
        <v>0.55000000000000004</v>
      </c>
      <c r="AC137" s="7">
        <f t="shared" si="55"/>
        <v>-9.9098194683650842</v>
      </c>
      <c r="AD137" s="21">
        <f>IF(AC137&gt;$AX$2,J137-1,AC137)</f>
        <v>-9.9098194683650842</v>
      </c>
      <c r="AE137" s="21">
        <f t="shared" si="56"/>
        <v>0</v>
      </c>
      <c r="AF137" s="22">
        <f t="shared" si="57"/>
        <v>-9.9098194683650842</v>
      </c>
      <c r="AG137" s="21">
        <f t="shared" si="58"/>
        <v>9.9098194683650842</v>
      </c>
      <c r="AH137" s="21">
        <f>SUM(AE$3:AE137)</f>
        <v>665.07119383680754</v>
      </c>
      <c r="AI137" s="21">
        <f>SUM(AG$3:AG137)</f>
        <v>1725.1224517027122</v>
      </c>
      <c r="AJ137" s="23">
        <f t="shared" si="59"/>
        <v>0</v>
      </c>
      <c r="AK137" cm="1">
        <f t="array" ref="AK137">_xlfn.IFS(K137&lt;4,1,K137&lt;8,2,K137&gt;8,3)</f>
        <v>3</v>
      </c>
      <c r="AL137" cm="1">
        <f t="array" ref="AL137">_xlfn.IFS(K137&lt;9,2000,K137&lt;10,3500,K137&lt;12,5000,K137&lt;14,6500)</f>
        <v>2000</v>
      </c>
      <c r="AM137">
        <f>MATCH(AJ137,$AW$10:$BJ$10,1)</f>
        <v>2</v>
      </c>
      <c r="AN137">
        <v>175</v>
      </c>
      <c r="AO137">
        <f>(AE137*AN137/760)/$AS$14</f>
        <v>0</v>
      </c>
      <c r="AP137">
        <f t="shared" si="60"/>
        <v>0</v>
      </c>
      <c r="AQ137" s="21">
        <f>SUM(AP$3:AP137)</f>
        <v>89.843974879443564</v>
      </c>
    </row>
    <row r="138" spans="1:43">
      <c r="A138">
        <f t="shared" si="45"/>
        <v>1207</v>
      </c>
      <c r="B138">
        <f t="shared" si="46"/>
        <v>1.0292521685563618</v>
      </c>
      <c r="C138">
        <f t="shared" si="47"/>
        <v>150.75121664006616</v>
      </c>
      <c r="D138" s="4">
        <v>115.006048217</v>
      </c>
      <c r="E138">
        <f t="shared" si="48"/>
        <v>31.051633018590003</v>
      </c>
      <c r="F138" s="4">
        <v>36.49</v>
      </c>
      <c r="G138" s="20">
        <f t="shared" si="49"/>
        <v>135.01300000000001</v>
      </c>
      <c r="J138" s="7">
        <v>8.6254536162750011</v>
      </c>
      <c r="K138">
        <f t="shared" si="50"/>
        <v>8.6254536162750011</v>
      </c>
      <c r="L138">
        <f t="shared" si="61"/>
        <v>27.296791336741066</v>
      </c>
      <c r="M138">
        <f t="shared" si="62"/>
        <v>5.2236053168010473E-3</v>
      </c>
      <c r="N138">
        <f>M138*$AU$2</f>
        <v>3.1446104007142304</v>
      </c>
      <c r="O138">
        <v>144.9</v>
      </c>
      <c r="P138">
        <f t="shared" si="51"/>
        <v>14.490000000000002</v>
      </c>
      <c r="Q138">
        <f t="shared" si="52"/>
        <v>2.3700000000000028</v>
      </c>
      <c r="R138">
        <f t="shared" si="63"/>
        <v>0.53000000000000114</v>
      </c>
      <c r="S138">
        <f>(0.5*$AU$2*(J138*J138))/1000</f>
        <v>22.393933476039958</v>
      </c>
      <c r="T138">
        <f>($AU$2*9.81*Q138)/1000</f>
        <v>13.996319400000017</v>
      </c>
      <c r="U138">
        <f t="shared" si="43"/>
        <v>-1.8028169014084522E-2</v>
      </c>
      <c r="V138">
        <f t="shared" si="44"/>
        <v>-1.8026216253825167E-2</v>
      </c>
      <c r="W138">
        <f t="shared" si="53"/>
        <v>-1.0328261119343076</v>
      </c>
      <c r="X138">
        <f>($AU$2*9.81*SIN(W138))</f>
        <v>-5071.4541239805385</v>
      </c>
      <c r="Y138">
        <f>(0.08*($AU$2*9.81))</f>
        <v>472.44959999999998</v>
      </c>
      <c r="Z138">
        <f t="shared" si="54"/>
        <v>-4.5685631222430834</v>
      </c>
      <c r="AA138">
        <f>SUM(Z$3:Z138)</f>
        <v>107.66007389363016</v>
      </c>
      <c r="AB138">
        <v>0.55000000000000004</v>
      </c>
      <c r="AC138" s="7">
        <f t="shared" si="55"/>
        <v>-39.405929303932211</v>
      </c>
      <c r="AD138" s="21">
        <f>IF(AC138&gt;$AX$2,J138-1,AC138)</f>
        <v>-39.405929303932211</v>
      </c>
      <c r="AE138" s="21">
        <f t="shared" si="56"/>
        <v>0</v>
      </c>
      <c r="AF138" s="22">
        <f t="shared" si="57"/>
        <v>-39.405929303932211</v>
      </c>
      <c r="AG138" s="21">
        <f t="shared" si="58"/>
        <v>39.405929303932211</v>
      </c>
      <c r="AH138" s="21">
        <f>SUM(AE$3:AE138)</f>
        <v>665.07119383680754</v>
      </c>
      <c r="AI138" s="21">
        <f>SUM(AG$3:AG138)</f>
        <v>1764.5283810066444</v>
      </c>
      <c r="AJ138" s="23">
        <f t="shared" si="59"/>
        <v>0</v>
      </c>
      <c r="AK138" cm="1">
        <f t="array" ref="AK138">_xlfn.IFS(K138&lt;4,1,K138&lt;8,2,K138&gt;8,3)</f>
        <v>3</v>
      </c>
      <c r="AL138" cm="1">
        <f t="array" ref="AL138">_xlfn.IFS(K138&lt;9,2000,K138&lt;10,3500,K138&lt;12,5000,K138&lt;14,6500)</f>
        <v>2000</v>
      </c>
      <c r="AM138">
        <f>MATCH(AJ138,$AW$10:$BJ$10,1)</f>
        <v>2</v>
      </c>
      <c r="AN138">
        <v>175</v>
      </c>
      <c r="AO138">
        <f>(AE138*AN138/760)/$AS$14</f>
        <v>0</v>
      </c>
      <c r="AP138">
        <f t="shared" si="60"/>
        <v>0</v>
      </c>
      <c r="AQ138" s="21">
        <f>SUM(AP$3:AP138)</f>
        <v>89.843974879443564</v>
      </c>
    </row>
    <row r="139" spans="1:43">
      <c r="A139">
        <f t="shared" si="45"/>
        <v>1215.875</v>
      </c>
      <c r="B139">
        <f t="shared" si="46"/>
        <v>1.028319727911291</v>
      </c>
      <c r="C139">
        <f t="shared" si="47"/>
        <v>151.77953636797744</v>
      </c>
      <c r="D139" s="4">
        <v>115.14286387999999</v>
      </c>
      <c r="E139">
        <f t="shared" si="48"/>
        <v>31.088573247599999</v>
      </c>
      <c r="F139" s="4">
        <v>36.76</v>
      </c>
      <c r="G139" s="20">
        <f t="shared" si="49"/>
        <v>136.012</v>
      </c>
      <c r="J139" s="7">
        <v>8.6357147909999998</v>
      </c>
      <c r="K139">
        <f t="shared" si="50"/>
        <v>8.6357147909999998</v>
      </c>
      <c r="L139">
        <f t="shared" si="61"/>
        <v>27.361776615203947</v>
      </c>
      <c r="M139">
        <f t="shared" si="62"/>
        <v>9.9785839427988243E-3</v>
      </c>
      <c r="N139">
        <f>M139*$AU$2</f>
        <v>6.0071075335648922</v>
      </c>
      <c r="O139">
        <v>143.30000000000001</v>
      </c>
      <c r="P139">
        <f t="shared" si="51"/>
        <v>14.330000000000002</v>
      </c>
      <c r="Q139">
        <f t="shared" si="52"/>
        <v>2.2100000000000026</v>
      </c>
      <c r="R139">
        <f t="shared" si="63"/>
        <v>0.16000000000000014</v>
      </c>
      <c r="S139">
        <f>(0.5*$AU$2*(J139*J139))/1000</f>
        <v>22.447246555400351</v>
      </c>
      <c r="T139">
        <f>($AU$2*9.81*Q139)/1000</f>
        <v>13.051420200000015</v>
      </c>
      <c r="U139">
        <f t="shared" si="43"/>
        <v>-9.0140845070424622E-3</v>
      </c>
      <c r="V139">
        <f t="shared" si="44"/>
        <v>-9.0138403763129083E-3</v>
      </c>
      <c r="W139">
        <f t="shared" si="53"/>
        <v>-0.51645501076734335</v>
      </c>
      <c r="X139">
        <f>($AU$2*9.81*SIN(W139))</f>
        <v>-2916.1987732458415</v>
      </c>
      <c r="Y139">
        <f>(0.08*($AU$2*9.81))</f>
        <v>472.44959999999998</v>
      </c>
      <c r="Z139">
        <f t="shared" si="54"/>
        <v>-2.4103802890970729</v>
      </c>
      <c r="AA139">
        <f>SUM(Z$3:Z139)</f>
        <v>105.24969360453308</v>
      </c>
      <c r="AB139">
        <v>0.55000000000000004</v>
      </c>
      <c r="AC139" s="7">
        <f t="shared" si="55"/>
        <v>-20.815356714490449</v>
      </c>
      <c r="AD139" s="21">
        <f>IF(AC139&gt;$AX$2,J139-1,AC139)</f>
        <v>-20.815356714490449</v>
      </c>
      <c r="AE139" s="21">
        <f t="shared" si="56"/>
        <v>0</v>
      </c>
      <c r="AF139" s="22">
        <f t="shared" si="57"/>
        <v>-20.815356714490449</v>
      </c>
      <c r="AG139" s="21">
        <f t="shared" si="58"/>
        <v>20.815356714490449</v>
      </c>
      <c r="AH139" s="21">
        <f>SUM(AE$3:AE139)</f>
        <v>665.07119383680754</v>
      </c>
      <c r="AI139" s="21">
        <f>SUM(AG$3:AG139)</f>
        <v>1785.3437377211349</v>
      </c>
      <c r="AJ139" s="23">
        <f t="shared" si="59"/>
        <v>0</v>
      </c>
      <c r="AK139" cm="1">
        <f t="array" ref="AK139">_xlfn.IFS(K139&lt;4,1,K139&lt;8,2,K139&gt;8,3)</f>
        <v>3</v>
      </c>
      <c r="AL139" cm="1">
        <f t="array" ref="AL139">_xlfn.IFS(K139&lt;9,2000,K139&lt;10,3500,K139&lt;12,5000,K139&lt;14,6500)</f>
        <v>2000</v>
      </c>
      <c r="AM139">
        <f>MATCH(AJ139,$AW$10:$BJ$10,1)</f>
        <v>2</v>
      </c>
      <c r="AN139">
        <v>175</v>
      </c>
      <c r="AO139">
        <f>(AE139*AN139/760)/$AS$14</f>
        <v>0</v>
      </c>
      <c r="AP139">
        <f t="shared" si="60"/>
        <v>0</v>
      </c>
      <c r="AQ139" s="21">
        <f>SUM(AP$3:AP139)</f>
        <v>89.843974879443564</v>
      </c>
    </row>
    <row r="140" spans="1:43">
      <c r="A140">
        <f t="shared" si="45"/>
        <v>1224.75</v>
      </c>
      <c r="B140">
        <f t="shared" si="46"/>
        <v>1.0243203690208027</v>
      </c>
      <c r="C140">
        <f t="shared" si="47"/>
        <v>152.80385673699826</v>
      </c>
      <c r="D140" s="4">
        <v>115.904642178</v>
      </c>
      <c r="E140">
        <f t="shared" si="48"/>
        <v>31.294253388060003</v>
      </c>
      <c r="F140" s="4">
        <v>37.04</v>
      </c>
      <c r="G140" s="20">
        <f t="shared" si="49"/>
        <v>137.048</v>
      </c>
      <c r="J140" s="7">
        <v>8.6928481633499999</v>
      </c>
      <c r="K140">
        <f t="shared" si="50"/>
        <v>8.6928481633499999</v>
      </c>
      <c r="L140">
        <f t="shared" si="61"/>
        <v>27.725022012198984</v>
      </c>
      <c r="M140">
        <f t="shared" si="62"/>
        <v>5.5776858566832954E-2</v>
      </c>
      <c r="N140">
        <f>M140*$AU$2</f>
        <v>33.577668857233441</v>
      </c>
      <c r="O140">
        <v>142.5</v>
      </c>
      <c r="P140">
        <f t="shared" si="51"/>
        <v>14.25</v>
      </c>
      <c r="Q140">
        <f t="shared" si="52"/>
        <v>2.1300000000000008</v>
      </c>
      <c r="R140">
        <f t="shared" si="63"/>
        <v>8.0000000000001847E-2</v>
      </c>
      <c r="S140">
        <f>(0.5*$AU$2*(J140*J140))/1000</f>
        <v>22.745248366508296</v>
      </c>
      <c r="T140">
        <f>($AU$2*9.81*Q140)/1000</f>
        <v>12.578970600000003</v>
      </c>
      <c r="U140">
        <f t="shared" si="43"/>
        <v>-5.6338028169012882E-3</v>
      </c>
      <c r="V140">
        <f t="shared" si="44"/>
        <v>-5.6337432129017631E-3</v>
      </c>
      <c r="W140">
        <f t="shared" si="53"/>
        <v>-0.3227897089597434</v>
      </c>
      <c r="X140">
        <f>($AU$2*9.81*SIN(W140))</f>
        <v>-1873.3419391500872</v>
      </c>
      <c r="Y140">
        <f>(0.08*($AU$2*9.81))</f>
        <v>472.44959999999998</v>
      </c>
      <c r="Z140">
        <f t="shared" si="54"/>
        <v>-1.3395896482806549</v>
      </c>
      <c r="AA140">
        <f>SUM(Z$3:Z140)</f>
        <v>103.91010395625243</v>
      </c>
      <c r="AB140">
        <v>0.55000000000000004</v>
      </c>
      <c r="AC140" s="7">
        <f t="shared" si="55"/>
        <v>-11.644849413699163</v>
      </c>
      <c r="AD140" s="21">
        <f>IF(AC140&gt;$AX$2,J140-1,AC140)</f>
        <v>-11.644849413699163</v>
      </c>
      <c r="AE140" s="21">
        <f t="shared" si="56"/>
        <v>0</v>
      </c>
      <c r="AF140" s="22">
        <f t="shared" si="57"/>
        <v>-11.644849413699163</v>
      </c>
      <c r="AG140" s="21">
        <f t="shared" si="58"/>
        <v>11.644849413699163</v>
      </c>
      <c r="AH140" s="21">
        <f>SUM(AE$3:AE140)</f>
        <v>665.07119383680754</v>
      </c>
      <c r="AI140" s="21">
        <f>SUM(AG$3:AG140)</f>
        <v>1796.988587134834</v>
      </c>
      <c r="AJ140" s="23">
        <f t="shared" si="59"/>
        <v>0</v>
      </c>
      <c r="AK140" cm="1">
        <f t="array" ref="AK140">_xlfn.IFS(K140&lt;4,1,K140&lt;8,2,K140&gt;8,3)</f>
        <v>3</v>
      </c>
      <c r="AL140" cm="1">
        <f t="array" ref="AL140">_xlfn.IFS(K140&lt;9,2000,K140&lt;10,3500,K140&lt;12,5000,K140&lt;14,6500)</f>
        <v>2000</v>
      </c>
      <c r="AM140">
        <f>MATCH(AJ140,$AW$10:$BJ$10,1)</f>
        <v>2</v>
      </c>
      <c r="AN140">
        <v>175</v>
      </c>
      <c r="AO140">
        <f>(AE140*AN140/760)/$AS$14</f>
        <v>0</v>
      </c>
      <c r="AP140">
        <f t="shared" si="60"/>
        <v>0</v>
      </c>
      <c r="AQ140" s="21">
        <f>SUM(AP$3:AP140)</f>
        <v>89.843974879443564</v>
      </c>
    </row>
    <row r="141" spans="1:43">
      <c r="A141">
        <f t="shared" si="45"/>
        <v>1233.625</v>
      </c>
      <c r="B141">
        <f t="shared" si="46"/>
        <v>1.0148146977867649</v>
      </c>
      <c r="C141">
        <f t="shared" si="47"/>
        <v>153.81867143478502</v>
      </c>
      <c r="D141" s="4">
        <v>117.307063548</v>
      </c>
      <c r="E141">
        <f t="shared" si="48"/>
        <v>31.672907157960001</v>
      </c>
      <c r="F141" s="4">
        <v>37.31</v>
      </c>
      <c r="G141" s="20">
        <f t="shared" si="49"/>
        <v>138.04700000000003</v>
      </c>
      <c r="J141" s="7">
        <v>8.7980297661000009</v>
      </c>
      <c r="K141">
        <f t="shared" si="50"/>
        <v>8.7980297661000009</v>
      </c>
      <c r="L141">
        <f t="shared" si="61"/>
        <v>28.400014757045142</v>
      </c>
      <c r="M141">
        <f t="shared" si="62"/>
        <v>0.1036461168520663</v>
      </c>
      <c r="N141">
        <f>M141*$AU$2</f>
        <v>62.394962344943913</v>
      </c>
      <c r="O141">
        <v>142</v>
      </c>
      <c r="P141">
        <f t="shared" si="51"/>
        <v>14.200000000000001</v>
      </c>
      <c r="Q141">
        <f t="shared" si="52"/>
        <v>2.0800000000000018</v>
      </c>
      <c r="R141">
        <f t="shared" si="63"/>
        <v>4.9999999999998934E-2</v>
      </c>
      <c r="S141">
        <f>(0.5*$AU$2*(J141*J141))/1000</f>
        <v>23.299003657319673</v>
      </c>
      <c r="T141">
        <f>($AU$2*9.81*Q141)/1000</f>
        <v>12.283689600000011</v>
      </c>
      <c r="U141">
        <f t="shared" si="43"/>
        <v>-4.5070422535212311E-3</v>
      </c>
      <c r="V141">
        <f t="shared" si="44"/>
        <v>-4.5070117360642582E-3</v>
      </c>
      <c r="W141">
        <f t="shared" si="53"/>
        <v>-0.25823275069241208</v>
      </c>
      <c r="X141">
        <f>($AU$2*9.81*SIN(W141))</f>
        <v>-1508.131758241545</v>
      </c>
      <c r="Y141">
        <f>(0.08*($AU$2*9.81))</f>
        <v>472.44959999999998</v>
      </c>
      <c r="Z141">
        <f t="shared" si="54"/>
        <v>-0.94488718113955605</v>
      </c>
      <c r="AA141">
        <f>SUM(Z$3:Z141)</f>
        <v>102.96521677511288</v>
      </c>
      <c r="AB141">
        <v>0.55000000000000004</v>
      </c>
      <c r="AC141" s="7">
        <f t="shared" si="55"/>
        <v>-8.3131455452721372</v>
      </c>
      <c r="AD141" s="21">
        <f>IF(AC141&gt;$AX$2,J141-1,AC141)</f>
        <v>-8.3131455452721372</v>
      </c>
      <c r="AE141" s="21">
        <f t="shared" si="56"/>
        <v>0</v>
      </c>
      <c r="AF141" s="22">
        <f t="shared" si="57"/>
        <v>-8.3131455452721372</v>
      </c>
      <c r="AG141" s="21">
        <f t="shared" si="58"/>
        <v>8.3131455452721372</v>
      </c>
      <c r="AH141" s="21">
        <f>SUM(AE$3:AE141)</f>
        <v>665.07119383680754</v>
      </c>
      <c r="AI141" s="21">
        <f>SUM(AG$3:AG141)</f>
        <v>1805.3017326801062</v>
      </c>
      <c r="AJ141" s="23">
        <f t="shared" si="59"/>
        <v>0</v>
      </c>
      <c r="AK141" cm="1">
        <f t="array" ref="AK141">_xlfn.IFS(K141&lt;4,1,K141&lt;8,2,K141&gt;8,3)</f>
        <v>3</v>
      </c>
      <c r="AL141" cm="1">
        <f t="array" ref="AL141">_xlfn.IFS(K141&lt;9,2000,K141&lt;10,3500,K141&lt;12,5000,K141&lt;14,6500)</f>
        <v>2000</v>
      </c>
      <c r="AM141">
        <f>MATCH(AJ141,$AW$10:$BJ$10,1)</f>
        <v>2</v>
      </c>
      <c r="AN141">
        <v>175</v>
      </c>
      <c r="AO141">
        <f>(AE141*AN141/760)/$AS$14</f>
        <v>0</v>
      </c>
      <c r="AP141">
        <f t="shared" si="60"/>
        <v>0</v>
      </c>
      <c r="AQ141" s="21">
        <f>SUM(AP$3:AP141)</f>
        <v>89.843974879443564</v>
      </c>
    </row>
    <row r="142" spans="1:43">
      <c r="A142">
        <f t="shared" si="45"/>
        <v>1242.5</v>
      </c>
      <c r="B142">
        <f t="shared" si="46"/>
        <v>0.99975684863274128</v>
      </c>
      <c r="C142">
        <f t="shared" si="47"/>
        <v>154.81842828341775</v>
      </c>
      <c r="D142" s="4">
        <v>119.417162938</v>
      </c>
      <c r="E142">
        <f t="shared" si="48"/>
        <v>32.24263399326</v>
      </c>
      <c r="F142" s="4">
        <v>37.58</v>
      </c>
      <c r="G142" s="20">
        <f t="shared" si="49"/>
        <v>139.04599999999999</v>
      </c>
      <c r="J142" s="7">
        <v>8.9562872203499992</v>
      </c>
      <c r="K142">
        <f t="shared" si="50"/>
        <v>8.9562872203499992</v>
      </c>
      <c r="L142">
        <f t="shared" si="61"/>
        <v>29.430913135762193</v>
      </c>
      <c r="M142">
        <f t="shared" si="62"/>
        <v>0.158295944125246</v>
      </c>
      <c r="N142">
        <f>M142*$AU$2</f>
        <v>95.294158363398097</v>
      </c>
      <c r="O142">
        <v>141.6</v>
      </c>
      <c r="P142">
        <f t="shared" si="51"/>
        <v>14.16</v>
      </c>
      <c r="Q142">
        <f t="shared" si="52"/>
        <v>2.0400000000000009</v>
      </c>
      <c r="R142">
        <f t="shared" si="63"/>
        <v>4.0000000000000924E-2</v>
      </c>
      <c r="S142">
        <f>(0.5*$AU$2*(J142*J142))/1000</f>
        <v>24.144739312794819</v>
      </c>
      <c r="T142">
        <f>($AU$2*9.81*Q142)/1000</f>
        <v>12.047464800000006</v>
      </c>
      <c r="U142">
        <f t="shared" si="43"/>
        <v>-3.3802816901405729E-3</v>
      </c>
      <c r="V142">
        <f t="shared" si="44"/>
        <v>-3.3802688155197625E-3</v>
      </c>
      <c r="W142">
        <f t="shared" si="53"/>
        <v>-0.19367513674896827</v>
      </c>
      <c r="X142">
        <f>($AU$2*9.81*SIN(W142))</f>
        <v>-1136.6346689204208</v>
      </c>
      <c r="Y142">
        <f>(0.08*($AU$2*9.81))</f>
        <v>472.44959999999998</v>
      </c>
      <c r="Z142">
        <f t="shared" si="54"/>
        <v>-0.53945999742126061</v>
      </c>
      <c r="AA142">
        <f>SUM(Z$3:Z142)</f>
        <v>102.42575677769162</v>
      </c>
      <c r="AB142">
        <v>0.55000000000000004</v>
      </c>
      <c r="AC142" s="7">
        <f t="shared" si="55"/>
        <v>-4.83155868079408</v>
      </c>
      <c r="AD142" s="21">
        <f>IF(AC142&gt;$AX$2,J142-1,AC142)</f>
        <v>-4.83155868079408</v>
      </c>
      <c r="AE142" s="21">
        <f t="shared" si="56"/>
        <v>0</v>
      </c>
      <c r="AF142" s="22">
        <f t="shared" si="57"/>
        <v>-4.83155868079408</v>
      </c>
      <c r="AG142" s="21">
        <f t="shared" si="58"/>
        <v>4.83155868079408</v>
      </c>
      <c r="AH142" s="21">
        <f>SUM(AE$3:AE142)</f>
        <v>665.07119383680754</v>
      </c>
      <c r="AI142" s="21">
        <f>SUM(AG$3:AG142)</f>
        <v>1810.1332913609003</v>
      </c>
      <c r="AJ142" s="23">
        <f t="shared" si="59"/>
        <v>0</v>
      </c>
      <c r="AK142" cm="1">
        <f t="array" ref="AK142">_xlfn.IFS(K142&lt;4,1,K142&lt;8,2,K142&gt;8,3)</f>
        <v>3</v>
      </c>
      <c r="AL142" cm="1">
        <f t="array" ref="AL142">_xlfn.IFS(K142&lt;9,2000,K142&lt;10,3500,K142&lt;12,5000,K142&lt;14,6500)</f>
        <v>2000</v>
      </c>
      <c r="AM142">
        <f>MATCH(AJ142,$AW$10:$BJ$10,1)</f>
        <v>2</v>
      </c>
      <c r="AN142">
        <v>175</v>
      </c>
      <c r="AO142">
        <f>(AE142*AN142/760)/$AS$14</f>
        <v>0</v>
      </c>
      <c r="AP142">
        <f t="shared" si="60"/>
        <v>0</v>
      </c>
      <c r="AQ142" s="21">
        <f>SUM(AP$3:AP142)</f>
        <v>89.843974879443564</v>
      </c>
    </row>
    <row r="143" spans="1:43">
      <c r="A143">
        <f t="shared" si="45"/>
        <v>1251.375</v>
      </c>
      <c r="B143">
        <f t="shared" si="46"/>
        <v>0.97895839866325596</v>
      </c>
      <c r="C143">
        <f t="shared" si="47"/>
        <v>155.797386682081</v>
      </c>
      <c r="D143" s="4">
        <v>122.336385517</v>
      </c>
      <c r="E143">
        <f t="shared" si="48"/>
        <v>33.030824089589998</v>
      </c>
      <c r="F143" s="4">
        <v>37.85</v>
      </c>
      <c r="G143" s="20">
        <f t="shared" si="49"/>
        <v>140.04500000000002</v>
      </c>
      <c r="J143" s="7">
        <v>9.1752289137750012</v>
      </c>
      <c r="K143">
        <f t="shared" si="50"/>
        <v>9.1752289137750012</v>
      </c>
      <c r="L143">
        <f t="shared" si="61"/>
        <v>30.887412520041398</v>
      </c>
      <c r="M143">
        <f t="shared" si="62"/>
        <v>0.22364759700101899</v>
      </c>
      <c r="N143">
        <f>M143*$AU$2</f>
        <v>134.63585339461343</v>
      </c>
      <c r="O143">
        <v>141.30000000000001</v>
      </c>
      <c r="P143">
        <f t="shared" si="51"/>
        <v>14.130000000000003</v>
      </c>
      <c r="Q143">
        <f t="shared" si="52"/>
        <v>2.0100000000000033</v>
      </c>
      <c r="R143">
        <f t="shared" si="63"/>
        <v>2.9999999999997584E-2</v>
      </c>
      <c r="S143">
        <f>(0.5*$AU$2*(J143*J143))/1000</f>
        <v>25.339632511672011</v>
      </c>
      <c r="T143">
        <f>($AU$2*9.81*Q143)/1000</f>
        <v>11.870296200000018</v>
      </c>
      <c r="U143">
        <f t="shared" si="43"/>
        <v>-2.2535211267609156E-3</v>
      </c>
      <c r="V143">
        <f t="shared" si="44"/>
        <v>-2.2535173120439241E-3</v>
      </c>
      <c r="W143">
        <f t="shared" si="53"/>
        <v>-0.12911703103978261</v>
      </c>
      <c r="X143">
        <f>($AU$2*9.81*SIN(W143))</f>
        <v>-760.39920875578082</v>
      </c>
      <c r="Y143">
        <f>(0.08*($AU$2*9.81))</f>
        <v>472.44959999999998</v>
      </c>
      <c r="Z143">
        <f t="shared" si="54"/>
        <v>-0.12242634284112597</v>
      </c>
      <c r="AA143">
        <f>SUM(Z$3:Z143)</f>
        <v>102.30333043485049</v>
      </c>
      <c r="AB143">
        <v>0.55000000000000004</v>
      </c>
      <c r="AC143" s="7">
        <f t="shared" si="55"/>
        <v>-1.1232897206436301</v>
      </c>
      <c r="AD143" s="21">
        <f>IF(AC143&gt;$AX$2,J143-1,AC143)</f>
        <v>-1.1232897206436301</v>
      </c>
      <c r="AE143" s="21">
        <f t="shared" si="56"/>
        <v>0</v>
      </c>
      <c r="AF143" s="22">
        <f t="shared" si="57"/>
        <v>-1.1232897206436301</v>
      </c>
      <c r="AG143" s="21">
        <f t="shared" si="58"/>
        <v>1.1232897206436301</v>
      </c>
      <c r="AH143" s="21">
        <f>SUM(AE$3:AE143)</f>
        <v>665.07119383680754</v>
      </c>
      <c r="AI143" s="21">
        <f>SUM(AG$3:AG143)</f>
        <v>1811.256581081544</v>
      </c>
      <c r="AJ143" s="23">
        <f t="shared" si="59"/>
        <v>0</v>
      </c>
      <c r="AK143" cm="1">
        <f t="array" ref="AK143">_xlfn.IFS(K143&lt;4,1,K143&lt;8,2,K143&gt;8,3)</f>
        <v>3</v>
      </c>
      <c r="AL143" cm="1">
        <f t="array" ref="AL143">_xlfn.IFS(K143&lt;9,2000,K143&lt;10,3500,K143&lt;12,5000,K143&lt;14,6500)</f>
        <v>3500</v>
      </c>
      <c r="AM143">
        <f>MATCH(AJ143,$AW$10:$BJ$10,1)</f>
        <v>2</v>
      </c>
      <c r="AN143">
        <v>175</v>
      </c>
      <c r="AO143">
        <f>(AE143*AN143/760)/$AS$14</f>
        <v>0</v>
      </c>
      <c r="AP143">
        <f t="shared" si="60"/>
        <v>0</v>
      </c>
      <c r="AQ143" s="21">
        <f>SUM(AP$3:AP143)</f>
        <v>89.843974879443564</v>
      </c>
    </row>
    <row r="144" spans="1:43">
      <c r="A144">
        <f t="shared" si="45"/>
        <v>1260.25</v>
      </c>
      <c r="B144">
        <f t="shared" si="46"/>
        <v>0.95419848317221079</v>
      </c>
      <c r="C144">
        <f t="shared" si="47"/>
        <v>156.7515851652532</v>
      </c>
      <c r="D144" s="4">
        <v>125.69027857899999</v>
      </c>
      <c r="E144">
        <f t="shared" si="48"/>
        <v>33.936375216329999</v>
      </c>
      <c r="F144" s="4">
        <v>38.11</v>
      </c>
      <c r="G144" s="20">
        <f t="shared" si="49"/>
        <v>141.00700000000001</v>
      </c>
      <c r="J144" s="7">
        <v>9.426770893425001</v>
      </c>
      <c r="K144">
        <f t="shared" si="50"/>
        <v>9.426770893425001</v>
      </c>
      <c r="L144">
        <f t="shared" si="61"/>
        <v>32.60420507715709</v>
      </c>
      <c r="M144">
        <f t="shared" si="62"/>
        <v>0.26361599194095925</v>
      </c>
      <c r="N144">
        <f>M144*$AU$2</f>
        <v>158.69682714845746</v>
      </c>
      <c r="O144">
        <v>141.1</v>
      </c>
      <c r="P144">
        <f t="shared" si="51"/>
        <v>14.11</v>
      </c>
      <c r="Q144">
        <f t="shared" si="52"/>
        <v>1.9900000000000002</v>
      </c>
      <c r="R144">
        <f t="shared" si="63"/>
        <v>2.0000000000003126E-2</v>
      </c>
      <c r="S144">
        <f>(0.5*$AU$2*(J144*J144))/1000</f>
        <v>26.748066852614564</v>
      </c>
      <c r="T144">
        <f>($AU$2*9.81*Q144)/1000</f>
        <v>11.752183800000001</v>
      </c>
      <c r="U144">
        <f t="shared" si="43"/>
        <v>-3.3802816901405729E-3</v>
      </c>
      <c r="V144">
        <f t="shared" si="44"/>
        <v>-3.3802688155197625E-3</v>
      </c>
      <c r="W144">
        <f t="shared" si="53"/>
        <v>-0.19367513674896827</v>
      </c>
      <c r="X144">
        <f>($AU$2*9.81*SIN(W144))</f>
        <v>-1136.6346689204208</v>
      </c>
      <c r="Y144">
        <f>(0.08*($AU$2*9.81))</f>
        <v>472.44959999999998</v>
      </c>
      <c r="Z144">
        <f t="shared" si="54"/>
        <v>-0.47288403669480628</v>
      </c>
      <c r="AA144">
        <f>SUM(Z$3:Z144)</f>
        <v>101.83044639815569</v>
      </c>
      <c r="AB144">
        <v>0.55000000000000004</v>
      </c>
      <c r="AC144" s="7">
        <f t="shared" si="55"/>
        <v>-4.45776947307992</v>
      </c>
      <c r="AD144" s="21">
        <f>IF(AC144&gt;$AX$2,J144-1,AC144)</f>
        <v>-4.45776947307992</v>
      </c>
      <c r="AE144" s="21">
        <f t="shared" si="56"/>
        <v>0</v>
      </c>
      <c r="AF144" s="22">
        <f t="shared" si="57"/>
        <v>-4.45776947307992</v>
      </c>
      <c r="AG144" s="21">
        <f t="shared" si="58"/>
        <v>4.45776947307992</v>
      </c>
      <c r="AH144" s="21">
        <f>SUM(AE$3:AE144)</f>
        <v>665.07119383680754</v>
      </c>
      <c r="AI144" s="21">
        <f>SUM(AG$3:AG144)</f>
        <v>1815.7143505546239</v>
      </c>
      <c r="AJ144" s="23">
        <f t="shared" si="59"/>
        <v>0</v>
      </c>
      <c r="AK144" cm="1">
        <f t="array" ref="AK144">_xlfn.IFS(K144&lt;4,1,K144&lt;8,2,K144&gt;8,3)</f>
        <v>3</v>
      </c>
      <c r="AL144" cm="1">
        <f t="array" ref="AL144">_xlfn.IFS(K144&lt;9,2000,K144&lt;10,3500,K144&lt;12,5000,K144&lt;14,6500)</f>
        <v>3500</v>
      </c>
      <c r="AM144">
        <f>MATCH(AJ144,$AW$10:$BJ$10,1)</f>
        <v>2</v>
      </c>
      <c r="AN144">
        <v>175</v>
      </c>
      <c r="AO144">
        <f>(AE144*AN144/760)/$AS$14</f>
        <v>0</v>
      </c>
      <c r="AP144">
        <f t="shared" si="60"/>
        <v>0</v>
      </c>
      <c r="AQ144" s="21">
        <f>SUM(AP$3:AP144)</f>
        <v>89.843974879443564</v>
      </c>
    </row>
    <row r="145" spans="1:44">
      <c r="A145">
        <f t="shared" si="45"/>
        <v>1269.125</v>
      </c>
      <c r="B145">
        <f t="shared" si="46"/>
        <v>0.9298741272137423</v>
      </c>
      <c r="C145">
        <f t="shared" si="47"/>
        <v>157.68145929246694</v>
      </c>
      <c r="D145" s="4">
        <v>128.824455986</v>
      </c>
      <c r="E145">
        <f t="shared" si="48"/>
        <v>34.782603116220002</v>
      </c>
      <c r="F145" s="4">
        <v>38.39</v>
      </c>
      <c r="G145" s="20">
        <f t="shared" si="49"/>
        <v>142.04300000000001</v>
      </c>
      <c r="J145" s="7">
        <v>9.6618341989500003</v>
      </c>
      <c r="K145">
        <f t="shared" si="50"/>
        <v>9.6618341989500003</v>
      </c>
      <c r="L145">
        <f t="shared" si="61"/>
        <v>34.250496608287122</v>
      </c>
      <c r="M145">
        <f t="shared" si="62"/>
        <v>0.25279045695070601</v>
      </c>
      <c r="N145">
        <f>M145*$AU$2</f>
        <v>152.17985508432503</v>
      </c>
      <c r="O145">
        <v>140.80000000000001</v>
      </c>
      <c r="P145">
        <f t="shared" si="51"/>
        <v>14.080000000000002</v>
      </c>
      <c r="Q145">
        <f t="shared" si="52"/>
        <v>1.9600000000000026</v>
      </c>
      <c r="R145">
        <f t="shared" si="63"/>
        <v>2.9999999999997584E-2</v>
      </c>
      <c r="S145">
        <f>(0.5*$AU$2*(J145*J145))/1000</f>
        <v>28.098663066487937</v>
      </c>
      <c r="T145">
        <f>($AU$2*9.81*Q145)/1000</f>
        <v>11.575015200000017</v>
      </c>
      <c r="U145">
        <f t="shared" si="43"/>
        <v>-3.3802816901409732E-3</v>
      </c>
      <c r="V145">
        <f t="shared" si="44"/>
        <v>-3.3802688155201628E-3</v>
      </c>
      <c r="W145">
        <f t="shared" si="53"/>
        <v>-0.1936751367489912</v>
      </c>
      <c r="X145">
        <f>($AU$2*9.81*SIN(W145))</f>
        <v>-1136.6346689205536</v>
      </c>
      <c r="Y145">
        <f>(0.08*($AU$2*9.81))</f>
        <v>472.44959999999998</v>
      </c>
      <c r="Z145">
        <f t="shared" si="54"/>
        <v>-0.47775471722794149</v>
      </c>
      <c r="AA145">
        <f>SUM(Z$3:Z145)</f>
        <v>101.35269168092775</v>
      </c>
      <c r="AB145">
        <v>0.55000000000000004</v>
      </c>
      <c r="AC145" s="7">
        <f t="shared" si="55"/>
        <v>-4.6159868656226122</v>
      </c>
      <c r="AD145" s="21">
        <f>IF(AC145&gt;$AX$2,J145-1,AC145)</f>
        <v>-4.6159868656226122</v>
      </c>
      <c r="AE145" s="21">
        <f t="shared" si="56"/>
        <v>0</v>
      </c>
      <c r="AF145" s="22">
        <f t="shared" si="57"/>
        <v>-4.6159868656226122</v>
      </c>
      <c r="AG145" s="21">
        <f t="shared" si="58"/>
        <v>4.6159868656226122</v>
      </c>
      <c r="AH145" s="21">
        <f>SUM(AE$3:AE145)</f>
        <v>665.07119383680754</v>
      </c>
      <c r="AI145" s="21">
        <f>SUM(AG$3:AG145)</f>
        <v>1820.3303374202465</v>
      </c>
      <c r="AJ145" s="23">
        <f t="shared" si="59"/>
        <v>0</v>
      </c>
      <c r="AK145" cm="1">
        <f t="array" ref="AK145">_xlfn.IFS(K145&lt;4,1,K145&lt;8,2,K145&gt;8,3)</f>
        <v>3</v>
      </c>
      <c r="AL145" cm="1">
        <f t="array" ref="AL145">_xlfn.IFS(K145&lt;9,2000,K145&lt;10,3500,K145&lt;12,5000,K145&lt;14,6500)</f>
        <v>3500</v>
      </c>
      <c r="AM145">
        <f>MATCH(AJ145,$AW$10:$BJ$10,1)</f>
        <v>2</v>
      </c>
      <c r="AN145">
        <v>175</v>
      </c>
      <c r="AO145">
        <f>(AE145*AN145/760)/$AS$14</f>
        <v>0</v>
      </c>
      <c r="AP145">
        <f t="shared" si="60"/>
        <v>0</v>
      </c>
      <c r="AQ145" s="21">
        <f>SUM(AP$3:AP145)</f>
        <v>89.843974879443564</v>
      </c>
    </row>
    <row r="146" spans="1:44">
      <c r="A146">
        <f t="shared" si="45"/>
        <v>1278</v>
      </c>
      <c r="B146">
        <f t="shared" si="46"/>
        <v>0.90846954181859507</v>
      </c>
      <c r="C146">
        <f t="shared" si="47"/>
        <v>158.58992883428553</v>
      </c>
      <c r="D146" s="4">
        <v>131.686937927</v>
      </c>
      <c r="E146">
        <f t="shared" si="48"/>
        <v>35.555473240290006</v>
      </c>
      <c r="F146" s="4">
        <v>38.659999999999997</v>
      </c>
      <c r="G146" s="20">
        <f t="shared" si="49"/>
        <v>143.042</v>
      </c>
      <c r="J146" s="7">
        <v>9.8765203445250016</v>
      </c>
      <c r="K146">
        <f t="shared" si="50"/>
        <v>9.8765203445250016</v>
      </c>
      <c r="L146">
        <f t="shared" si="61"/>
        <v>35.789500495092987</v>
      </c>
      <c r="M146">
        <f t="shared" si="62"/>
        <v>0.23631628325726678</v>
      </c>
      <c r="N146">
        <f>M146*$AU$2</f>
        <v>142.26240252087459</v>
      </c>
      <c r="O146">
        <v>140.5</v>
      </c>
      <c r="P146">
        <f t="shared" si="51"/>
        <v>14.05</v>
      </c>
      <c r="Q146">
        <f t="shared" si="52"/>
        <v>1.9300000000000015</v>
      </c>
      <c r="R146">
        <f t="shared" si="63"/>
        <v>3.0000000000001137E-2</v>
      </c>
      <c r="S146">
        <f>(0.5*$AU$2*(J146*J146))/1000</f>
        <v>29.361241888860697</v>
      </c>
      <c r="T146">
        <f>($AU$2*9.81*Q146)/1000</f>
        <v>11.397846600000008</v>
      </c>
      <c r="U146">
        <f t="shared" si="43"/>
        <v>-3.3802816901409732E-3</v>
      </c>
      <c r="V146">
        <f t="shared" si="44"/>
        <v>-3.3802688155201628E-3</v>
      </c>
      <c r="W146">
        <f t="shared" si="53"/>
        <v>-0.1936751367489912</v>
      </c>
      <c r="X146">
        <f>($AU$2*9.81*SIN(W146))</f>
        <v>-1136.6346689205536</v>
      </c>
      <c r="Y146">
        <f>(0.08*($AU$2*9.81))</f>
        <v>472.44959999999998</v>
      </c>
      <c r="Z146">
        <f t="shared" si="54"/>
        <v>-0.48613316590458605</v>
      </c>
      <c r="AA146">
        <f>SUM(Z$3:Z146)</f>
        <v>100.86655851502316</v>
      </c>
      <c r="AB146">
        <v>0.55000000000000004</v>
      </c>
      <c r="AC146" s="7">
        <f t="shared" si="55"/>
        <v>-4.8013041032049921</v>
      </c>
      <c r="AD146" s="21">
        <f>IF(AC146&gt;$AX$2,J146-1,AC146)</f>
        <v>-4.8013041032049921</v>
      </c>
      <c r="AE146" s="21">
        <f t="shared" si="56"/>
        <v>0</v>
      </c>
      <c r="AF146" s="22">
        <f t="shared" si="57"/>
        <v>-4.8013041032049921</v>
      </c>
      <c r="AG146" s="21">
        <f t="shared" si="58"/>
        <v>4.8013041032049921</v>
      </c>
      <c r="AH146" s="21">
        <f>SUM(AE$3:AE146)</f>
        <v>665.07119383680754</v>
      </c>
      <c r="AI146" s="21">
        <f>SUM(AG$3:AG146)</f>
        <v>1825.1316415234514</v>
      </c>
      <c r="AJ146" s="23">
        <f t="shared" si="59"/>
        <v>0</v>
      </c>
      <c r="AK146" cm="1">
        <f t="array" ref="AK146">_xlfn.IFS(K146&lt;4,1,K146&lt;8,2,K146&gt;8,3)</f>
        <v>3</v>
      </c>
      <c r="AL146" cm="1">
        <f t="array" ref="AL146">_xlfn.IFS(K146&lt;9,2000,K146&lt;10,3500,K146&lt;12,5000,K146&lt;14,6500)</f>
        <v>3500</v>
      </c>
      <c r="AM146">
        <f>MATCH(AJ146,$AW$10:$BJ$10,1)</f>
        <v>2</v>
      </c>
      <c r="AN146">
        <v>175</v>
      </c>
      <c r="AO146">
        <f>(AE146*AN146/760)/$AS$14</f>
        <v>0</v>
      </c>
      <c r="AP146">
        <f t="shared" si="60"/>
        <v>0</v>
      </c>
      <c r="AQ146" s="21">
        <f>SUM(AP$3:AP146)</f>
        <v>89.843974879443564</v>
      </c>
    </row>
    <row r="147" spans="1:44">
      <c r="A147">
        <f t="shared" si="45"/>
        <v>1286.875</v>
      </c>
      <c r="B147">
        <f t="shared" si="46"/>
        <v>0.88903709678561449</v>
      </c>
      <c r="C147">
        <f t="shared" si="47"/>
        <v>159.47896593107114</v>
      </c>
      <c r="D147" s="4">
        <v>134.51867657700001</v>
      </c>
      <c r="E147">
        <f t="shared" si="48"/>
        <v>36.320042675790006</v>
      </c>
      <c r="F147" s="4">
        <v>38.93</v>
      </c>
      <c r="G147" s="20">
        <f t="shared" si="49"/>
        <v>144.041</v>
      </c>
      <c r="J147" s="7">
        <v>10.088900743275001</v>
      </c>
      <c r="K147">
        <f t="shared" si="50"/>
        <v>10.088900743275001</v>
      </c>
      <c r="L147">
        <f t="shared" si="61"/>
        <v>37.345253390388571</v>
      </c>
      <c r="M147">
        <f t="shared" si="62"/>
        <v>0.238888117850063</v>
      </c>
      <c r="N147">
        <f>M147*$AU$2</f>
        <v>143.81064694573791</v>
      </c>
      <c r="O147">
        <v>140.19999999999999</v>
      </c>
      <c r="P147">
        <f t="shared" si="51"/>
        <v>14.02</v>
      </c>
      <c r="Q147">
        <f t="shared" si="52"/>
        <v>1.9000000000000004</v>
      </c>
      <c r="R147">
        <f t="shared" si="63"/>
        <v>3.0000000000001137E-2</v>
      </c>
      <c r="S147">
        <f>(0.5*$AU$2*(J147*J147))/1000</f>
        <v>30.637561380504117</v>
      </c>
      <c r="T147">
        <f>($AU$2*9.81*Q147)/1000</f>
        <v>11.220678000000001</v>
      </c>
      <c r="U147">
        <f t="shared" si="43"/>
        <v>-2.2535211267605154E-3</v>
      </c>
      <c r="V147">
        <f t="shared" si="44"/>
        <v>-2.2535173120435239E-3</v>
      </c>
      <c r="W147">
        <f t="shared" si="53"/>
        <v>-0.12911703103975969</v>
      </c>
      <c r="X147">
        <f>($AU$2*9.81*SIN(W147))</f>
        <v>-760.39920875564655</v>
      </c>
      <c r="Y147">
        <f>(0.08*($AU$2*9.81))</f>
        <v>472.44959999999998</v>
      </c>
      <c r="Z147">
        <f t="shared" si="54"/>
        <v>-0.1067937084195201</v>
      </c>
      <c r="AA147">
        <f>SUM(Z$3:Z147)</f>
        <v>100.75976480660364</v>
      </c>
      <c r="AB147">
        <v>0.55000000000000004</v>
      </c>
      <c r="AC147" s="7">
        <f t="shared" si="55"/>
        <v>-1.0774311242507901</v>
      </c>
      <c r="AD147" s="21">
        <f>IF(AC147&gt;$AX$2,J147-1,AC147)</f>
        <v>-1.0774311242507901</v>
      </c>
      <c r="AE147" s="21">
        <f t="shared" si="56"/>
        <v>0</v>
      </c>
      <c r="AF147" s="22">
        <f t="shared" si="57"/>
        <v>-1.0774311242507901</v>
      </c>
      <c r="AG147" s="21">
        <f t="shared" si="58"/>
        <v>1.0774311242507901</v>
      </c>
      <c r="AH147" s="21">
        <f>SUM(AE$3:AE147)</f>
        <v>665.07119383680754</v>
      </c>
      <c r="AI147" s="21">
        <f>SUM(AG$3:AG147)</f>
        <v>1826.2090726477022</v>
      </c>
      <c r="AJ147" s="23">
        <f t="shared" si="59"/>
        <v>0</v>
      </c>
      <c r="AK147" cm="1">
        <f t="array" ref="AK147">_xlfn.IFS(K147&lt;4,1,K147&lt;8,2,K147&gt;8,3)</f>
        <v>3</v>
      </c>
      <c r="AL147" cm="1">
        <f t="array" ref="AL147">_xlfn.IFS(K147&lt;9,2000,K147&lt;10,3500,K147&lt;12,5000,K147&lt;14,6500)</f>
        <v>5000</v>
      </c>
      <c r="AM147">
        <f>MATCH(AJ147,$AW$10:$BJ$10,1)</f>
        <v>2</v>
      </c>
      <c r="AN147">
        <v>175</v>
      </c>
      <c r="AO147">
        <f>(AE147*AN147/760)/$AS$14</f>
        <v>0</v>
      </c>
      <c r="AP147">
        <f t="shared" si="60"/>
        <v>0</v>
      </c>
      <c r="AQ147" s="21">
        <f>SUM(AP$3:AP147)</f>
        <v>89.843974879443564</v>
      </c>
    </row>
    <row r="148" spans="1:44">
      <c r="A148">
        <f t="shared" si="45"/>
        <v>1295.75</v>
      </c>
      <c r="B148">
        <f t="shared" si="46"/>
        <v>0.87088867106763013</v>
      </c>
      <c r="C148">
        <f t="shared" si="47"/>
        <v>160.34985460213878</v>
      </c>
      <c r="D148" s="4">
        <v>137.23438960600001</v>
      </c>
      <c r="E148">
        <f t="shared" si="48"/>
        <v>37.053285193620006</v>
      </c>
      <c r="F148" s="4">
        <v>39.19</v>
      </c>
      <c r="G148" s="20">
        <f t="shared" si="49"/>
        <v>145.00299999999999</v>
      </c>
      <c r="J148" s="7">
        <v>10.292579220450003</v>
      </c>
      <c r="K148">
        <f t="shared" si="50"/>
        <v>10.292579220450005</v>
      </c>
      <c r="L148">
        <f t="shared" si="61"/>
        <v>38.868353913689859</v>
      </c>
      <c r="M148">
        <f t="shared" si="62"/>
        <v>0.23387429868080609</v>
      </c>
      <c r="N148">
        <f>M148*$AU$2</f>
        <v>140.79232780584528</v>
      </c>
      <c r="O148">
        <v>140</v>
      </c>
      <c r="P148">
        <f t="shared" si="51"/>
        <v>14</v>
      </c>
      <c r="Q148">
        <f t="shared" si="52"/>
        <v>1.8800000000000008</v>
      </c>
      <c r="R148">
        <f t="shared" si="63"/>
        <v>1.9999999999999574E-2</v>
      </c>
      <c r="S148">
        <f>(0.5*$AU$2*(J148*J148))/1000</f>
        <v>31.887093289780999</v>
      </c>
      <c r="T148">
        <f>($AU$2*9.81*Q148)/1000</f>
        <v>11.102565600000004</v>
      </c>
      <c r="U148">
        <f t="shared" si="43"/>
        <v>-7.8873239436618031E-3</v>
      </c>
      <c r="V148">
        <f t="shared" si="44"/>
        <v>-7.8871603932770609E-3</v>
      </c>
      <c r="W148">
        <f t="shared" si="53"/>
        <v>-0.45190100287751811</v>
      </c>
      <c r="X148">
        <f>($AU$2*9.81*SIN(W148))</f>
        <v>-2578.8454699887047</v>
      </c>
      <c r="Y148">
        <f>(0.08*($AU$2*9.81))</f>
        <v>472.44959999999998</v>
      </c>
      <c r="Z148">
        <f t="shared" si="54"/>
        <v>-1.9267351882691697</v>
      </c>
      <c r="AA148">
        <f>SUM(Z$3:Z148)</f>
        <v>98.833029618334479</v>
      </c>
      <c r="AB148">
        <v>0.55000000000000004</v>
      </c>
      <c r="AC148" s="7">
        <f t="shared" si="55"/>
        <v>-19.831074562089082</v>
      </c>
      <c r="AD148" s="21">
        <f>IF(AC148&gt;$AX$2,J148-1,AC148)</f>
        <v>-19.831074562089082</v>
      </c>
      <c r="AE148" s="21">
        <f t="shared" si="56"/>
        <v>0</v>
      </c>
      <c r="AF148" s="22">
        <f t="shared" si="57"/>
        <v>-19.831074562089082</v>
      </c>
      <c r="AG148" s="21">
        <f t="shared" si="58"/>
        <v>19.831074562089082</v>
      </c>
      <c r="AH148" s="21">
        <f>SUM(AE$3:AE148)</f>
        <v>665.07119383680754</v>
      </c>
      <c r="AI148" s="21">
        <f>SUM(AG$3:AG148)</f>
        <v>1846.0401472097913</v>
      </c>
      <c r="AJ148" s="23">
        <f t="shared" si="59"/>
        <v>0</v>
      </c>
      <c r="AK148" cm="1">
        <f t="array" ref="AK148">_xlfn.IFS(K148&lt;4,1,K148&lt;8,2,K148&gt;8,3)</f>
        <v>3</v>
      </c>
      <c r="AL148" cm="1">
        <f t="array" ref="AL148">_xlfn.IFS(K148&lt;9,2000,K148&lt;10,3500,K148&lt;12,5000,K148&lt;14,6500)</f>
        <v>5000</v>
      </c>
      <c r="AM148">
        <f>MATCH(AJ148,$AW$10:$BJ$10,1)</f>
        <v>2</v>
      </c>
      <c r="AN148">
        <v>175</v>
      </c>
      <c r="AO148">
        <f>(AE148*AN148/760)/$AS$14</f>
        <v>0</v>
      </c>
      <c r="AP148">
        <f t="shared" si="60"/>
        <v>0</v>
      </c>
      <c r="AQ148" s="21">
        <f>SUM(AP$3:AP148)</f>
        <v>89.843974879443564</v>
      </c>
    </row>
    <row r="149" spans="1:44">
      <c r="A149">
        <f t="shared" si="45"/>
        <v>1304.625</v>
      </c>
      <c r="B149">
        <f t="shared" si="46"/>
        <v>0.85317585722022959</v>
      </c>
      <c r="C149">
        <f t="shared" si="47"/>
        <v>161.20303045935901</v>
      </c>
      <c r="D149" s="4">
        <v>140.1605515</v>
      </c>
      <c r="E149">
        <f t="shared" si="48"/>
        <v>37.843348904999999</v>
      </c>
      <c r="F149" s="4">
        <v>39.47</v>
      </c>
      <c r="G149" s="20">
        <f t="shared" si="49"/>
        <v>146.03900000000002</v>
      </c>
      <c r="J149" s="7">
        <v>10.5120413625</v>
      </c>
      <c r="K149">
        <f t="shared" si="50"/>
        <v>9.0691133099055499</v>
      </c>
      <c r="L149">
        <f t="shared" si="61"/>
        <v>40.543555692375591</v>
      </c>
      <c r="M149">
        <f t="shared" si="62"/>
        <v>0.25722966747445758</v>
      </c>
      <c r="N149">
        <f>M149*$AU$2</f>
        <v>154.85225981962347</v>
      </c>
      <c r="O149">
        <v>139.30000000000001</v>
      </c>
      <c r="P149">
        <f t="shared" si="51"/>
        <v>13.930000000000001</v>
      </c>
      <c r="Q149">
        <f t="shared" si="52"/>
        <v>1.8100000000000023</v>
      </c>
      <c r="R149">
        <f t="shared" si="63"/>
        <v>6.9999999999998508E-2</v>
      </c>
      <c r="S149">
        <f>(0.5*$AU$2*(J149*J149))/1000</f>
        <v>33.261407095680163</v>
      </c>
      <c r="T149">
        <f>($AU$2*9.81*Q149)/1000</f>
        <v>10.689172200000014</v>
      </c>
      <c r="U149">
        <f t="shared" si="43"/>
        <v>1.1267605633802577E-3</v>
      </c>
      <c r="V149">
        <f t="shared" si="44"/>
        <v>1.1267600865395441E-3</v>
      </c>
      <c r="W149">
        <f t="shared" si="53"/>
        <v>6.4558597482511276E-2</v>
      </c>
      <c r="X149">
        <f>($AU$2*9.81*SIN(W149))</f>
        <v>380.99376396000861</v>
      </c>
      <c r="Y149">
        <f>(0.08*($AU$2*9.81))</f>
        <v>472.44959999999998</v>
      </c>
      <c r="Z149">
        <f t="shared" si="54"/>
        <v>1.0488391794720076</v>
      </c>
      <c r="AA149">
        <f>SUM(Z$3:Z149)</f>
        <v>99.88186879780649</v>
      </c>
      <c r="AB149">
        <v>0.55000000000000004</v>
      </c>
      <c r="AC149" s="7">
        <f t="shared" si="55"/>
        <v>11.025440837220303</v>
      </c>
      <c r="AD149" s="21">
        <f>IF(AC149&gt;$AX$2,J149-1,AC149)</f>
        <v>9.5120413624999998</v>
      </c>
      <c r="AE149" s="21">
        <f t="shared" si="56"/>
        <v>9.5120413624999998</v>
      </c>
      <c r="AF149" s="22">
        <f t="shared" si="57"/>
        <v>0</v>
      </c>
      <c r="AG149" s="21">
        <f t="shared" si="58"/>
        <v>0</v>
      </c>
      <c r="AH149" s="21">
        <f>SUM(AE$3:AE149)</f>
        <v>674.58323519930752</v>
      </c>
      <c r="AI149" s="21">
        <f>SUM(AG$3:AG149)</f>
        <v>1846.0401472097913</v>
      </c>
      <c r="AJ149" s="23">
        <f t="shared" si="59"/>
        <v>9.5120413624999998</v>
      </c>
      <c r="AK149" cm="1">
        <f t="array" ref="AK149">_xlfn.IFS(K149&lt;4,1,K149&lt;8,2,K149&gt;8,3)</f>
        <v>3</v>
      </c>
      <c r="AL149" cm="1">
        <f t="array" ref="AL149">_xlfn.IFS(K149&lt;9,2000,K149&lt;10,3500,K149&lt;12,5000,K149&lt;14,6500)</f>
        <v>3500</v>
      </c>
      <c r="AM149">
        <f>MATCH(AJ149,$AW$10:$BJ$10,1)</f>
        <v>11</v>
      </c>
      <c r="AN149">
        <v>175</v>
      </c>
      <c r="AO149">
        <f>(AE149*AN149/760)/$AS$14</f>
        <v>4.6259086355253487</v>
      </c>
      <c r="AP149">
        <f t="shared" si="60"/>
        <v>1.2849746209792636</v>
      </c>
      <c r="AQ149" s="21">
        <f>SUM(AP$3:AP149)</f>
        <v>91.128949500422834</v>
      </c>
    </row>
    <row r="150" spans="1:44">
      <c r="A150">
        <f t="shared" si="45"/>
        <v>1313.5</v>
      </c>
      <c r="B150">
        <f t="shared" si="46"/>
        <v>0.83588923683871774</v>
      </c>
      <c r="C150">
        <f t="shared" si="47"/>
        <v>162.03891969619772</v>
      </c>
      <c r="D150" s="4">
        <v>142.97106000599999</v>
      </c>
      <c r="E150">
        <f t="shared" si="48"/>
        <v>38.60218620162</v>
      </c>
      <c r="F150" s="4">
        <v>39.74</v>
      </c>
      <c r="G150" s="20">
        <f t="shared" si="49"/>
        <v>147.03800000000001</v>
      </c>
      <c r="J150" s="7">
        <v>10.72282950045</v>
      </c>
      <c r="K150">
        <f t="shared" si="50"/>
        <v>10.72282950045</v>
      </c>
      <c r="L150">
        <f t="shared" si="61"/>
        <v>42.185821698679966</v>
      </c>
      <c r="M150">
        <f t="shared" si="62"/>
        <v>0.25217233176394344</v>
      </c>
      <c r="N150">
        <f>M150*$AU$2</f>
        <v>151.80774372189396</v>
      </c>
      <c r="O150">
        <v>139.4</v>
      </c>
      <c r="P150">
        <f t="shared" si="51"/>
        <v>13.940000000000001</v>
      </c>
      <c r="Q150">
        <f t="shared" si="52"/>
        <v>1.8200000000000021</v>
      </c>
      <c r="R150">
        <f t="shared" si="63"/>
        <v>9.9999999999997868E-3</v>
      </c>
      <c r="S150">
        <f>(0.5*$AU$2*(J150*J150))/1000</f>
        <v>34.608700821211961</v>
      </c>
      <c r="T150">
        <f>($AU$2*9.81*Q150)/1000</f>
        <v>10.748228400000013</v>
      </c>
      <c r="U150">
        <f t="shared" si="43"/>
        <v>-1.5774647887324009E-2</v>
      </c>
      <c r="V150">
        <f t="shared" si="44"/>
        <v>-1.5773339630731062E-2</v>
      </c>
      <c r="W150">
        <f t="shared" si="53"/>
        <v>-0.90374578966733032</v>
      </c>
      <c r="X150">
        <f>($AU$2*9.81*SIN(W150))</f>
        <v>-4639.7493430129398</v>
      </c>
      <c r="Y150">
        <f>(0.08*($AU$2*9.81))</f>
        <v>472.44959999999998</v>
      </c>
      <c r="Z150">
        <f t="shared" si="54"/>
        <v>-3.9733061775923662</v>
      </c>
      <c r="AA150">
        <f>SUM(Z$3:Z150)</f>
        <v>95.908562620214127</v>
      </c>
      <c r="AB150">
        <v>0.55000000000000004</v>
      </c>
      <c r="AC150" s="7">
        <f t="shared" si="55"/>
        <v>-42.605084695407655</v>
      </c>
      <c r="AD150" s="21">
        <f>IF(AC150&gt;$AX$2,J150-1,AC150)</f>
        <v>-42.605084695407655</v>
      </c>
      <c r="AE150" s="21">
        <f t="shared" si="56"/>
        <v>0</v>
      </c>
      <c r="AF150" s="22">
        <f t="shared" si="57"/>
        <v>-42.605084695407655</v>
      </c>
      <c r="AG150" s="21">
        <f t="shared" si="58"/>
        <v>42.605084695407655</v>
      </c>
      <c r="AH150" s="21">
        <f>SUM(AE$3:AE150)</f>
        <v>674.58323519930752</v>
      </c>
      <c r="AI150" s="21">
        <f>SUM(AG$3:AG150)</f>
        <v>1888.6452319051989</v>
      </c>
      <c r="AJ150" s="23">
        <f t="shared" si="59"/>
        <v>0</v>
      </c>
      <c r="AK150" cm="1">
        <f t="array" ref="AK150">_xlfn.IFS(K150&lt;4,1,K150&lt;8,2,K150&gt;8,3)</f>
        <v>3</v>
      </c>
      <c r="AL150" cm="1">
        <f t="array" ref="AL150">_xlfn.IFS(K150&lt;9,2000,K150&lt;10,3500,K150&lt;12,5000,K150&lt;14,6500)</f>
        <v>5000</v>
      </c>
      <c r="AM150">
        <f>MATCH(AJ150,$AW$10:$BJ$10,1)</f>
        <v>2</v>
      </c>
      <c r="AN150">
        <v>175</v>
      </c>
      <c r="AO150">
        <f>(AE150*AN150/760)/$AS$14</f>
        <v>0</v>
      </c>
      <c r="AP150">
        <f t="shared" si="60"/>
        <v>0</v>
      </c>
      <c r="AQ150" s="21">
        <f>SUM(AP$3:AP150)</f>
        <v>91.128949500422834</v>
      </c>
    </row>
    <row r="151" spans="1:44">
      <c r="A151">
        <f t="shared" si="45"/>
        <v>1322.375</v>
      </c>
      <c r="B151">
        <f t="shared" si="46"/>
        <v>0.81971091255752504</v>
      </c>
      <c r="C151">
        <f t="shared" si="47"/>
        <v>162.85863060875525</v>
      </c>
      <c r="D151" s="4">
        <v>145.748613041</v>
      </c>
      <c r="E151">
        <f t="shared" si="48"/>
        <v>39.352125521070001</v>
      </c>
      <c r="F151" s="4">
        <v>40.01</v>
      </c>
      <c r="G151" s="20">
        <f t="shared" si="49"/>
        <v>148.03700000000001</v>
      </c>
      <c r="J151" s="7">
        <v>10.931145978075001</v>
      </c>
      <c r="K151">
        <f t="shared" si="50"/>
        <v>1.5781514829331134</v>
      </c>
      <c r="L151">
        <f t="shared" si="61"/>
        <v>43.8408635333532</v>
      </c>
      <c r="M151">
        <f t="shared" si="62"/>
        <v>0.25413407877546307</v>
      </c>
      <c r="N151">
        <f>M151*$AU$2</f>
        <v>152.98871542282876</v>
      </c>
      <c r="O151">
        <v>138</v>
      </c>
      <c r="P151">
        <f t="shared" si="51"/>
        <v>13.8</v>
      </c>
      <c r="Q151">
        <f t="shared" si="52"/>
        <v>1.6800000000000015</v>
      </c>
      <c r="R151">
        <f t="shared" si="63"/>
        <v>0.14000000000000057</v>
      </c>
      <c r="S151">
        <f>(0.5*$AU$2*(J151*J151))/1000</f>
        <v>35.966475670589574</v>
      </c>
      <c r="T151">
        <f>($AU$2*9.81*Q151)/1000</f>
        <v>9.9214416000000085</v>
      </c>
      <c r="U151">
        <f t="shared" si="43"/>
        <v>-8.7887323943662096E-2</v>
      </c>
      <c r="V151">
        <f t="shared" si="44"/>
        <v>-8.7662081029378378E-2</v>
      </c>
      <c r="W151">
        <f t="shared" si="53"/>
        <v>-5.02266726631722</v>
      </c>
      <c r="X151">
        <f>($AU$2*9.81*SIN(W151))</f>
        <v>5623.6186103087748</v>
      </c>
      <c r="Y151">
        <f>(0.08*($AU$2*9.81))</f>
        <v>472.44959999999998</v>
      </c>
      <c r="Z151">
        <f t="shared" si="54"/>
        <v>6.2928977892649565</v>
      </c>
      <c r="AA151">
        <f>SUM(Z$3:Z151)</f>
        <v>102.20146040947908</v>
      </c>
      <c r="AB151">
        <v>0.55000000000000004</v>
      </c>
      <c r="AC151" s="7">
        <f t="shared" si="55"/>
        <v>68.788584359560701</v>
      </c>
      <c r="AD151" s="21">
        <f>IF(AC151&gt;$AX$2,J151-1,AC151)</f>
        <v>9.9311459780750013</v>
      </c>
      <c r="AE151" s="21">
        <f t="shared" si="56"/>
        <v>9.9311459780750013</v>
      </c>
      <c r="AF151" s="22">
        <f t="shared" si="57"/>
        <v>0</v>
      </c>
      <c r="AG151" s="21">
        <f t="shared" si="58"/>
        <v>0</v>
      </c>
      <c r="AH151" s="21">
        <f>SUM(AE$3:AE151)</f>
        <v>684.51438117738257</v>
      </c>
      <c r="AI151" s="21">
        <f>SUM(AG$3:AG151)</f>
        <v>1888.6452319051989</v>
      </c>
      <c r="AJ151" s="23">
        <f t="shared" si="59"/>
        <v>9.9311459780750013</v>
      </c>
      <c r="AK151" cm="1">
        <f t="array" ref="AK151">_xlfn.IFS(K151&lt;4,1,K151&lt;8,2,K151&gt;8,3)</f>
        <v>1</v>
      </c>
      <c r="AL151" cm="1">
        <f t="array" ref="AL151">_xlfn.IFS(K151&lt;1,2000,K151&lt;2,3500,K151&lt;3,5000,K151&lt;4,6500)</f>
        <v>3500</v>
      </c>
      <c r="AM151">
        <f>MATCH(AJ151,$AW$10:$BJ$10,1)</f>
        <v>11</v>
      </c>
      <c r="AN151">
        <v>175</v>
      </c>
      <c r="AO151">
        <f>(AE151*AN151/760)/$AS$14</f>
        <v>4.8297281508630521</v>
      </c>
      <c r="AP151">
        <f t="shared" si="60"/>
        <v>1.3415911530175144</v>
      </c>
      <c r="AQ151" s="21">
        <f>SUM(AP$3:AP151)</f>
        <v>92.470540653440352</v>
      </c>
    </row>
    <row r="152" spans="1:44">
      <c r="A152">
        <f t="shared" si="45"/>
        <v>1331.25</v>
      </c>
      <c r="B152">
        <f t="shared" si="46"/>
        <v>0.80437418719613274</v>
      </c>
      <c r="C152">
        <f t="shared" si="47"/>
        <v>163.66300479595139</v>
      </c>
      <c r="D152" s="4">
        <v>148.47597849100001</v>
      </c>
      <c r="E152">
        <f t="shared" si="48"/>
        <v>40.088514192570003</v>
      </c>
      <c r="F152" s="4">
        <v>40.28</v>
      </c>
      <c r="G152" s="20">
        <f t="shared" si="49"/>
        <v>149.036</v>
      </c>
      <c r="J152" s="7">
        <v>11.135698386825</v>
      </c>
      <c r="K152">
        <f t="shared" si="50"/>
        <v>1.9085124344909143</v>
      </c>
      <c r="L152">
        <f t="shared" si="61"/>
        <v>45.496986354521411</v>
      </c>
      <c r="M152">
        <f t="shared" si="62"/>
        <v>0.25430006582262304</v>
      </c>
      <c r="N152">
        <f>M152*$AU$2</f>
        <v>153.08863962521906</v>
      </c>
      <c r="O152">
        <v>130.19999999999999</v>
      </c>
      <c r="P152">
        <f t="shared" si="51"/>
        <v>13.02</v>
      </c>
      <c r="Q152">
        <f t="shared" si="52"/>
        <v>0.90000000000000036</v>
      </c>
      <c r="R152">
        <f t="shared" si="63"/>
        <v>0.78000000000000114</v>
      </c>
      <c r="S152">
        <f>(0.5*$AU$2*(J152*J152))/1000</f>
        <v>37.325137347263407</v>
      </c>
      <c r="T152">
        <f>($AU$2*9.81*Q152)/1000</f>
        <v>5.3150580000000014</v>
      </c>
      <c r="U152">
        <f t="shared" si="43"/>
        <v>1.5774647887324009E-2</v>
      </c>
      <c r="V152">
        <f t="shared" si="44"/>
        <v>1.5773339630731062E-2</v>
      </c>
      <c r="W152">
        <f t="shared" si="53"/>
        <v>0.90374578966733032</v>
      </c>
      <c r="X152">
        <f>($AU$2*9.81*SIN(W152))</f>
        <v>4639.7493430129398</v>
      </c>
      <c r="Y152">
        <f>(0.08*($AU$2*9.81))</f>
        <v>472.44959999999998</v>
      </c>
      <c r="Z152">
        <f t="shared" si="54"/>
        <v>5.3107845689926796</v>
      </c>
      <c r="AA152">
        <f>SUM(Z$3:Z152)</f>
        <v>107.51224497847176</v>
      </c>
      <c r="AB152">
        <v>0.55000000000000004</v>
      </c>
      <c r="AC152" s="7">
        <f t="shared" si="55"/>
        <v>59.139295157706883</v>
      </c>
      <c r="AD152" s="21">
        <f>IF(AC152&gt;$AX$2,J152-1,AC152)</f>
        <v>10.135698386825</v>
      </c>
      <c r="AE152" s="21">
        <f t="shared" si="56"/>
        <v>10.135698386825</v>
      </c>
      <c r="AF152" s="22">
        <f t="shared" si="57"/>
        <v>0</v>
      </c>
      <c r="AG152" s="21">
        <f t="shared" si="58"/>
        <v>0</v>
      </c>
      <c r="AH152" s="21">
        <f>SUM(AE$3:AE152)</f>
        <v>694.65007956420754</v>
      </c>
      <c r="AI152" s="21">
        <f>SUM(AG$3:AG152)</f>
        <v>1888.6452319051989</v>
      </c>
      <c r="AJ152" s="23">
        <f t="shared" si="59"/>
        <v>10.135698386825</v>
      </c>
      <c r="AK152" cm="1">
        <f t="array" ref="AK152">_xlfn.IFS(K152&lt;4,1,K152&lt;8,2,K152&gt;8,3)</f>
        <v>1</v>
      </c>
      <c r="AL152" cm="1">
        <f t="array" ref="AL152">_xlfn.IFS(K152&lt;9,2000,K152&lt;10,3500,K152&lt;12,5000,K152&lt;14,6500)</f>
        <v>2000</v>
      </c>
      <c r="AM152">
        <f>MATCH(AJ152,$AW$10:$BJ$10,1)</f>
        <v>12</v>
      </c>
      <c r="AN152">
        <v>175</v>
      </c>
      <c r="AO152">
        <f>(AE152*AN152/760)/$AS$14</f>
        <v>4.9292063509668234</v>
      </c>
      <c r="AP152">
        <f t="shared" si="60"/>
        <v>1.3692239863796731</v>
      </c>
      <c r="AQ152" s="21">
        <f>SUM(AP$3:AP152)</f>
        <v>93.839764639820032</v>
      </c>
    </row>
    <row r="153" spans="1:44">
      <c r="A153">
        <f t="shared" si="45"/>
        <v>1340.125</v>
      </c>
      <c r="B153">
        <f t="shared" si="46"/>
        <v>0.78989538924696112</v>
      </c>
      <c r="C153">
        <f t="shared" si="47"/>
        <v>164.45290018519836</v>
      </c>
      <c r="D153" s="4">
        <v>151.14175556399999</v>
      </c>
      <c r="E153">
        <f t="shared" si="48"/>
        <v>40.808274002280001</v>
      </c>
      <c r="F153" s="4">
        <v>40.549999999999997</v>
      </c>
      <c r="G153" s="20">
        <f t="shared" si="49"/>
        <v>150.035</v>
      </c>
      <c r="J153" s="7">
        <v>11.335631667299999</v>
      </c>
      <c r="K153">
        <f t="shared" si="50"/>
        <v>2.0400338034495848</v>
      </c>
      <c r="L153">
        <f t="shared" si="61"/>
        <v>47.145382469357237</v>
      </c>
      <c r="M153">
        <f t="shared" si="62"/>
        <v>0.2531136188370498</v>
      </c>
      <c r="N153">
        <f>M153*$AU$2</f>
        <v>152.37439853990398</v>
      </c>
      <c r="O153">
        <v>131.6</v>
      </c>
      <c r="P153">
        <f t="shared" si="51"/>
        <v>13.16</v>
      </c>
      <c r="Q153">
        <f t="shared" si="52"/>
        <v>1.0400000000000009</v>
      </c>
      <c r="R153">
        <f t="shared" si="63"/>
        <v>0.14000000000000057</v>
      </c>
      <c r="S153">
        <f>(0.5*$AU$2*(J153*J153))/1000</f>
        <v>38.677460134305065</v>
      </c>
      <c r="T153">
        <f>($AU$2*9.81*Q153)/1000</f>
        <v>6.1418448000000057</v>
      </c>
      <c r="U153">
        <f t="shared" si="43"/>
        <v>1.464788732394375E-2</v>
      </c>
      <c r="V153">
        <f t="shared" si="44"/>
        <v>1.4646839838943949E-2</v>
      </c>
      <c r="W153">
        <f t="shared" si="53"/>
        <v>0.83920210597556266</v>
      </c>
      <c r="X153">
        <f>($AU$2*9.81*SIN(W153))</f>
        <v>4394.43277851526</v>
      </c>
      <c r="Y153">
        <f>(0.08*($AU$2*9.81))</f>
        <v>472.44959999999998</v>
      </c>
      <c r="Z153">
        <f t="shared" si="54"/>
        <v>5.0664021595245217</v>
      </c>
      <c r="AA153">
        <f>SUM(Z$3:Z153)</f>
        <v>112.57864713799628</v>
      </c>
      <c r="AB153">
        <v>0.55000000000000004</v>
      </c>
      <c r="AC153" s="7">
        <f t="shared" si="55"/>
        <v>57.430868758783269</v>
      </c>
      <c r="AD153" s="21">
        <f>IF(AC153&gt;$AX$2,J153-1,AC153)</f>
        <v>10.335631667299999</v>
      </c>
      <c r="AE153" s="21">
        <f t="shared" si="56"/>
        <v>10.335631667299999</v>
      </c>
      <c r="AF153" s="22">
        <f t="shared" si="57"/>
        <v>0</v>
      </c>
      <c r="AG153" s="21">
        <f t="shared" si="58"/>
        <v>0</v>
      </c>
      <c r="AH153" s="21">
        <f>SUM(AE$3:AE153)</f>
        <v>704.98571123150759</v>
      </c>
      <c r="AI153" s="21">
        <f>SUM(AG$3:AG153)</f>
        <v>1888.6452319051989</v>
      </c>
      <c r="AJ153" s="23">
        <f t="shared" si="59"/>
        <v>10.335631667299999</v>
      </c>
      <c r="AK153" cm="1">
        <f t="array" ref="AK153">_xlfn.IFS(K153&lt;4,1,K153&lt;8,2,K153&gt;8,3)</f>
        <v>1</v>
      </c>
      <c r="AL153" cm="1">
        <f t="array" ref="AL153">_xlfn.IFS(K153&lt;9,2000,K153&lt;10,3500,K153&lt;12,5000,K153&lt;14,6500)</f>
        <v>2000</v>
      </c>
      <c r="AM153">
        <f>MATCH(AJ153,$AW$10:$BJ$10,1)</f>
        <v>12</v>
      </c>
      <c r="AN153">
        <v>175</v>
      </c>
      <c r="AO153">
        <f>(AE153*AN153/760)/$AS$14</f>
        <v>5.0264381704503265</v>
      </c>
      <c r="AP153">
        <f t="shared" si="60"/>
        <v>1.3962328251250906</v>
      </c>
      <c r="AQ153" s="21">
        <f>SUM(AP$3:AP153)</f>
        <v>95.235997464945129</v>
      </c>
    </row>
    <row r="154" spans="1:44">
      <c r="A154">
        <f t="shared" si="45"/>
        <v>1349</v>
      </c>
      <c r="B154">
        <f t="shared" si="46"/>
        <v>0.77626593877134897</v>
      </c>
      <c r="C154">
        <f t="shared" si="47"/>
        <v>165.22916612396972</v>
      </c>
      <c r="D154" s="4">
        <v>153.736579097</v>
      </c>
      <c r="E154">
        <f t="shared" si="48"/>
        <v>41.508876356190001</v>
      </c>
      <c r="F154" s="4">
        <v>40.82</v>
      </c>
      <c r="G154" s="20">
        <f t="shared" si="49"/>
        <v>151.03400000000002</v>
      </c>
      <c r="J154" s="7">
        <v>11.530243432275</v>
      </c>
      <c r="K154">
        <f t="shared" si="50"/>
        <v>2.9345647536218307</v>
      </c>
      <c r="L154">
        <f t="shared" si="61"/>
        <v>48.778075842599378</v>
      </c>
      <c r="M154">
        <f t="shared" si="62"/>
        <v>0.25070244004654368</v>
      </c>
      <c r="N154">
        <f>M154*$AU$2</f>
        <v>150.9228689080193</v>
      </c>
      <c r="O154">
        <v>132.9</v>
      </c>
      <c r="P154">
        <f t="shared" si="51"/>
        <v>13.290000000000001</v>
      </c>
      <c r="Q154">
        <f t="shared" si="52"/>
        <v>1.1700000000000017</v>
      </c>
      <c r="R154">
        <f t="shared" si="63"/>
        <v>0.13000000000000078</v>
      </c>
      <c r="S154">
        <f>(0.5*$AU$2*(J154*J154))/1000</f>
        <v>40.01690059586376</v>
      </c>
      <c r="T154">
        <f>($AU$2*9.81*Q154)/1000</f>
        <v>6.9095754000000094</v>
      </c>
      <c r="U154">
        <f t="shared" si="43"/>
        <v>9.0140845070420614E-3</v>
      </c>
      <c r="V154">
        <f t="shared" si="44"/>
        <v>9.0138403763125076E-3</v>
      </c>
      <c r="W154">
        <f t="shared" si="53"/>
        <v>0.51645501076732037</v>
      </c>
      <c r="X154">
        <f>($AU$2*9.81*SIN(W154))</f>
        <v>2916.1987732457233</v>
      </c>
      <c r="Y154">
        <f>(0.08*($AU$2*9.81))</f>
        <v>472.44959999999998</v>
      </c>
      <c r="Z154">
        <f t="shared" si="54"/>
        <v>3.5883493179963422</v>
      </c>
      <c r="AA154">
        <f>SUM(Z$3:Z154)</f>
        <v>116.16699645599263</v>
      </c>
      <c r="AB154">
        <v>0.55000000000000004</v>
      </c>
      <c r="AC154" s="7">
        <f t="shared" si="55"/>
        <v>41.374541156535798</v>
      </c>
      <c r="AD154" s="21">
        <f>IF(AC154&gt;$AX$2,J154-1,AC154)</f>
        <v>10.530243432275</v>
      </c>
      <c r="AE154" s="21">
        <f t="shared" si="56"/>
        <v>10.530243432275</v>
      </c>
      <c r="AF154" s="22">
        <f t="shared" si="57"/>
        <v>0</v>
      </c>
      <c r="AG154" s="21">
        <f t="shared" si="58"/>
        <v>0</v>
      </c>
      <c r="AH154" s="21">
        <f>SUM(AE$3:AE154)</f>
        <v>715.51595466378262</v>
      </c>
      <c r="AI154" s="21">
        <f>SUM(AG$3:AG154)</f>
        <v>1888.6452319051989</v>
      </c>
      <c r="AJ154" s="23">
        <f t="shared" si="59"/>
        <v>10.530243432275</v>
      </c>
      <c r="AK154" cm="1">
        <f t="array" ref="AK154">_xlfn.IFS(K154&lt;4,1,K154&lt;8,2,K154&gt;8,3)</f>
        <v>1</v>
      </c>
      <c r="AL154" cm="1">
        <f t="array" ref="AL154">_xlfn.IFS(K154&lt;5,2000,K154&lt;6,3500,K154&lt;7,5000,K154&lt;8,6500)</f>
        <v>2000</v>
      </c>
      <c r="AM154">
        <f>MATCH(AJ154,$AW$10:$BJ$10,1)</f>
        <v>12</v>
      </c>
      <c r="AN154">
        <v>175</v>
      </c>
      <c r="AO154">
        <f>(AE154*AN154/760)/$AS$14</f>
        <v>5.1210820234219749</v>
      </c>
      <c r="AP154">
        <f t="shared" si="60"/>
        <v>1.4225227842838819</v>
      </c>
      <c r="AQ154" s="21">
        <f>SUM(AP$3:AP154)</f>
        <v>96.658520249229014</v>
      </c>
    </row>
    <row r="155" spans="1:44">
      <c r="A155">
        <f t="shared" si="45"/>
        <v>1357.875</v>
      </c>
      <c r="B155">
        <f t="shared" si="46"/>
        <v>0.7639170334105132</v>
      </c>
      <c r="C155">
        <f t="shared" si="47"/>
        <v>165.99308315738023</v>
      </c>
      <c r="D155" s="4">
        <v>156.070188282</v>
      </c>
      <c r="E155">
        <f t="shared" si="48"/>
        <v>42.138950836140005</v>
      </c>
      <c r="F155" s="4">
        <v>41.070999999999998</v>
      </c>
      <c r="G155" s="20">
        <f t="shared" si="49"/>
        <v>151.96270000000001</v>
      </c>
      <c r="J155" s="7">
        <v>11.705264121150002</v>
      </c>
      <c r="K155">
        <f t="shared" si="50"/>
        <v>11.01381530656217</v>
      </c>
      <c r="L155">
        <f t="shared" si="61"/>
        <v>50.270146068723932</v>
      </c>
      <c r="M155">
        <f t="shared" si="62"/>
        <v>0.22910955145694503</v>
      </c>
      <c r="N155">
        <f>M155*$AU$2</f>
        <v>137.92394997708092</v>
      </c>
      <c r="O155">
        <v>133.69999999999999</v>
      </c>
      <c r="P155">
        <f t="shared" si="51"/>
        <v>13.37</v>
      </c>
      <c r="Q155">
        <f t="shared" si="52"/>
        <v>1.25</v>
      </c>
      <c r="R155">
        <f t="shared" si="63"/>
        <v>7.9999999999998295E-2</v>
      </c>
      <c r="S155">
        <f>(0.5*$AU$2*(J155*J155))/1000</f>
        <v>41.24097565191034</v>
      </c>
      <c r="T155">
        <f>($AU$2*9.81*Q155)/1000</f>
        <v>7.3820249999999996</v>
      </c>
      <c r="U155">
        <f t="shared" si="43"/>
        <v>9.2055601583356352E-4</v>
      </c>
      <c r="V155">
        <f t="shared" si="44"/>
        <v>9.2055575580013275E-4</v>
      </c>
      <c r="W155">
        <f t="shared" si="53"/>
        <v>5.2743959613823256E-2</v>
      </c>
      <c r="X155">
        <f>($AU$2*9.81*SIN(W155))</f>
        <v>311.34138116641867</v>
      </c>
      <c r="Y155">
        <f>(0.08*($AU$2*9.81))</f>
        <v>472.44959999999998</v>
      </c>
      <c r="Z155">
        <f t="shared" si="54"/>
        <v>0.9719850772122236</v>
      </c>
      <c r="AA155">
        <f>SUM(Z$3:Z155)</f>
        <v>117.13898153320486</v>
      </c>
      <c r="AB155">
        <v>0.55000000000000004</v>
      </c>
      <c r="AC155" s="7">
        <f t="shared" si="55"/>
        <v>11.377342050585455</v>
      </c>
      <c r="AD155" s="21">
        <f>IF(AC155&gt;$AX$2,J155-1,AC155)</f>
        <v>10.705264121150002</v>
      </c>
      <c r="AE155" s="21">
        <f t="shared" si="56"/>
        <v>10.705264121150002</v>
      </c>
      <c r="AF155" s="22">
        <f t="shared" si="57"/>
        <v>0</v>
      </c>
      <c r="AG155" s="21">
        <f t="shared" si="58"/>
        <v>0</v>
      </c>
      <c r="AH155" s="21">
        <f>SUM(AE$3:AE155)</f>
        <v>726.2212187849326</v>
      </c>
      <c r="AI155" s="21">
        <f>SUM(AG$3:AG155)</f>
        <v>1888.6452319051989</v>
      </c>
      <c r="AJ155" s="23">
        <f t="shared" si="59"/>
        <v>10.705264121150002</v>
      </c>
      <c r="AK155" cm="1">
        <f t="array" ref="AK155">_xlfn.IFS(K155&lt;4,1,K155&lt;8,2,K155&gt;8,3)</f>
        <v>3</v>
      </c>
      <c r="AL155" cm="1">
        <f t="array" ref="AL155">_xlfn.IFS(K155&lt;9,2000,K155&lt;10,3500,K155&lt;12,5000,K155&lt;14,6500)</f>
        <v>5000</v>
      </c>
      <c r="AM155">
        <f>MATCH(AJ155,$AW$10:$BJ$10,1)</f>
        <v>12</v>
      </c>
      <c r="AN155">
        <v>175</v>
      </c>
      <c r="AO155">
        <f>(AE155*AN155/760)/$AS$14</f>
        <v>5.2061983181486067</v>
      </c>
      <c r="AP155">
        <f t="shared" si="60"/>
        <v>1.446166199485724</v>
      </c>
      <c r="AQ155" s="21">
        <f>SUM(AP$3:AP155)</f>
        <v>98.104686448714745</v>
      </c>
    </row>
    <row r="157" spans="1:44">
      <c r="AN157">
        <f>AVERAGE(AN3:AN155)</f>
        <v>175</v>
      </c>
      <c r="AR157">
        <f>A155/1600</f>
        <v>0.84867187499999996</v>
      </c>
    </row>
    <row r="158" spans="1:44">
      <c r="I158" s="4">
        <f>152/F155</f>
        <v>3.7009081833897399</v>
      </c>
      <c r="R158">
        <f>SUM(R4:R155)</f>
        <v>36.129999999999988</v>
      </c>
    </row>
    <row r="159" spans="1:44">
      <c r="AR159">
        <f>4550/AQ155</f>
        <v>46.379028002689353</v>
      </c>
    </row>
  </sheetData>
  <conditionalFormatting sqref="AW91:BE105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K2:AK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11:BQ2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B336-2139-4EFD-ACA8-3FAC4B378E7A}">
  <dimension ref="B1:Q13"/>
  <sheetViews>
    <sheetView workbookViewId="0">
      <selection activeCell="J7" sqref="J7"/>
    </sheetView>
  </sheetViews>
  <sheetFormatPr defaultRowHeight="15"/>
  <cols>
    <col min="1" max="2" width="16.140625" bestFit="1" customWidth="1"/>
    <col min="3" max="3" width="8" bestFit="1" customWidth="1"/>
    <col min="5" max="5" width="8.140625" customWidth="1"/>
    <col min="6" max="6" width="20.7109375" bestFit="1" customWidth="1"/>
    <col min="9" max="9" width="15.140625" bestFit="1" customWidth="1"/>
    <col min="10" max="10" width="17.42578125" bestFit="1" customWidth="1"/>
    <col min="11" max="11" width="21.7109375" bestFit="1" customWidth="1"/>
    <col min="12" max="12" width="10.5703125" bestFit="1" customWidth="1"/>
    <col min="14" max="14" width="10.28515625" bestFit="1" customWidth="1"/>
  </cols>
  <sheetData>
    <row r="1" spans="2:17" ht="15.75">
      <c r="B1" s="5" t="s">
        <v>5</v>
      </c>
      <c r="F1" s="5" t="s">
        <v>6</v>
      </c>
      <c r="K1" s="6" t="s">
        <v>79</v>
      </c>
    </row>
    <row r="2" spans="2:17">
      <c r="B2" t="s">
        <v>7</v>
      </c>
      <c r="F2" t="s">
        <v>8</v>
      </c>
      <c r="K2" t="s">
        <v>83</v>
      </c>
      <c r="L2" s="21">
        <f>1.357875/1.6</f>
        <v>0.84867187499999996</v>
      </c>
      <c r="M2" t="s">
        <v>78</v>
      </c>
    </row>
    <row r="3" spans="2:17">
      <c r="B3" t="s">
        <v>0</v>
      </c>
      <c r="F3" t="s">
        <v>0</v>
      </c>
    </row>
    <row r="4" spans="2:17">
      <c r="B4" t="s">
        <v>1</v>
      </c>
      <c r="F4" t="s">
        <v>1</v>
      </c>
      <c r="K4" t="s">
        <v>81</v>
      </c>
      <c r="L4">
        <v>1.5</v>
      </c>
      <c r="Q4" s="23"/>
    </row>
    <row r="5" spans="2:17">
      <c r="B5" s="4"/>
      <c r="C5" t="s">
        <v>2</v>
      </c>
      <c r="G5" t="s">
        <v>13</v>
      </c>
      <c r="K5" t="s">
        <v>82</v>
      </c>
      <c r="L5">
        <f>L4*4.5</f>
        <v>6.75</v>
      </c>
      <c r="Q5" s="20"/>
    </row>
    <row r="7" spans="2:17">
      <c r="B7" s="1" t="s">
        <v>3</v>
      </c>
      <c r="C7" s="29">
        <v>152.1</v>
      </c>
      <c r="D7" s="1" t="s">
        <v>80</v>
      </c>
      <c r="F7" s="1" t="s">
        <v>3</v>
      </c>
      <c r="G7" s="29">
        <v>98.1</v>
      </c>
      <c r="H7" s="1" t="s">
        <v>80</v>
      </c>
      <c r="K7" t="s">
        <v>84</v>
      </c>
      <c r="L7" s="21">
        <f>(L5/(B9/L2))</f>
        <v>0.22553288016732284</v>
      </c>
    </row>
    <row r="8" spans="2:17">
      <c r="K8" t="s">
        <v>85</v>
      </c>
      <c r="L8" s="21">
        <f>(L5/(F9/L2))</f>
        <v>0.14553991945688452</v>
      </c>
    </row>
    <row r="9" spans="2:17">
      <c r="B9" s="3">
        <v>25.4</v>
      </c>
      <c r="C9" s="3" t="s">
        <v>4</v>
      </c>
      <c r="F9" s="28">
        <v>39.360576655719875</v>
      </c>
      <c r="G9" s="3" t="s">
        <v>4</v>
      </c>
    </row>
    <row r="10" spans="2:17">
      <c r="H10" s="20">
        <f>((F9/B9)-1)*100</f>
        <v>54.962900219369601</v>
      </c>
      <c r="I10" t="s">
        <v>76</v>
      </c>
      <c r="K10" t="s">
        <v>86</v>
      </c>
      <c r="L10">
        <v>7400</v>
      </c>
    </row>
    <row r="12" spans="2:17">
      <c r="K12" s="30" t="s">
        <v>87</v>
      </c>
      <c r="L12" s="31">
        <f>L10/(L7-L8)</f>
        <v>92508.139894794149</v>
      </c>
    </row>
    <row r="13" spans="2:17">
      <c r="K13" s="30" t="s">
        <v>88</v>
      </c>
      <c r="L13" s="31">
        <f>L12*L2</f>
        <v>78509.056537277254</v>
      </c>
    </row>
  </sheetData>
  <conditionalFormatting sqref="M6:AF16 O2:O5 S2:AF5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 Choices</vt:lpstr>
      <vt:lpstr>SH Duty Cycle</vt:lpstr>
      <vt:lpstr>Series Hybrid Fuel 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omphi</dc:creator>
  <cp:lastModifiedBy>omphi</cp:lastModifiedBy>
  <dcterms:created xsi:type="dcterms:W3CDTF">2022-04-02T13:33:12Z</dcterms:created>
  <dcterms:modified xsi:type="dcterms:W3CDTF">2022-04-03T15:45:55Z</dcterms:modified>
</cp:coreProperties>
</file>