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8_{9DDB67ED-1442-4F29-8DFE-AE06F54FC4A4}" xr6:coauthVersionLast="47" xr6:coauthVersionMax="47" xr10:uidLastSave="{00000000-0000-0000-0000-000000000000}"/>
  <bookViews>
    <workbookView xWindow="-108" yWindow="-108" windowWidth="23256" windowHeight="12456" tabRatio="840" activeTab="5" xr2:uid="{00000000-000D-0000-FFFF-FFFF00000000}"/>
  </bookViews>
  <sheets>
    <sheet name="Public Sector Value" sheetId="44" r:id="rId1"/>
    <sheet name="Public Sector Value Bar chart" sheetId="64" r:id="rId2"/>
    <sheet name="Private Sector Value" sheetId="46" r:id="rId3"/>
    <sheet name="Firm Size" sheetId="52" r:id="rId4"/>
    <sheet name="Firm Size chart" sheetId="63" r:id="rId5"/>
    <sheet name="No. of Firms - Turnover" sheetId="61" r:id="rId6"/>
    <sheet name="No. of firms- Turnover chart " sheetId="65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44" l="1"/>
  <c r="D34" i="44"/>
  <c r="E34" i="44"/>
  <c r="F34" i="44"/>
  <c r="G34" i="44"/>
  <c r="H34" i="44"/>
  <c r="I34" i="44"/>
  <c r="J34" i="44"/>
  <c r="K34" i="44"/>
  <c r="L34" i="44"/>
  <c r="M34" i="44"/>
  <c r="N34" i="44"/>
  <c r="O34" i="44"/>
  <c r="C17" i="52"/>
  <c r="D17" i="52"/>
  <c r="E17" i="52"/>
  <c r="F17" i="52"/>
  <c r="G17" i="52"/>
  <c r="H17" i="52"/>
  <c r="I17" i="52"/>
  <c r="J17" i="52"/>
  <c r="K17" i="52"/>
  <c r="L17" i="52"/>
  <c r="M17" i="52"/>
  <c r="N17" i="52"/>
  <c r="O17" i="52"/>
  <c r="P17" i="52"/>
  <c r="Q17" i="52"/>
  <c r="R17" i="52"/>
  <c r="S17" i="52"/>
  <c r="T17" i="52"/>
  <c r="U17" i="52"/>
  <c r="V17" i="52"/>
  <c r="W17" i="52"/>
  <c r="X17" i="52"/>
  <c r="Y17" i="52"/>
  <c r="Z17" i="52"/>
  <c r="AA17" i="52"/>
  <c r="AB17" i="52"/>
  <c r="B17" i="52"/>
  <c r="C19" i="61"/>
  <c r="D19" i="61"/>
  <c r="E19" i="61"/>
  <c r="F19" i="61"/>
  <c r="G19" i="61"/>
  <c r="H19" i="61"/>
  <c r="I19" i="61"/>
  <c r="J19" i="61"/>
  <c r="K19" i="61"/>
  <c r="L19" i="61"/>
  <c r="M19" i="61"/>
  <c r="N19" i="61"/>
  <c r="O19" i="61"/>
  <c r="P19" i="61"/>
  <c r="Q19" i="61"/>
  <c r="R19" i="61"/>
  <c r="C20" i="61"/>
  <c r="D20" i="61"/>
  <c r="E20" i="61"/>
  <c r="F20" i="61"/>
  <c r="G20" i="61"/>
  <c r="H20" i="61"/>
  <c r="I20" i="61"/>
  <c r="J20" i="61"/>
  <c r="K20" i="61"/>
  <c r="L20" i="61"/>
  <c r="M20" i="61"/>
  <c r="N20" i="61"/>
  <c r="O20" i="61"/>
  <c r="P20" i="61"/>
  <c r="Q20" i="61"/>
  <c r="R20" i="61"/>
  <c r="C21" i="61"/>
  <c r="D21" i="61"/>
  <c r="E21" i="61"/>
  <c r="F21" i="61"/>
  <c r="G21" i="61"/>
  <c r="H21" i="61"/>
  <c r="I21" i="61"/>
  <c r="J21" i="61"/>
  <c r="K21" i="61"/>
  <c r="L21" i="61"/>
  <c r="M21" i="61"/>
  <c r="N21" i="61"/>
  <c r="O21" i="61"/>
  <c r="P21" i="61"/>
  <c r="Q21" i="61"/>
  <c r="R21" i="61"/>
  <c r="C22" i="61"/>
  <c r="D22" i="61"/>
  <c r="E22" i="61"/>
  <c r="F22" i="61"/>
  <c r="G22" i="61"/>
  <c r="H22" i="61"/>
  <c r="I22" i="61"/>
  <c r="J22" i="61"/>
  <c r="K22" i="61"/>
  <c r="L22" i="61"/>
  <c r="M22" i="61"/>
  <c r="N22" i="61"/>
  <c r="O22" i="61"/>
  <c r="P22" i="61"/>
  <c r="Q22" i="61"/>
  <c r="R22" i="61"/>
  <c r="C23" i="61"/>
  <c r="D23" i="61"/>
  <c r="E23" i="61"/>
  <c r="F23" i="61"/>
  <c r="G23" i="61"/>
  <c r="H23" i="61"/>
  <c r="I23" i="61"/>
  <c r="J23" i="61"/>
  <c r="K23" i="61"/>
  <c r="L23" i="61"/>
  <c r="M23" i="61"/>
  <c r="N23" i="61"/>
  <c r="O23" i="61"/>
  <c r="P23" i="61"/>
  <c r="Q23" i="61"/>
  <c r="R23" i="61"/>
  <c r="C24" i="61"/>
  <c r="D24" i="61"/>
  <c r="E24" i="61"/>
  <c r="F24" i="61"/>
  <c r="G24" i="61"/>
  <c r="H24" i="61"/>
  <c r="I24" i="61"/>
  <c r="J24" i="61"/>
  <c r="K24" i="61"/>
  <c r="L24" i="61"/>
  <c r="M24" i="61"/>
  <c r="N24" i="61"/>
  <c r="O24" i="61"/>
  <c r="P24" i="61"/>
  <c r="Q24" i="61"/>
  <c r="R24" i="61"/>
  <c r="B24" i="61"/>
  <c r="B23" i="61"/>
  <c r="B22" i="61"/>
  <c r="B21" i="61"/>
  <c r="B20" i="61"/>
  <c r="B19" i="61"/>
  <c r="C20" i="52"/>
  <c r="D20" i="52"/>
  <c r="E20" i="52"/>
  <c r="F20" i="52"/>
  <c r="G20" i="52"/>
  <c r="H20" i="52"/>
  <c r="I20" i="52"/>
  <c r="J20" i="52"/>
  <c r="K20" i="52"/>
  <c r="L20" i="52"/>
  <c r="M20" i="52"/>
  <c r="N20" i="52"/>
  <c r="O20" i="52"/>
  <c r="P20" i="52"/>
  <c r="Q20" i="52"/>
  <c r="R20" i="52"/>
  <c r="S20" i="52"/>
  <c r="T20" i="52"/>
  <c r="U20" i="52"/>
  <c r="V20" i="52"/>
  <c r="W20" i="52"/>
  <c r="X20" i="52"/>
  <c r="Y20" i="52"/>
  <c r="Z20" i="52"/>
  <c r="AA20" i="52"/>
  <c r="AB20" i="52"/>
  <c r="C21" i="52"/>
  <c r="D21" i="52"/>
  <c r="E21" i="52"/>
  <c r="F21" i="52"/>
  <c r="G21" i="52"/>
  <c r="H21" i="52"/>
  <c r="I21" i="52"/>
  <c r="J21" i="52"/>
  <c r="K21" i="52"/>
  <c r="L21" i="52"/>
  <c r="M21" i="52"/>
  <c r="N21" i="52"/>
  <c r="O21" i="52"/>
  <c r="P21" i="52"/>
  <c r="Q21" i="52"/>
  <c r="R21" i="52"/>
  <c r="S21" i="52"/>
  <c r="T21" i="52"/>
  <c r="U21" i="52"/>
  <c r="V21" i="52"/>
  <c r="W21" i="52"/>
  <c r="X21" i="52"/>
  <c r="Y21" i="52"/>
  <c r="Z21" i="52"/>
  <c r="AA21" i="52"/>
  <c r="AB21" i="52"/>
  <c r="C22" i="52"/>
  <c r="D22" i="52"/>
  <c r="E22" i="52"/>
  <c r="F22" i="52"/>
  <c r="G22" i="52"/>
  <c r="H22" i="52"/>
  <c r="I22" i="52"/>
  <c r="J22" i="52"/>
  <c r="K22" i="52"/>
  <c r="L22" i="52"/>
  <c r="M22" i="52"/>
  <c r="N22" i="52"/>
  <c r="O22" i="52"/>
  <c r="P22" i="52"/>
  <c r="Q22" i="52"/>
  <c r="R22" i="52"/>
  <c r="S22" i="52"/>
  <c r="T22" i="52"/>
  <c r="U22" i="52"/>
  <c r="V22" i="52"/>
  <c r="W22" i="52"/>
  <c r="X22" i="52"/>
  <c r="Y22" i="52"/>
  <c r="Z22" i="52"/>
  <c r="AA22" i="52"/>
  <c r="AB22" i="52"/>
  <c r="C23" i="52"/>
  <c r="D23" i="52"/>
  <c r="E23" i="52"/>
  <c r="F23" i="52"/>
  <c r="G23" i="52"/>
  <c r="H23" i="52"/>
  <c r="I23" i="52"/>
  <c r="J23" i="52"/>
  <c r="K23" i="52"/>
  <c r="L23" i="52"/>
  <c r="M23" i="52"/>
  <c r="N23" i="52"/>
  <c r="O23" i="52"/>
  <c r="P23" i="52"/>
  <c r="Q23" i="52"/>
  <c r="R23" i="52"/>
  <c r="S23" i="52"/>
  <c r="T23" i="52"/>
  <c r="U23" i="52"/>
  <c r="V23" i="52"/>
  <c r="W23" i="52"/>
  <c r="X23" i="52"/>
  <c r="Y23" i="52"/>
  <c r="Z23" i="52"/>
  <c r="AA23" i="52"/>
  <c r="AB23" i="52"/>
  <c r="C24" i="52"/>
  <c r="D24" i="52"/>
  <c r="E24" i="52"/>
  <c r="F24" i="52"/>
  <c r="G24" i="52"/>
  <c r="H24" i="52"/>
  <c r="I24" i="52"/>
  <c r="J24" i="52"/>
  <c r="K24" i="52"/>
  <c r="L24" i="52"/>
  <c r="M24" i="52"/>
  <c r="N24" i="52"/>
  <c r="O24" i="52"/>
  <c r="P24" i="52"/>
  <c r="Q24" i="52"/>
  <c r="R24" i="52"/>
  <c r="S24" i="52"/>
  <c r="T24" i="52"/>
  <c r="U24" i="52"/>
  <c r="V24" i="52"/>
  <c r="W24" i="52"/>
  <c r="X24" i="52"/>
  <c r="Y24" i="52"/>
  <c r="Z24" i="52"/>
  <c r="AA24" i="52"/>
  <c r="AB24" i="52"/>
  <c r="C25" i="52"/>
  <c r="D25" i="52"/>
  <c r="E25" i="52"/>
  <c r="F25" i="52"/>
  <c r="G25" i="52"/>
  <c r="H25" i="52"/>
  <c r="I25" i="52"/>
  <c r="J25" i="52"/>
  <c r="K25" i="52"/>
  <c r="L25" i="52"/>
  <c r="M25" i="52"/>
  <c r="N25" i="52"/>
  <c r="O25" i="52"/>
  <c r="P25" i="52"/>
  <c r="Q25" i="52"/>
  <c r="R25" i="52"/>
  <c r="S25" i="52"/>
  <c r="T25" i="52"/>
  <c r="U25" i="52"/>
  <c r="V25" i="52"/>
  <c r="W25" i="52"/>
  <c r="X25" i="52"/>
  <c r="Y25" i="52"/>
  <c r="Z25" i="52"/>
  <c r="AA25" i="52"/>
  <c r="AB25" i="52"/>
  <c r="B25" i="52"/>
  <c r="B24" i="52"/>
  <c r="B23" i="52"/>
  <c r="B22" i="52"/>
  <c r="B21" i="52"/>
  <c r="B20" i="52"/>
  <c r="C37" i="46"/>
  <c r="D37" i="46"/>
  <c r="E37" i="46"/>
  <c r="F37" i="46"/>
  <c r="G37" i="46"/>
  <c r="H37" i="46"/>
  <c r="I37" i="46"/>
  <c r="J37" i="46"/>
  <c r="K37" i="46"/>
  <c r="L37" i="46"/>
  <c r="M37" i="46"/>
  <c r="N37" i="46"/>
  <c r="O37" i="46"/>
  <c r="P37" i="46"/>
  <c r="B37" i="46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B36" i="46"/>
  <c r="C35" i="46" a="1"/>
  <c r="C35" i="46" s="1"/>
  <c r="D35" i="46" a="1"/>
  <c r="D35" i="46"/>
  <c r="E35" i="46" a="1"/>
  <c r="E35" i="46"/>
  <c r="F35" i="46" a="1"/>
  <c r="F35" i="46"/>
  <c r="G35" i="46" a="1"/>
  <c r="G35" i="46"/>
  <c r="H35" i="46" a="1"/>
  <c r="H35" i="46"/>
  <c r="I35" i="46" a="1"/>
  <c r="I35" i="46" s="1"/>
  <c r="J35" i="46" a="1"/>
  <c r="J35" i="46" s="1"/>
  <c r="K35" i="46" a="1"/>
  <c r="K35" i="46"/>
  <c r="L35" i="46" a="1"/>
  <c r="L35" i="46"/>
  <c r="M35" i="46" a="1"/>
  <c r="M35" i="46" s="1"/>
  <c r="N35" i="46" a="1"/>
  <c r="N35" i="46"/>
  <c r="O35" i="46" a="1"/>
  <c r="O35" i="46" s="1"/>
  <c r="P35" i="46" a="1"/>
  <c r="P35" i="46"/>
  <c r="B35" i="46" a="1"/>
  <c r="B35" i="46" s="1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B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B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B32" i="46"/>
  <c r="C37" i="44"/>
  <c r="D37" i="44"/>
  <c r="E37" i="44"/>
  <c r="F37" i="44"/>
  <c r="G37" i="44"/>
  <c r="H37" i="44"/>
  <c r="I37" i="44"/>
  <c r="J37" i="44"/>
  <c r="K37" i="44"/>
  <c r="L37" i="44"/>
  <c r="M37" i="44"/>
  <c r="N37" i="44"/>
  <c r="O37" i="44"/>
  <c r="B37" i="44"/>
  <c r="C36" i="44"/>
  <c r="D36" i="44"/>
  <c r="E36" i="44"/>
  <c r="F36" i="44"/>
  <c r="G36" i="44"/>
  <c r="H36" i="44"/>
  <c r="I36" i="44"/>
  <c r="J36" i="44"/>
  <c r="K36" i="44"/>
  <c r="L36" i="44"/>
  <c r="M36" i="44"/>
  <c r="N36" i="44"/>
  <c r="O36" i="44"/>
  <c r="B36" i="44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B34" i="44"/>
  <c r="C33" i="44"/>
  <c r="D33" i="44"/>
  <c r="E33" i="44"/>
  <c r="F33" i="44"/>
  <c r="G33" i="44"/>
  <c r="H33" i="44"/>
  <c r="I33" i="44"/>
  <c r="J33" i="44"/>
  <c r="K33" i="44"/>
  <c r="L33" i="44"/>
  <c r="M33" i="44"/>
  <c r="N33" i="44"/>
  <c r="O33" i="44"/>
  <c r="B33" i="44"/>
  <c r="C32" i="44"/>
  <c r="D32" i="44"/>
  <c r="E32" i="44"/>
  <c r="F32" i="44"/>
  <c r="G32" i="44"/>
  <c r="H32" i="44"/>
  <c r="I32" i="44"/>
  <c r="J32" i="44"/>
  <c r="K32" i="44"/>
  <c r="L32" i="44"/>
  <c r="M32" i="44"/>
  <c r="N32" i="44"/>
  <c r="O32" i="44"/>
  <c r="B32" i="4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<sst xmlns="http://schemas.openxmlformats.org/spreadsheetml/2006/main" count="200" uniqueCount="111">
  <si>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</si>
  <si>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</si>
  <si>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</si>
  <si>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</si>
  <si>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</si>
  <si>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</si>
  <si>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</si>
  <si>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</si>
  <si>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</si>
  <si>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</si>
  <si>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</si>
  <si>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</si>
  <si>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</si>
  <si>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</si>
  <si>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</si>
  <si>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</si>
  <si>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</si>
  <si>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</si>
  <si>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</si>
  <si>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</si>
  <si>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</si>
  <si>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</si>
  <si>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</si>
  <si>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</si>
  <si>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</si>
  <si>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</si>
  <si>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</si>
  <si>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</si>
  <si>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</si>
  <si>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</si>
  <si>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</si>
  <si>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</si>
  <si>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</si>
  <si>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</si>
  <si>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</si>
  <si>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</si>
  <si>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</si>
  <si>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</si>
  <si>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</si>
  <si>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</si>
  <si>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</si>
  <si>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</si>
  <si>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</si>
  <si>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</si>
  <si>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</si>
  <si>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</si>
  <si>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</si>
  <si>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</si>
  <si>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</si>
  <si>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</si>
  <si>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</si>
  <si>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</si>
  <si>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</si>
  <si>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</si>
  <si>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</si>
  <si>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</si>
  <si>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</si>
  <si>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</si>
  <si>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</si>
  <si>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</si>
  <si>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</si>
  <si>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</si>
  <si>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</si>
  <si>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</si>
  <si>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</si>
  <si>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</si>
  <si>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</si>
  <si>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</si>
  <si>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</si>
  <si>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</si>
  <si>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</si>
  <si>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</si>
  <si>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</si>
  <si>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</si>
  <si>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</si>
  <si>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</si>
  <si>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</si>
  <si>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</si>
  <si>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</si>
  <si>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</si>
  <si>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</si>
  <si>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</si>
  <si>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</si>
  <si>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</si>
  <si>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</si>
  <si>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</si>
  <si>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</si>
  <si>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</si>
  <si>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</si>
  <si>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</si>
  <si>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</si>
  <si>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</si>
  <si>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</si>
  <si>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</si>
  <si>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</si>
  <si>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</si>
  <si>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</si>
  <si>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</si>
  <si>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</si>
  <si>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</si>
  <si>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</si>
  <si>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</si>
  <si>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</si>
  <si>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</si>
  <si>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</si>
  <si>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Median</t>
  </si>
  <si>
    <t>Mode</t>
  </si>
  <si>
    <t>Mean</t>
  </si>
  <si>
    <t xml:space="preserve">Range </t>
  </si>
  <si>
    <t xml:space="preserve">Variance </t>
  </si>
  <si>
    <t xml:space="preserve">Standard deviation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</si>
</sst>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_-&quot;£&quot;* #,##0.0_-;\-&quot;£&quot;* #,##0.0_-;_-&quot;£&quot;* &quot;-&quot;?_-;_-@_-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50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  <xf numFmtId="37" fontId="7" fillId="0" borderId="2" xfId="0" applyNumberFormat="1" applyFont="1" applyBorder="1" applyAlignment="1">
      <alignment horizontal="left" wrapText="1"/>
    </xf>
    <xf numFmtId="2" fontId="0" fillId="0" borderId="0" xfId="0" applyNumberFormat="1"/>
    <xf numFmtId="0" fontId="34" fillId="0" borderId="3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164" fontId="1" fillId="0" borderId="6" xfId="0" applyNumberFormat="1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/>
    </xf>
    <xf numFmtId="0" fontId="32" fillId="0" borderId="21" xfId="0" applyFont="1" applyBorder="1" applyAlignment="1">
      <alignment horizontal="right" wrapText="1"/>
    </xf>
    <xf numFmtId="0" fontId="32" fillId="0" borderId="3" xfId="0" applyFont="1" applyBorder="1" applyAlignment="1">
      <alignment horizontal="right" wrapText="1"/>
    </xf>
    <xf numFmtId="0" fontId="32" fillId="0" borderId="20" xfId="0" applyFont="1" applyBorder="1" applyAlignment="1">
      <alignment horizontal="right" wrapText="1"/>
    </xf>
    <xf numFmtId="37" fontId="2" fillId="0" borderId="21" xfId="0" applyNumberFormat="1" applyFont="1" applyBorder="1" applyAlignment="1">
      <alignment horizontal="right" wrapText="1"/>
    </xf>
    <xf numFmtId="0" fontId="8" fillId="0" borderId="3" xfId="11" applyNumberFormat="1" applyFont="1" applyBorder="1" applyAlignment="1">
      <alignment horizontal="right"/>
    </xf>
    <xf numFmtId="1" fontId="8" fillId="0" borderId="3" xfId="11" applyNumberFormat="1" applyFont="1" applyBorder="1" applyAlignment="1">
      <alignment horizontal="right"/>
    </xf>
    <xf numFmtId="164" fontId="8" fillId="0" borderId="3" xfId="11" applyFont="1" applyBorder="1" applyAlignment="1">
      <alignment horizontal="right"/>
    </xf>
    <xf numFmtId="164" fontId="8" fillId="0" borderId="20" xfId="11" applyFont="1" applyBorder="1" applyAlignment="1">
      <alignment horizontal="right"/>
    </xf>
    <xf numFmtId="165" fontId="0" fillId="0" borderId="0" xfId="0" applyNumberFormat="1"/>
    <xf numFmtId="0" fontId="0" fillId="0" borderId="21" xfId="0" applyBorder="1"/>
    <xf numFmtId="3" fontId="0" fillId="0" borderId="21" xfId="0" applyNumberFormat="1" applyBorder="1"/>
    <xf numFmtId="2" fontId="0" fillId="0" borderId="21" xfId="0" applyNumberFormat="1" applyBorder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</a:t>
            </a:r>
            <a:r>
              <a:rPr lang="en-US" baseline="0"/>
              <a:t> pie chart to show the Mean public sectors values as a percentage from the years of 2015-2023</a:t>
            </a:r>
            <a:endParaRPr lang="en-US"/>
          </a:p>
        </c:rich>
      </c:tx>
      <c:layout>
        <c:manualLayout>
          <c:xMode val="edge"/>
          <c:yMode val="edge"/>
          <c:x val="0.13938775510204079"/>
          <c:y val="3.39435812086544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'Public Sector Value Bar chart'!$A$4</c:f>
              <c:strCache>
                <c:ptCount val="1"/>
                <c:pt idx="0">
                  <c:v>Mean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092-4E1A-9747-EBCE27A3BA0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092-4E1A-9747-EBCE27A3BA0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092-4E1A-9747-EBCE27A3BA0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092-4E1A-9747-EBCE27A3BA0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092-4E1A-9747-EBCE27A3BA0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092-4E1A-9747-EBCE27A3BA0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092-4E1A-9747-EBCE27A3BA0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092-4E1A-9747-EBCE27A3BA02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E092-4E1A-9747-EBCE27A3BA02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E092-4E1A-9747-EBCE27A3BA02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E092-4E1A-9747-EBCE27A3BA02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E092-4E1A-9747-EBCE27A3BA02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E092-4E1A-9747-EBCE27A3BA02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E092-4E1A-9747-EBCE27A3BA0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'Public Sector Value Bar chart'!$B$3:$O$3</c:f>
              <c:strCache>
                <c:ptCount val="14"/>
                <c:pt idx="0">
                  <c:v>Total public new housing</c:v>
                </c:pt>
                <c:pt idx="1">
                  <c:v>Total public infrastructure</c:v>
                </c:pt>
                <c:pt idx="2">
                  <c:v>Public other new work: factories</c:v>
                </c:pt>
                <c:pt idx="3">
                  <c:v>Public other new work: warehouses</c:v>
                </c:pt>
                <c:pt idx="4">
                  <c:v>Public other new work: oil, steel &amp; coal</c:v>
                </c:pt>
                <c:pt idx="5">
                  <c:v>Public other new work: schools &amp; colleges</c:v>
                </c:pt>
                <c:pt idx="6">
                  <c:v>Public other new work: universities</c:v>
                </c:pt>
                <c:pt idx="7">
                  <c:v>Public other new work: health</c:v>
                </c:pt>
                <c:pt idx="8">
                  <c:v>Public other new work: offices</c:v>
                </c:pt>
                <c:pt idx="9">
                  <c:v>Public other new work: entertainment</c:v>
                </c:pt>
                <c:pt idx="10">
                  <c:v>Public other new work: garages &amp; shops</c:v>
                </c:pt>
                <c:pt idx="11">
                  <c:v>Public other new work: agriculture &amp; miscellaneous</c:v>
                </c:pt>
                <c:pt idx="12">
                  <c:v>Total other new work</c:v>
                </c:pt>
                <c:pt idx="13">
                  <c:v>All Public Sector</c:v>
                </c:pt>
              </c:strCache>
            </c:strRef>
          </c:cat>
          <c:val>
            <c:numRef>
              <c:f>'Public Sector Value Bar chart'!$B$4:$O$4</c:f>
              <c:numCache>
                <c:formatCode>0.00</c:formatCode>
                <c:ptCount val="14"/>
                <c:pt idx="0">
                  <c:v>3837.4230769230771</c:v>
                </c:pt>
                <c:pt idx="1">
                  <c:v>6697.0384615384619</c:v>
                </c:pt>
                <c:pt idx="2">
                  <c:v>103</c:v>
                </c:pt>
                <c:pt idx="3">
                  <c:v>30.76923076923077</c:v>
                </c:pt>
                <c:pt idx="4">
                  <c:v>9.384615384615385</c:v>
                </c:pt>
                <c:pt idx="5">
                  <c:v>3618.9615384615386</c:v>
                </c:pt>
                <c:pt idx="6">
                  <c:v>986.30769230769226</c:v>
                </c:pt>
                <c:pt idx="7">
                  <c:v>1625.7307692307693</c:v>
                </c:pt>
                <c:pt idx="8">
                  <c:v>753.03846153846155</c:v>
                </c:pt>
                <c:pt idx="9">
                  <c:v>820.65384615384619</c:v>
                </c:pt>
                <c:pt idx="10">
                  <c:v>207.26923076923077</c:v>
                </c:pt>
                <c:pt idx="11">
                  <c:v>1055.6538461538462</c:v>
                </c:pt>
                <c:pt idx="12">
                  <c:v>9211</c:v>
                </c:pt>
                <c:pt idx="13">
                  <c:v>19745.423076923078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E092-4E1A-9747-EBCE27A3BA0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</a:t>
            </a:r>
            <a:r>
              <a:rPr lang="en-US" baseline="0"/>
              <a:t> pie chart to show the Mean public sectors values as a percentage from the years of 2015-2023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'Public Sector Value Bar chart'!$A$4</c:f>
              <c:strCache>
                <c:ptCount val="1"/>
                <c:pt idx="0">
                  <c:v>Mean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02F-418D-9034-337D458946D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02F-418D-9034-337D458946D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02F-418D-9034-337D458946D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02F-418D-9034-337D458946D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02F-418D-9034-337D458946D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02F-418D-9034-337D458946D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02F-418D-9034-337D458946D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02F-418D-9034-337D458946D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02F-418D-9034-337D458946D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02F-418D-9034-337D458946D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B02F-418D-9034-337D458946D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B02F-418D-9034-337D458946D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B02F-418D-9034-337D458946D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B02F-418D-9034-337D458946DF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'Public Sector Value Bar chart'!$B$3:$O$3</c:f>
              <c:strCache>
                <c:ptCount val="14"/>
                <c:pt idx="0">
                  <c:v>Total public new housing</c:v>
                </c:pt>
                <c:pt idx="1">
                  <c:v>Total public infrastructure</c:v>
                </c:pt>
                <c:pt idx="2">
                  <c:v>Public other new work: factories</c:v>
                </c:pt>
                <c:pt idx="3">
                  <c:v>Public other new work: warehouses</c:v>
                </c:pt>
                <c:pt idx="4">
                  <c:v>Public other new work: oil, steel &amp; coal</c:v>
                </c:pt>
                <c:pt idx="5">
                  <c:v>Public other new work: schools &amp; colleges</c:v>
                </c:pt>
                <c:pt idx="6">
                  <c:v>Public other new work: universities</c:v>
                </c:pt>
                <c:pt idx="7">
                  <c:v>Public other new work: health</c:v>
                </c:pt>
                <c:pt idx="8">
                  <c:v>Public other new work: offices</c:v>
                </c:pt>
                <c:pt idx="9">
                  <c:v>Public other new work: entertainment</c:v>
                </c:pt>
                <c:pt idx="10">
                  <c:v>Public other new work: garages &amp; shops</c:v>
                </c:pt>
                <c:pt idx="11">
                  <c:v>Public other new work: agriculture &amp; miscellaneous</c:v>
                </c:pt>
                <c:pt idx="12">
                  <c:v>Total other new work</c:v>
                </c:pt>
                <c:pt idx="13">
                  <c:v>All Public Sector</c:v>
                </c:pt>
              </c:strCache>
            </c:strRef>
          </c:cat>
          <c:val>
            <c:numRef>
              <c:f>'Public Sector Value Bar chart'!$B$4:$O$4</c:f>
              <c:numCache>
                <c:formatCode>0.00</c:formatCode>
                <c:ptCount val="14"/>
                <c:pt idx="0">
                  <c:v>3837.4230769230771</c:v>
                </c:pt>
                <c:pt idx="1">
                  <c:v>6697.0384615384619</c:v>
                </c:pt>
                <c:pt idx="2">
                  <c:v>103</c:v>
                </c:pt>
                <c:pt idx="3">
                  <c:v>30.76923076923077</c:v>
                </c:pt>
                <c:pt idx="4">
                  <c:v>9.384615384615385</c:v>
                </c:pt>
                <c:pt idx="5">
                  <c:v>3618.9615384615386</c:v>
                </c:pt>
                <c:pt idx="6">
                  <c:v>986.30769230769226</c:v>
                </c:pt>
                <c:pt idx="7">
                  <c:v>1625.7307692307693</c:v>
                </c:pt>
                <c:pt idx="8">
                  <c:v>753.03846153846155</c:v>
                </c:pt>
                <c:pt idx="9">
                  <c:v>820.65384615384619</c:v>
                </c:pt>
                <c:pt idx="10">
                  <c:v>207.26923076923077</c:v>
                </c:pt>
                <c:pt idx="11">
                  <c:v>1055.6538461538462</c:v>
                </c:pt>
                <c:pt idx="12">
                  <c:v>9211</c:v>
                </c:pt>
                <c:pt idx="13">
                  <c:v>19745.423076923078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06-4531-9E3E-221D6C3C692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solidFill>
                  <a:schemeClr val="dk1"/>
                </a:solidFill>
                <a:latin typeface="+mn-lt"/>
                <a:ea typeface="+mn-ea"/>
                <a:cs typeface="+mn-cs"/>
              </a:rPr>
              <a:t>A line graph to show the range between the smallest and largest firms in Great Britain year by year</a:t>
            </a:r>
            <a:endParaRPr lang="en-GB"/>
          </a:p>
        </c:rich>
      </c:tx>
      <c:overlay val="0"/>
      <c:spPr>
        <a:solidFill>
          <a:schemeClr val="lt1"/>
        </a:solidFill>
        <a:ln w="25400" cap="flat" cmpd="sng" algn="ctr">
          <a:solidFill>
            <a:schemeClr val="dk1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strRef>
              <c:f>'Firm Size chart'!$B$2:$AB$2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 chart'!$B$3:$AB$3</c:f>
              <c:numCache>
                <c:formatCode>General</c:formatCode>
                <c:ptCount val="27"/>
                <c:pt idx="0">
                  <c:v>86231</c:v>
                </c:pt>
                <c:pt idx="1">
                  <c:v>87797</c:v>
                </c:pt>
                <c:pt idx="2">
                  <c:v>87976</c:v>
                </c:pt>
                <c:pt idx="3">
                  <c:v>87677</c:v>
                </c:pt>
                <c:pt idx="4">
                  <c:v>77870</c:v>
                </c:pt>
                <c:pt idx="5">
                  <c:v>71374</c:v>
                </c:pt>
                <c:pt idx="6">
                  <c:v>70306</c:v>
                </c:pt>
                <c:pt idx="7">
                  <c:v>71560</c:v>
                </c:pt>
                <c:pt idx="8">
                  <c:v>73061</c:v>
                </c:pt>
                <c:pt idx="9">
                  <c:v>71906</c:v>
                </c:pt>
                <c:pt idx="10">
                  <c:v>74265</c:v>
                </c:pt>
                <c:pt idx="11">
                  <c:v>78767</c:v>
                </c:pt>
                <c:pt idx="12">
                  <c:v>75320</c:v>
                </c:pt>
                <c:pt idx="13">
                  <c:v>86214</c:v>
                </c:pt>
                <c:pt idx="14">
                  <c:v>89076</c:v>
                </c:pt>
                <c:pt idx="15">
                  <c:v>90592</c:v>
                </c:pt>
                <c:pt idx="16">
                  <c:v>92584</c:v>
                </c:pt>
                <c:pt idx="17">
                  <c:v>92878</c:v>
                </c:pt>
                <c:pt idx="18">
                  <c:v>108635</c:v>
                </c:pt>
                <c:pt idx="19">
                  <c:v>123432</c:v>
                </c:pt>
                <c:pt idx="20">
                  <c:v>133416</c:v>
                </c:pt>
                <c:pt idx="21">
                  <c:v>138013</c:v>
                </c:pt>
                <c:pt idx="22">
                  <c:v>144175</c:v>
                </c:pt>
                <c:pt idx="23">
                  <c:v>148530</c:v>
                </c:pt>
                <c:pt idx="24">
                  <c:v>153566</c:v>
                </c:pt>
                <c:pt idx="25">
                  <c:v>156960</c:v>
                </c:pt>
                <c:pt idx="26">
                  <c:v>156101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CE-4FE7-AD80-67699ECD33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5071471"/>
        <c:axId val="115066671"/>
      </c:lineChart>
      <c:catAx>
        <c:axId val="115071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Year-1997 to 2023</a:t>
                </a:r>
              </a:p>
            </c:rich>
          </c:tx>
          <c:overlay val="0"/>
          <c:spPr>
            <a:noFill/>
            <a:ln>
              <a:solidFill>
                <a:sysClr val="windowText" lastClr="000000"/>
              </a:solidFill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66671"/>
        <c:crosses val="autoZero"/>
        <c:auto val="1"/>
        <c:lblAlgn val="ctr"/>
        <c:lblOffset val="100"/>
        <c:noMultiLvlLbl val="0"/>
      </c:catAx>
      <c:valAx>
        <c:axId val="115066671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71471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solidFill>
            <a:schemeClr val="tx1"/>
          </a:solidFill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solidFill>
                  <a:schemeClr val="dk1"/>
                </a:solidFill>
                <a:latin typeface="+mn-lt"/>
                <a:ea typeface="+mn-ea"/>
                <a:cs typeface="+mn-cs"/>
              </a:rPr>
              <a:t>A line graph to show the range between the smallest and largest firms in Great Britain year by year</a:t>
            </a:r>
            <a:endParaRPr lang="en-GB"/>
          </a:p>
        </c:rich>
      </c:tx>
      <c:overlay val="0"/>
      <c:spPr>
        <a:solidFill>
          <a:schemeClr val="lt1"/>
        </a:solidFill>
        <a:ln w="25400" cap="flat" cmpd="sng" algn="ctr">
          <a:solidFill>
            <a:schemeClr val="dk1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strRef>
              <c:f>'Firm Size chart'!$B$2:$AB$2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 chart'!$B$3:$AB$3</c:f>
              <c:numCache>
                <c:formatCode>General</c:formatCode>
                <c:ptCount val="27"/>
                <c:pt idx="0">
                  <c:v>86231</c:v>
                </c:pt>
                <c:pt idx="1">
                  <c:v>87797</c:v>
                </c:pt>
                <c:pt idx="2">
                  <c:v>87976</c:v>
                </c:pt>
                <c:pt idx="3">
                  <c:v>87677</c:v>
                </c:pt>
                <c:pt idx="4">
                  <c:v>77870</c:v>
                </c:pt>
                <c:pt idx="5">
                  <c:v>71374</c:v>
                </c:pt>
                <c:pt idx="6">
                  <c:v>70306</c:v>
                </c:pt>
                <c:pt idx="7">
                  <c:v>71560</c:v>
                </c:pt>
                <c:pt idx="8">
                  <c:v>73061</c:v>
                </c:pt>
                <c:pt idx="9">
                  <c:v>71906</c:v>
                </c:pt>
                <c:pt idx="10">
                  <c:v>74265</c:v>
                </c:pt>
                <c:pt idx="11">
                  <c:v>78767</c:v>
                </c:pt>
                <c:pt idx="12">
                  <c:v>75320</c:v>
                </c:pt>
                <c:pt idx="13">
                  <c:v>86214</c:v>
                </c:pt>
                <c:pt idx="14">
                  <c:v>89076</c:v>
                </c:pt>
                <c:pt idx="15">
                  <c:v>90592</c:v>
                </c:pt>
                <c:pt idx="16">
                  <c:v>92584</c:v>
                </c:pt>
                <c:pt idx="17">
                  <c:v>92878</c:v>
                </c:pt>
                <c:pt idx="18">
                  <c:v>108635</c:v>
                </c:pt>
                <c:pt idx="19">
                  <c:v>123432</c:v>
                </c:pt>
                <c:pt idx="20">
                  <c:v>133416</c:v>
                </c:pt>
                <c:pt idx="21">
                  <c:v>138013</c:v>
                </c:pt>
                <c:pt idx="22">
                  <c:v>144175</c:v>
                </c:pt>
                <c:pt idx="23">
                  <c:v>148530</c:v>
                </c:pt>
                <c:pt idx="24">
                  <c:v>153566</c:v>
                </c:pt>
                <c:pt idx="25">
                  <c:v>156960</c:v>
                </c:pt>
                <c:pt idx="26">
                  <c:v>156101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66-406A-A4F2-0F9D3AA880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5071471"/>
        <c:axId val="115066671"/>
      </c:lineChart>
      <c:catAx>
        <c:axId val="115071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Year-1997 to 2023</a:t>
                </a:r>
              </a:p>
            </c:rich>
          </c:tx>
          <c:overlay val="0"/>
          <c:spPr>
            <a:noFill/>
            <a:ln>
              <a:solidFill>
                <a:sysClr val="windowText" lastClr="000000"/>
              </a:solidFill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66671"/>
        <c:crosses val="autoZero"/>
        <c:auto val="1"/>
        <c:lblAlgn val="ctr"/>
        <c:lblOffset val="100"/>
        <c:noMultiLvlLbl val="0"/>
      </c:catAx>
      <c:valAx>
        <c:axId val="115066671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71471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solidFill>
            <a:schemeClr val="tx1"/>
          </a:solidFill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 Bar graph to show the Median turnover band of firms in Great britain from the years 2007-2023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Value 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'No. of firms- Turnover chart '!$A$2:$Q$2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firms- Turnover chart '!$A$3:$Q$3</c:f>
              <c:numCache>
                <c:formatCode>_-"£"* #,##0.0_-;\-"£"* #,##0.0_-;_-"£"* "-"?_-;_-@_-</c:formatCode>
                <c:ptCount val="17"/>
                <c:pt idx="0">
                  <c:v>296.5</c:v>
                </c:pt>
                <c:pt idx="1">
                  <c:v>312</c:v>
                </c:pt>
                <c:pt idx="2">
                  <c:v>304</c:v>
                </c:pt>
                <c:pt idx="3">
                  <c:v>265.5</c:v>
                </c:pt>
                <c:pt idx="4">
                  <c:v>252.5</c:v>
                </c:pt>
                <c:pt idx="5">
                  <c:v>241.5</c:v>
                </c:pt>
                <c:pt idx="6">
                  <c:v>239</c:v>
                </c:pt>
                <c:pt idx="7">
                  <c:v>254.5</c:v>
                </c:pt>
                <c:pt idx="8">
                  <c:v>264.5</c:v>
                </c:pt>
                <c:pt idx="9">
                  <c:v>319.5</c:v>
                </c:pt>
                <c:pt idx="10">
                  <c:v>351.5</c:v>
                </c:pt>
                <c:pt idx="11">
                  <c:v>380</c:v>
                </c:pt>
                <c:pt idx="12">
                  <c:v>398</c:v>
                </c:pt>
                <c:pt idx="13">
                  <c:v>426</c:v>
                </c:pt>
                <c:pt idx="14">
                  <c:v>380</c:v>
                </c:pt>
                <c:pt idx="15">
                  <c:v>354</c:v>
                </c:pt>
                <c:pt idx="16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07-4DE0-8C2D-4DB67A45196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409614239"/>
        <c:axId val="409617119"/>
      </c:barChart>
      <c:catAx>
        <c:axId val="40961423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17119"/>
        <c:crosses val="autoZero"/>
        <c:auto val="1"/>
        <c:lblAlgn val="ctr"/>
        <c:lblOffset val="100"/>
        <c:noMultiLvlLbl val="0"/>
      </c:catAx>
      <c:valAx>
        <c:axId val="4096171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Turnover Size (£50,000-£450,000)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&quot;£&quot;* #,##0.0_-;\-&quot;£&quot;* #,##0.0_-;_-&quot;£&quot;* &quot;-&quot;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14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 Bar graph to show the Median turnover band of firms in Great britain from the years 2007-2023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Value 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'No. of firms- Turnover chart '!$A$2:$Q$2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firms- Turnover chart '!$A$3:$Q$3</c:f>
              <c:numCache>
                <c:formatCode>_-"£"* #,##0.0_-;\-"£"* #,##0.0_-;_-"£"* "-"?_-;_-@_-</c:formatCode>
                <c:ptCount val="17"/>
                <c:pt idx="0">
                  <c:v>296.5</c:v>
                </c:pt>
                <c:pt idx="1">
                  <c:v>312</c:v>
                </c:pt>
                <c:pt idx="2">
                  <c:v>304</c:v>
                </c:pt>
                <c:pt idx="3">
                  <c:v>265.5</c:v>
                </c:pt>
                <c:pt idx="4">
                  <c:v>252.5</c:v>
                </c:pt>
                <c:pt idx="5">
                  <c:v>241.5</c:v>
                </c:pt>
                <c:pt idx="6">
                  <c:v>239</c:v>
                </c:pt>
                <c:pt idx="7">
                  <c:v>254.5</c:v>
                </c:pt>
                <c:pt idx="8">
                  <c:v>264.5</c:v>
                </c:pt>
                <c:pt idx="9">
                  <c:v>319.5</c:v>
                </c:pt>
                <c:pt idx="10">
                  <c:v>351.5</c:v>
                </c:pt>
                <c:pt idx="11">
                  <c:v>380</c:v>
                </c:pt>
                <c:pt idx="12">
                  <c:v>398</c:v>
                </c:pt>
                <c:pt idx="13">
                  <c:v>426</c:v>
                </c:pt>
                <c:pt idx="14">
                  <c:v>380</c:v>
                </c:pt>
                <c:pt idx="15">
                  <c:v>354</c:v>
                </c:pt>
                <c:pt idx="16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9E-41AF-AA13-8A8660FEB44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409614239"/>
        <c:axId val="409617119"/>
      </c:barChart>
      <c:catAx>
        <c:axId val="40961423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17119"/>
        <c:crosses val="autoZero"/>
        <c:auto val="1"/>
        <c:lblAlgn val="ctr"/>
        <c:lblOffset val="100"/>
        <c:noMultiLvlLbl val="0"/>
      </c:catAx>
      <c:valAx>
        <c:axId val="4096171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Turnover Size (£50,000-£450,000)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&quot;£&quot;* #,##0.0_-;\-&quot;£&quot;* #,##0.0_-;_-&quot;£&quot;* &quot;-&quot;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14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281940</xdr:colOff>
      <xdr:row>4</xdr:row>
      <xdr:rowOff>83820</xdr:rowOff>
    </xdr:from>
    <xdr:to>
      <xdr:col>27</xdr:col>
      <xdr:colOff>525780</xdr:colOff>
      <xdr:row>27</xdr:row>
      <xdr:rowOff>167640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65EE154-FC9C-444F-A9D6-07ED8F2834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365760</xdr:colOff>
      <xdr:row>0</xdr:row>
      <xdr:rowOff>160020</xdr:rowOff>
    </xdr:from>
    <xdr:to>
      <xdr:col>16</xdr:col>
      <xdr:colOff>441960</xdr:colOff>
      <xdr:row>22</xdr:row>
      <xdr:rowOff>144780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F063837-EC9B-BABF-1991-F312F0762F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160020</xdr:colOff>
      <xdr:row>2</xdr:row>
      <xdr:rowOff>76200</xdr:rowOff>
    </xdr:from>
    <xdr:to>
      <xdr:col>39</xdr:col>
      <xdr:colOff>441960</xdr:colOff>
      <xdr:row>24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8CDB30-E678-4DE9-8B32-2C2897AE5E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6</xdr:row>
      <xdr:rowOff>179070</xdr:rowOff>
    </xdr:from>
    <xdr:to>
      <xdr:col>21</xdr:col>
      <xdr:colOff>228600</xdr:colOff>
      <xdr:row>21</xdr:row>
      <xdr:rowOff>179070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BD08C11-9838-40AC-B1D1-3C9C3471D0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457200</xdr:colOff>
      <xdr:row>3</xdr:row>
      <xdr:rowOff>175260</xdr:rowOff>
    </xdr:from>
    <xdr:to>
      <xdr:col>28</xdr:col>
      <xdr:colOff>220980</xdr:colOff>
      <xdr:row>22</xdr:row>
      <xdr:rowOff>3810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403154-316A-492D-964F-C385303FB9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179070</xdr:rowOff>
    </xdr:from>
    <xdr:to>
      <xdr:col>17</xdr:col>
      <xdr:colOff>297180</xdr:colOff>
      <xdr:row>25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714C6A-B647-7DE0-A2B7-5F92625720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40FD0F0-CC72-411D-85EB-263B6120B60E}">
  <we:reference id="wa200005271" version="2.6.1.0" store="en-US" storeType="OMEX"/>
  <we:alternateReferences>
    <we:reference id="wa200005271" version="2.6.1.0" store="wa200005271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pane xSplit="1" ySplit="4" topLeftCell="H7" activePane="bottomRight" state="frozen"/>
      <selection pane="topRight" activeCell="B1" sqref="B1"/>
      <selection pane="bottomLeft" activeCell="A5" sqref="A5"/>
      <selection pane="bottomRight" activeCell="A32" sqref="A32:XFD37"/>
    </sheetView>
  </sheetViews>
  <sheetFormatPr defaultColWidth="8.77734375" defaultRowHeight="14.4"/>
  <cols>
    <col min="1" max="1" width="16.88671875" customWidth="1"/>
    <col min="2" max="2" width="12" customWidth="1"/>
    <col min="3" max="3" width="16" customWidth="1"/>
    <col min="4" max="4" width="12.21875" customWidth="1"/>
    <col min="5" max="5" width="12.554687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 ht="19.95" customHeight="1">
      <c r="A32" s="47" t="s">
        <v>105</v>
      </c>
      <c r="B32" s="47">
        <f>MEDIAN(Table1.1[Total public new housing])</f>
        <v>4186</v>
      </c>
      <c r="C32" s="47">
        <f>MEDIAN(Table1.1[Total public infrastructure])</f>
        <v>4599</v>
      </c>
      <c r="D32" s="47">
        <f>MEDIAN(Table1.1[Public other new work: factories])</f>
        <v>88</v>
      </c>
      <c r="E32" s="47">
        <f>MEDIAN(Table1.1[Public other new work: warehouses])</f>
        <v>29</v>
      </c>
      <c r="F32" s="47">
        <f>MEDIAN(Table1.1[Public other new work: oil, steel &amp; coal])</f>
        <v>4</v>
      </c>
      <c r="G32" s="47">
        <f>MEDIAN(Table1.1[Public other new work: schools &amp; colleges])</f>
        <v>3977</v>
      </c>
      <c r="H32" s="47">
        <f>MEDIAN(Table1.1[Public other new work: universities])</f>
        <v>960.5</v>
      </c>
      <c r="I32" s="47">
        <f>MEDIAN(Table1.1[Public other new work: health])</f>
        <v>1676.5</v>
      </c>
      <c r="J32" s="47">
        <f>MEDIAN(Table1.1[Public other new work: offices])</f>
        <v>818.5</v>
      </c>
      <c r="K32" s="47">
        <f>MEDIAN(Table1.1[Public other new work: entertainment])</f>
        <v>829.5</v>
      </c>
      <c r="L32" s="47">
        <f>MEDIAN(Table1.1[Public other new work: garages &amp; shops])</f>
        <v>152.5</v>
      </c>
      <c r="M32" s="47">
        <f>MEDIAN(Table1.1[Public other new work: agriculture &amp; miscellaneous])</f>
        <v>1080</v>
      </c>
      <c r="N32" s="47">
        <f>MEDIAN(Table1.1[Total other new work])</f>
        <v>10049.5</v>
      </c>
      <c r="O32" s="47">
        <f>MEDIAN(Table1.1[All Public Sector])</f>
        <v>19814.5</v>
      </c>
    </row>
    <row r="33" spans="1:15" ht="19.95" customHeight="1">
      <c r="A33" s="47" t="s">
        <v>106</v>
      </c>
      <c r="B33" s="47" t="e">
        <f>MODE(Table1.1[Total public new housing])</f>
        <v>#N/A</v>
      </c>
      <c r="C33" s="47" t="e">
        <f>MODE(Table1.1[Total public infrastructure])</f>
        <v>#N/A</v>
      </c>
      <c r="D33" s="47">
        <f>MODE(Table1.1[Public other new work: factories])</f>
        <v>77</v>
      </c>
      <c r="E33" s="47">
        <f>MODE(Table1.1[Public other new work: warehouses])</f>
        <v>29</v>
      </c>
      <c r="F33" s="47">
        <f>MODE(Table1.1[Public other new work: oil, steel &amp; coal])</f>
        <v>4</v>
      </c>
      <c r="G33" s="47" t="e">
        <f>MODE(Table1.1[Public other new work: schools &amp; colleges])</f>
        <v>#N/A</v>
      </c>
      <c r="H33" s="47" t="e">
        <f>MODE(Table1.1[Public other new work: universities])</f>
        <v>#N/A</v>
      </c>
      <c r="I33" s="47" t="e">
        <f>MODE(Table1.1[Public other new work: health])</f>
        <v>#N/A</v>
      </c>
      <c r="J33" s="47" t="e">
        <f>MODE(Table1.1[Public other new work: offices])</f>
        <v>#N/A</v>
      </c>
      <c r="K33" s="47" t="e">
        <f>MODE(Table1.1[Public other new work: entertainment])</f>
        <v>#N/A</v>
      </c>
      <c r="L33" s="47" t="e">
        <f>MODE(Table1.1[Public other new work: garages &amp; shops])</f>
        <v>#N/A</v>
      </c>
      <c r="M33" s="47">
        <f>MODE(Table1.1[Public other new work: agriculture &amp; miscellaneous])</f>
        <v>668</v>
      </c>
      <c r="N33" s="47" t="e">
        <f>MODE(Table1.1[Total other new work])</f>
        <v>#N/A</v>
      </c>
      <c r="O33" s="47" t="e">
        <f>MODE(Table1.1[All Public Sector])</f>
        <v>#N/A</v>
      </c>
    </row>
    <row r="34" spans="1:15" ht="19.95" customHeight="1">
      <c r="A34" s="47" t="s">
        <v>107</v>
      </c>
      <c r="B34" s="49">
        <f>SUM(Table1.1[Total public new housing])/26</f>
        <v>3837.4230769230771</v>
      </c>
      <c r="C34" s="49">
        <f>SUM(Table1.1[Total public infrastructure])/26</f>
        <v>6697.0384615384619</v>
      </c>
      <c r="D34" s="49">
        <f>SUM(Table1.1[Public other new work: factories])/26</f>
        <v>103</v>
      </c>
      <c r="E34" s="49">
        <f>SUM(Table1.1[Public other new work: warehouses])/26</f>
        <v>30.76923076923077</v>
      </c>
      <c r="F34" s="49">
        <f>SUM(Table1.1[Public other new work: oil, steel &amp; coal])/26</f>
        <v>9.384615384615385</v>
      </c>
      <c r="G34" s="49">
        <f>SUM(Table1.1[Public other new work: schools &amp; colleges])/26</f>
        <v>3618.9615384615386</v>
      </c>
      <c r="H34" s="49">
        <f>SUM(Table1.1[Public other new work: universities])/26</f>
        <v>986.30769230769226</v>
      </c>
      <c r="I34" s="49">
        <f>SUM(Table1.1[Public other new work: health])/26</f>
        <v>1625.7307692307693</v>
      </c>
      <c r="J34" s="49">
        <f>SUM(Table1.1[Public other new work: offices])/26</f>
        <v>753.03846153846155</v>
      </c>
      <c r="K34" s="49">
        <f>SUM(Table1.1[Public other new work: entertainment])/26</f>
        <v>820.65384615384619</v>
      </c>
      <c r="L34" s="49">
        <f>SUM(Table1.1[Public other new work: garages &amp; shops])/26</f>
        <v>207.26923076923077</v>
      </c>
      <c r="M34" s="49">
        <f>SUM(Table1.1[Public other new work: agriculture &amp; miscellaneous])/26</f>
        <v>1055.6538461538462</v>
      </c>
      <c r="N34" s="49">
        <f>SUM(Table1.1[Total other new work])/26</f>
        <v>9211</v>
      </c>
      <c r="O34" s="49">
        <f>SUM(Table1.1[All Public Sector])/26</f>
        <v>19745.423076923078</v>
      </c>
    </row>
    <row r="35" spans="1:15" ht="19.95" customHeight="1">
      <c r="A35" s="47" t="s">
        <v>108</v>
      </c>
      <c r="B35" s="48">
        <f>MAX(Table1.1[Total public new housing])-MIN(Table1.1[Total public new housing])</f>
        <v>6214</v>
      </c>
      <c r="C35" s="48">
        <f>MAX(Table1.1[Total public infrastructure])-MIN(Table1.1[Total public infrastructure])</f>
        <v>17417</v>
      </c>
      <c r="D35" s="48">
        <f>MAX(Table1.1[Public other new work: factories])-MIN(Table1.1[Public other new work: factories])</f>
        <v>229</v>
      </c>
      <c r="E35" s="48">
        <f>MAX(Table1.1[Public other new work: warehouses])-MIN(Table1.1[Public other new work: warehouses])</f>
        <v>65</v>
      </c>
      <c r="F35" s="48">
        <f>MAX(Table1.1[Public other new work: oil, steel &amp; coal])-MIN(Table1.1[Public other new work: oil, steel &amp; coal])</f>
        <v>44</v>
      </c>
      <c r="G35" s="48">
        <f>MAX(Table1.1[Public other new work: schools &amp; colleges])-MIN(Table1.1[Public other new work: schools &amp; colleges])</f>
        <v>6138</v>
      </c>
      <c r="H35" s="48">
        <f>MAX(Table1.1[Public other new work: universities])-MIN(Table1.1[Public other new work: universities])</f>
        <v>1562</v>
      </c>
      <c r="I35" s="48">
        <f>MAX(Table1.1[Public other new work: health])-MIN(Table1.1[Public other new work: health])</f>
        <v>1902</v>
      </c>
      <c r="J35" s="48">
        <f>MAX(Table1.1[Public other new work: offices])-MIN(Table1.1[Public other new work: offices])</f>
        <v>645</v>
      </c>
      <c r="K35" s="48">
        <f>MAX(Table1.1[Public other new work: entertainment])-MIN(Table1.1[Public other new work: entertainment])</f>
        <v>1201</v>
      </c>
      <c r="L35" s="48">
        <f>MAX(Table1.1[Public other new work: garages &amp; shops])-MIN(Table1.1[Public other new work: garages &amp; shops])</f>
        <v>619</v>
      </c>
      <c r="M35" s="48">
        <f>MAX(Table1.1[Public other new work: agriculture &amp; miscellaneous])-MIN(Table1.1[Public other new work: agriculture &amp; miscellaneous])</f>
        <v>1742</v>
      </c>
      <c r="N35" s="48">
        <f>MAX(Table1.1[Total other new work])-MIN(Table1.1[Total other new work])</f>
        <v>11029</v>
      </c>
      <c r="O35" s="48">
        <f>MAX(Table1.1[All Public Sector])-MIN(Table1.1[All Public Sector])</f>
        <v>31608</v>
      </c>
    </row>
    <row r="36" spans="1:15" ht="19.95" customHeight="1">
      <c r="A36" s="47" t="s">
        <v>109</v>
      </c>
      <c r="B36" s="49">
        <f>_xlfn.VAR.P(Table1.1[Total public new housing])</f>
        <v>3595424.4748520711</v>
      </c>
      <c r="C36" s="49">
        <f>_xlfn.VAR.P(Table1.1[Total public infrastructure])</f>
        <v>24453640.883136094</v>
      </c>
      <c r="D36" s="49">
        <f>_xlfn.VAR.P(Table1.1[Public other new work: factories])</f>
        <v>2863.2307692307691</v>
      </c>
      <c r="E36" s="49">
        <f>_xlfn.VAR.P(Table1.1[Public other new work: warehouses])</f>
        <v>239.25443786982248</v>
      </c>
      <c r="F36" s="49">
        <f>_xlfn.VAR.P(Table1.1[Public other new work: oil, steel &amp; coal])</f>
        <v>140.31360946745562</v>
      </c>
      <c r="G36" s="49">
        <f>_xlfn.VAR.P(Table1.1[Public other new work: schools &amp; colleges])</f>
        <v>2243274.9600591715</v>
      </c>
      <c r="H36" s="49">
        <f>_xlfn.VAR.P(Table1.1[Public other new work: universities])</f>
        <v>179229.59763313609</v>
      </c>
      <c r="I36" s="49">
        <f>_xlfn.VAR.P(Table1.1[Public other new work: health])</f>
        <v>267587.50443786982</v>
      </c>
      <c r="J36" s="49">
        <f>_xlfn.VAR.P(Table1.1[Public other new work: offices])</f>
        <v>35219.883136094671</v>
      </c>
      <c r="K36" s="49">
        <f>_xlfn.VAR.P(Table1.1[Public other new work: entertainment])</f>
        <v>75752.380177514788</v>
      </c>
      <c r="L36" s="49">
        <f>_xlfn.VAR.P(Table1.1[Public other new work: garages &amp; shops])</f>
        <v>21642.196745562131</v>
      </c>
      <c r="M36" s="49">
        <f>_xlfn.VAR.P(Table1.1[Public other new work: agriculture &amp; miscellaneous])</f>
        <v>123151.38017751479</v>
      </c>
      <c r="N36" s="49">
        <f>_xlfn.VAR.P(Table1.1[Total other new work])</f>
        <v>8382488</v>
      </c>
      <c r="O36" s="49">
        <f>_xlfn.VAR.P(Table1.1[All Public Sector])</f>
        <v>70615513.782544374</v>
      </c>
    </row>
    <row r="37" spans="1:15" ht="19.95" customHeight="1">
      <c r="A37" s="47" t="s">
        <v>110</v>
      </c>
      <c r="B37" s="49">
        <f>_xlfn.STDEV.P(Table1.1[Total public new housing])</f>
        <v>1896.1604559878554</v>
      </c>
      <c r="C37" s="49">
        <f>_xlfn.STDEV.P(Table1.1[Total public infrastructure])</f>
        <v>4945.0622729280258</v>
      </c>
      <c r="D37" s="49">
        <f>_xlfn.STDEV.P(Table1.1[Public other new work: factories])</f>
        <v>53.509165282508093</v>
      </c>
      <c r="E37" s="49">
        <f>_xlfn.STDEV.P(Table1.1[Public other new work: warehouses])</f>
        <v>15.467851753550732</v>
      </c>
      <c r="F37" s="49">
        <f>_xlfn.STDEV.P(Table1.1[Public other new work: oil, steel &amp; coal])</f>
        <v>11.845404571708626</v>
      </c>
      <c r="G37" s="49">
        <f>_xlfn.STDEV.P(Table1.1[Public other new work: schools &amp; colleges])</f>
        <v>1497.7566424687195</v>
      </c>
      <c r="H37" s="49">
        <f>_xlfn.STDEV.P(Table1.1[Public other new work: universities])</f>
        <v>423.3551672451112</v>
      </c>
      <c r="I37" s="49">
        <f>_xlfn.STDEV.P(Table1.1[Public other new work: health])</f>
        <v>517.28860845554084</v>
      </c>
      <c r="J37" s="49">
        <f>_xlfn.STDEV.P(Table1.1[Public other new work: offices])</f>
        <v>187.66961164795612</v>
      </c>
      <c r="K37" s="49">
        <f>_xlfn.STDEV.P(Table1.1[Public other new work: entertainment])</f>
        <v>275.23150287987528</v>
      </c>
      <c r="L37" s="49">
        <f>_xlfn.STDEV.P(Table1.1[Public other new work: garages &amp; shops])</f>
        <v>147.11287076786357</v>
      </c>
      <c r="M37" s="49">
        <f>_xlfn.STDEV.P(Table1.1[Public other new work: agriculture &amp; miscellaneous])</f>
        <v>350.92930937371813</v>
      </c>
      <c r="N37" s="49">
        <f>_xlfn.STDEV.P(Table1.1[Total other new work])</f>
        <v>2895.2526660034355</v>
      </c>
      <c r="O37" s="49">
        <f>_xlfn.STDEV.P(Table1.1[All Public Sector])</f>
        <v>8403.3037421328754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61213-594A-42F8-85CF-64127BDA43B5}">
  <dimension ref="A1:O12"/>
  <sheetViews>
    <sheetView workbookViewId="0">
      <selection activeCell="E10" sqref="E10"/>
    </sheetView>
  </sheetViews>
  <sheetFormatPr defaultRowHeight="14.4"/>
  <cols>
    <col min="1" max="16" width="10.77734375" customWidth="1"/>
  </cols>
  <sheetData>
    <row r="1" spans="1:15" ht="19.2">
      <c r="A1" s="4" t="s">
        <v>104</v>
      </c>
    </row>
    <row r="2" spans="1:15">
      <c r="A2" s="5" t="s">
        <v>29</v>
      </c>
    </row>
    <row r="3" spans="1:15" ht="93">
      <c r="A3" s="37" t="s">
        <v>30</v>
      </c>
      <c r="B3" s="38" t="s">
        <v>46</v>
      </c>
      <c r="C3" s="38" t="s">
        <v>47</v>
      </c>
      <c r="D3" s="39" t="s">
        <v>31</v>
      </c>
      <c r="E3" s="39" t="s">
        <v>32</v>
      </c>
      <c r="F3" s="39" t="s">
        <v>33</v>
      </c>
      <c r="G3" s="39" t="s">
        <v>34</v>
      </c>
      <c r="H3" s="39" t="s">
        <v>35</v>
      </c>
      <c r="I3" s="39" t="s">
        <v>36</v>
      </c>
      <c r="J3" s="39" t="s">
        <v>37</v>
      </c>
      <c r="K3" s="39" t="s">
        <v>38</v>
      </c>
      <c r="L3" s="39" t="s">
        <v>39</v>
      </c>
      <c r="M3" s="40" t="s">
        <v>40</v>
      </c>
      <c r="N3" s="41" t="s">
        <v>41</v>
      </c>
      <c r="O3" s="41" t="s">
        <v>0</v>
      </c>
    </row>
    <row r="4" spans="1:15">
      <c r="A4" s="2" t="s">
        <v>107</v>
      </c>
      <c r="B4" s="33">
        <v>3837.4230769230771</v>
      </c>
      <c r="C4" s="33">
        <v>6697.0384615384619</v>
      </c>
      <c r="D4" s="33">
        <v>103</v>
      </c>
      <c r="E4" s="33">
        <v>30.76923076923077</v>
      </c>
      <c r="F4" s="33">
        <v>9.384615384615385</v>
      </c>
      <c r="G4" s="33">
        <v>3618.9615384615386</v>
      </c>
      <c r="H4" s="33">
        <v>986.30769230769226</v>
      </c>
      <c r="I4" s="33">
        <v>1625.7307692307693</v>
      </c>
      <c r="J4" s="33">
        <v>753.03846153846155</v>
      </c>
      <c r="K4" s="33">
        <v>820.65384615384619</v>
      </c>
      <c r="L4" s="33">
        <v>207.26923076923077</v>
      </c>
      <c r="M4" s="33">
        <v>1055.6538461538462</v>
      </c>
      <c r="N4" s="33">
        <v>9211</v>
      </c>
      <c r="O4" s="33">
        <v>19745.423076923078</v>
      </c>
    </row>
    <row r="5" spans="1:15">
      <c r="A5" s="2"/>
    </row>
    <row r="6" spans="1:15">
      <c r="A6" s="2"/>
    </row>
    <row r="7" spans="1:15">
      <c r="A7" s="2"/>
    </row>
    <row r="8" spans="1:15">
      <c r="A8" s="2"/>
    </row>
    <row r="9" spans="1:15">
      <c r="A9" s="1"/>
    </row>
    <row r="10" spans="1:15">
      <c r="A10" s="2"/>
    </row>
    <row r="11" spans="1:15">
      <c r="A11" s="2"/>
    </row>
    <row r="12" spans="1:15">
      <c r="A12" s="3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7"/>
  <sheetViews>
    <sheetView topLeftCell="A16" workbookViewId="0">
      <selection activeCell="F41" sqref="F41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 ht="21" customHeight="1"/>
    <row r="32" spans="1:16" ht="19.95" customHeight="1">
      <c r="A32" s="47" t="s">
        <v>105</v>
      </c>
      <c r="B32" s="49">
        <f>MEDIAN(Table1.2[Total private new housing])</f>
        <v>19846</v>
      </c>
      <c r="C32" s="49">
        <f>MEDIAN(Table1.2[Total private Infrastructure])</f>
        <v>8715.5</v>
      </c>
      <c r="D32" s="49">
        <f>MEDIAN(Table1.2[Private industrial: factories])</f>
        <v>2678</v>
      </c>
      <c r="E32" s="49">
        <f>MEDIAN(Table1.2[Private industrial: warehouses])</f>
        <v>2025.5</v>
      </c>
      <c r="F32" s="49">
        <f>MEDIAN(Table1.2[Private industrial: oil, steel &amp; coal])</f>
        <v>151</v>
      </c>
      <c r="G32" s="49">
        <f>MEDIAN(Table1.2[All private industrial])</f>
        <v>4859.5</v>
      </c>
      <c r="H32" s="49">
        <f>MEDIAN(Table1.2[Private commercial: schools &amp; universities])</f>
        <v>3188.5</v>
      </c>
      <c r="I32" s="49">
        <f>MEDIAN(Table1.2[Private commercial: health])</f>
        <v>1196.5</v>
      </c>
      <c r="J32" s="49">
        <f>MEDIAN(Table1.2[Private commercial: offices])</f>
        <v>8883.5</v>
      </c>
      <c r="K32" s="49">
        <f>MEDIAN(Table1.2[Private commercial: entertainment])</f>
        <v>4749</v>
      </c>
      <c r="L32" s="49">
        <f>MEDIAN(Table1.2[Private commercial: garages])</f>
        <v>499</v>
      </c>
      <c r="M32" s="49">
        <f>MEDIAN(Table1.2[Private commercial: shops])</f>
        <v>4989.5</v>
      </c>
      <c r="N32" s="49">
        <f>MEDIAN(Table1.2[Private commercial: agriculture &amp; miscellaneous])</f>
        <v>1266.5</v>
      </c>
      <c r="O32" s="49">
        <f>MEDIAN(Table1.2[All private commercial])</f>
        <v>25533.5</v>
      </c>
      <c r="P32" s="49">
        <f>MEDIAN(Table1.2[All Private Sector])</f>
        <v>60478.5</v>
      </c>
    </row>
    <row r="33" spans="1:16" ht="19.95" customHeight="1">
      <c r="A33" s="47" t="s">
        <v>106</v>
      </c>
      <c r="B33" s="49" t="e">
        <f>MODE(Table1.2[Total private new housing])</f>
        <v>#N/A</v>
      </c>
      <c r="C33" s="49">
        <f>MODE(Table1.2[Total private Infrastructure])</f>
        <v>5305</v>
      </c>
      <c r="D33" s="49">
        <f>MODE(Table1.2[Private industrial: factories])</f>
        <v>3296</v>
      </c>
      <c r="E33" s="49" t="e">
        <f>MODE(Table1.2[Private industrial: warehouses])</f>
        <v>#N/A</v>
      </c>
      <c r="F33" s="49">
        <f>MODE(Table1.2[Private industrial: oil, steel &amp; coal])</f>
        <v>73</v>
      </c>
      <c r="G33" s="49" t="e">
        <f>MODE(Table1.2[All private industrial])</f>
        <v>#N/A</v>
      </c>
      <c r="H33" s="49" t="e">
        <f>MODE(Table1.2[Private commercial: schools &amp; universities])</f>
        <v>#N/A</v>
      </c>
      <c r="I33" s="49" t="e">
        <f>MODE(Table1.2[Private commercial: health])</f>
        <v>#N/A</v>
      </c>
      <c r="J33" s="49" t="e">
        <f>MODE(Table1.2[Private commercial: offices])</f>
        <v>#N/A</v>
      </c>
      <c r="K33" s="49" t="e">
        <f>MODE(Table1.2[Private commercial: entertainment])</f>
        <v>#N/A</v>
      </c>
      <c r="L33" s="49" t="e">
        <f>MODE(Table1.2[Private commercial: garages])</f>
        <v>#N/A</v>
      </c>
      <c r="M33" s="49" t="e">
        <f>MODE(Table1.2[Private commercial: shops])</f>
        <v>#N/A</v>
      </c>
      <c r="N33" s="49" t="e">
        <f>MODE(Table1.2[Private commercial: agriculture &amp; miscellaneous])</f>
        <v>#N/A</v>
      </c>
      <c r="O33" s="49" t="e">
        <f>MODE(Table1.2[All private commercial])</f>
        <v>#N/A</v>
      </c>
      <c r="P33" s="49" t="e">
        <f>MODE(Table1.2[All Private Sector])</f>
        <v>#N/A</v>
      </c>
    </row>
    <row r="34" spans="1:16" ht="19.95" customHeight="1">
      <c r="A34" s="47" t="s">
        <v>107</v>
      </c>
      <c r="B34" s="49">
        <f>SUM(Table1.2[Total private new housing])/26</f>
        <v>23301.807692307691</v>
      </c>
      <c r="C34" s="49">
        <f>SUM(Table1.2[Total private Infrastructure])/26</f>
        <v>8636.1923076923085</v>
      </c>
      <c r="D34" s="49">
        <f>SUM(Table1.2[Private industrial: factories])/26</f>
        <v>2613.6153846153848</v>
      </c>
      <c r="E34" s="49">
        <f>SUM(Table1.2[Private industrial: warehouses])/26</f>
        <v>2281.7307692307691</v>
      </c>
      <c r="F34" s="49">
        <f>SUM(Table1.2[Private industrial: oil, steel &amp; coal])/26</f>
        <v>163.30769230769232</v>
      </c>
      <c r="G34" s="49">
        <f>SUM(Table1.2[All private industrial])/26</f>
        <v>5058.6923076923076</v>
      </c>
      <c r="H34" s="49">
        <f>SUM(Table1.2[Private commercial: schools &amp; universities])/26</f>
        <v>3076.3076923076924</v>
      </c>
      <c r="I34" s="49">
        <f>SUM(Table1.2[Private commercial: health])/26</f>
        <v>1503.0769230769231</v>
      </c>
      <c r="J34" s="49">
        <f>SUM(Table1.2[Private commercial: offices])/26</f>
        <v>8734.3076923076915</v>
      </c>
      <c r="K34" s="49">
        <f>SUM(Table1.2[Private commercial: entertainment])/26</f>
        <v>5328.5</v>
      </c>
      <c r="L34" s="49">
        <f>SUM(Table1.2[Private commercial: garages])/26</f>
        <v>510.84615384615387</v>
      </c>
      <c r="M34" s="49">
        <f>SUM(Table1.2[Private commercial: shops])/26</f>
        <v>4985.9615384615381</v>
      </c>
      <c r="N34" s="49">
        <f>SUM(Table1.2[Private commercial: agriculture &amp; miscellaneous])/26</f>
        <v>1540.1538461538462</v>
      </c>
      <c r="O34" s="49">
        <f>SUM(Table1.2[All private commercial])/26</f>
        <v>25678.807692307691</v>
      </c>
      <c r="P34" s="49">
        <f>SUM(Table1.2[All Private Sector])/26</f>
        <v>62675.5</v>
      </c>
    </row>
    <row r="35" spans="1:16" ht="19.95" customHeight="1">
      <c r="A35" s="47" t="s">
        <v>108</v>
      </c>
      <c r="B35" s="49" cm="1">
        <f t="array" ref="B35">MAX(Table1.2[Total private new housing]-MIN(Table1.2[Total private new housing]))</f>
        <v>42400</v>
      </c>
      <c r="C35" s="49" cm="1">
        <f t="array" ref="C35">MAX(Table1.2[Total private Infrastructure]-MIN(Table1.2[Total private Infrastructure]))</f>
        <v>11836</v>
      </c>
      <c r="D35" s="49" cm="1">
        <f t="array" ref="D35">MAX(Table1.2[Private industrial: factories]-MIN(Table1.2[Private industrial: factories]))</f>
        <v>1726</v>
      </c>
      <c r="E35" s="49" cm="1">
        <f t="array" ref="E35">MAX(Table1.2[Private industrial: warehouses]-MIN(Table1.2[Private industrial: warehouses]))</f>
        <v>3529</v>
      </c>
      <c r="F35" s="49" cm="1">
        <f t="array" ref="F35">MAX(Table1.2[Private industrial: oil, steel &amp; coal]-MIN(Table1.2[Private industrial: oil, steel &amp; coal]))</f>
        <v>424</v>
      </c>
      <c r="G35" s="49" cm="1">
        <f t="array" ref="G35">MAX(Table1.2[All private industrial]-MIN(Table1.2[All private industrial]))</f>
        <v>5160</v>
      </c>
      <c r="H35" s="49" cm="1">
        <f t="array" ref="H35">MAX(Table1.2[Private commercial: schools &amp; universities]-MIN(Table1.2[Private commercial: schools &amp; universities]))</f>
        <v>5400</v>
      </c>
      <c r="I35" s="49" cm="1">
        <f t="array" ref="I35">MAX(Table1.2[Private commercial: health]-MIN(Table1.2[Private commercial: health]))</f>
        <v>3640</v>
      </c>
      <c r="J35" s="49" cm="1">
        <f t="array" ref="J35">MAX(Table1.2[Private commercial: offices]-MIN(Table1.2[Private commercial: offices]))</f>
        <v>7795</v>
      </c>
      <c r="K35" s="49" cm="1">
        <f t="array" ref="K35">MAX(Table1.2[Private commercial: entertainment]-MIN(Table1.2[Private commercial: entertainment]))</f>
        <v>5212</v>
      </c>
      <c r="L35" s="49" cm="1">
        <f t="array" ref="L35">MAX(Table1.2[Private commercial: garages]-MIN(Table1.2[Private commercial: garages]))</f>
        <v>495</v>
      </c>
      <c r="M35" s="49" cm="1">
        <f t="array" ref="M35">MAX(Table1.2[Private commercial: shops]-MIN(Table1.2[Private commercial: shops]))</f>
        <v>5340</v>
      </c>
      <c r="N35" s="49" cm="1">
        <f t="array" ref="N35">MAX(Table1.2[Private commercial: agriculture &amp; miscellaneous]-MIN(Table1.2[Private commercial: agriculture &amp; miscellaneous]))</f>
        <v>2783</v>
      </c>
      <c r="O35" s="49" cm="1">
        <f t="array" ref="O35">MAX(Table1.2[All private commercial]-MIN(Table1.2[All private commercial]))</f>
        <v>20443</v>
      </c>
      <c r="P35" s="49" cm="1">
        <f t="array" ref="P35">MAX(Table1.2[All Private Sector]-MIN(Table1.2[All Private Sector]))</f>
        <v>67708</v>
      </c>
    </row>
    <row r="36" spans="1:16" ht="19.95" customHeight="1">
      <c r="A36" s="47" t="s">
        <v>109</v>
      </c>
      <c r="B36" s="49">
        <f>_xlfn.VAR.P(B5:B30)</f>
        <v>145834863.23224851</v>
      </c>
      <c r="C36" s="49">
        <f t="shared" ref="C36:P36" si="0">_xlfn.VAR.P(C5:C30)</f>
        <v>11082993.309171598</v>
      </c>
      <c r="D36" s="49">
        <f t="shared" si="0"/>
        <v>241521.23668639053</v>
      </c>
      <c r="E36" s="49">
        <f t="shared" si="0"/>
        <v>892726.88905325439</v>
      </c>
      <c r="F36" s="49">
        <f t="shared" si="0"/>
        <v>10768.289940828403</v>
      </c>
      <c r="G36" s="49">
        <f t="shared" si="0"/>
        <v>1557372.9822485207</v>
      </c>
      <c r="H36" s="49">
        <f t="shared" si="0"/>
        <v>2030621.75147929</v>
      </c>
      <c r="I36" s="49">
        <f t="shared" si="0"/>
        <v>669056.53254437866</v>
      </c>
      <c r="J36" s="49">
        <f t="shared" si="0"/>
        <v>4159247.9053254439</v>
      </c>
      <c r="K36" s="49">
        <f t="shared" si="0"/>
        <v>2234331.7884615385</v>
      </c>
      <c r="L36" s="49">
        <f t="shared" si="0"/>
        <v>17070.514792899408</v>
      </c>
      <c r="M36" s="49">
        <f t="shared" si="0"/>
        <v>2157847.575443787</v>
      </c>
      <c r="N36" s="49">
        <f t="shared" si="0"/>
        <v>584480.51479289937</v>
      </c>
      <c r="O36" s="49">
        <f t="shared" si="0"/>
        <v>24495225.078402366</v>
      </c>
      <c r="P36" s="49">
        <f t="shared" si="0"/>
        <v>356400036.94230771</v>
      </c>
    </row>
    <row r="37" spans="1:16" ht="19.95" customHeight="1">
      <c r="A37" s="47" t="s">
        <v>110</v>
      </c>
      <c r="B37" s="49">
        <f>_xlfn.STDEV.P(Table1.2[Total private new housing])</f>
        <v>12076.210632158107</v>
      </c>
      <c r="C37" s="49">
        <f>_xlfn.STDEV.P(Table1.2[Total private Infrastructure])</f>
        <v>3329.1129913494374</v>
      </c>
      <c r="D37" s="49">
        <f>_xlfn.STDEV.P(Table1.2[Private industrial: factories])</f>
        <v>491.44810172223731</v>
      </c>
      <c r="E37" s="49">
        <f>_xlfn.STDEV.P(Table1.2[Private industrial: warehouses])</f>
        <v>944.84225617467723</v>
      </c>
      <c r="F37" s="49">
        <f>_xlfn.STDEV.P(Table1.2[Private industrial: oil, steel &amp; coal])</f>
        <v>103.77037120887832</v>
      </c>
      <c r="G37" s="49">
        <f>_xlfn.STDEV.P(Table1.2[All private industrial])</f>
        <v>1247.9475078097319</v>
      </c>
      <c r="H37" s="49">
        <f>_xlfn.STDEV.P(Table1.2[Private commercial: schools &amp; universities])</f>
        <v>1424.998860167716</v>
      </c>
      <c r="I37" s="49">
        <f>_xlfn.STDEV.P(Table1.2[Private commercial: health])</f>
        <v>817.95875968436121</v>
      </c>
      <c r="J37" s="49">
        <f>_xlfn.STDEV.P(Table1.2[Private commercial: offices])</f>
        <v>2039.4234247270585</v>
      </c>
      <c r="K37" s="49">
        <f>_xlfn.STDEV.P(Table1.2[Private commercial: entertainment])</f>
        <v>1494.768138696279</v>
      </c>
      <c r="L37" s="49">
        <f>_xlfn.STDEV.P(Table1.2[Private commercial: garages])</f>
        <v>130.65418015853686</v>
      </c>
      <c r="M37" s="49">
        <f>_xlfn.STDEV.P(Table1.2[Private commercial: shops])</f>
        <v>1468.9613934490542</v>
      </c>
      <c r="N37" s="49">
        <f>_xlfn.STDEV.P(Table1.2[Private commercial: agriculture &amp; miscellaneous])</f>
        <v>764.51325351029686</v>
      </c>
      <c r="O37" s="49">
        <f>_xlfn.STDEV.P(Table1.2[All private commercial])</f>
        <v>4949.2651048819725</v>
      </c>
      <c r="P37" s="49">
        <f>_xlfn.STDEV.P(Table1.2[All Private Sector])</f>
        <v>18878.560245482378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5"/>
  <sheetViews>
    <sheetView topLeftCell="W1" workbookViewId="0">
      <selection activeCell="AG1" sqref="AG1"/>
    </sheetView>
  </sheetViews>
  <sheetFormatPr defaultColWidth="8.77734375" defaultRowHeight="14.4"/>
  <cols>
    <col min="1" max="1" width="17.44140625" customWidth="1"/>
    <col min="2" max="28" width="15.77734375" customWidth="1"/>
  </cols>
  <sheetData>
    <row r="1" spans="1:28" ht="19.2">
      <c r="A1" s="3" t="s">
        <v>102</v>
      </c>
    </row>
    <row r="2" spans="1:28" ht="19.2">
      <c r="A2" s="3"/>
    </row>
    <row r="3" spans="1:28">
      <c r="A3" s="24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f>SUBTOTAL(109,B4:B16)</f>
        <v>160148</v>
      </c>
      <c r="C17" s="21">
        <f t="shared" ref="C17:AB17" si="0">SUBTOTAL(109,C4:C16)</f>
        <v>163236</v>
      </c>
      <c r="D17" s="21">
        <f t="shared" si="0"/>
        <v>165561</v>
      </c>
      <c r="E17" s="21">
        <f t="shared" si="0"/>
        <v>163426</v>
      </c>
      <c r="F17" s="21">
        <f t="shared" si="0"/>
        <v>168123</v>
      </c>
      <c r="G17" s="21">
        <f t="shared" si="0"/>
        <v>166181</v>
      </c>
      <c r="H17" s="21">
        <f t="shared" si="0"/>
        <v>171092</v>
      </c>
      <c r="I17" s="21">
        <f t="shared" si="0"/>
        <v>176403</v>
      </c>
      <c r="J17" s="21">
        <f t="shared" si="0"/>
        <v>182644</v>
      </c>
      <c r="K17" s="21">
        <f t="shared" si="0"/>
        <v>186107</v>
      </c>
      <c r="L17" s="21">
        <f t="shared" si="0"/>
        <v>192199</v>
      </c>
      <c r="M17" s="21">
        <f t="shared" si="0"/>
        <v>202407</v>
      </c>
      <c r="N17" s="21">
        <f t="shared" si="0"/>
        <v>194025</v>
      </c>
      <c r="O17" s="21">
        <f t="shared" si="0"/>
        <v>207245</v>
      </c>
      <c r="P17" s="21">
        <f t="shared" si="0"/>
        <v>207205</v>
      </c>
      <c r="Q17" s="21">
        <f t="shared" si="0"/>
        <v>204363</v>
      </c>
      <c r="R17" s="21">
        <f t="shared" si="0"/>
        <v>210283</v>
      </c>
      <c r="S17" s="21">
        <f t="shared" si="0"/>
        <v>210836</v>
      </c>
      <c r="T17" s="21">
        <f t="shared" si="0"/>
        <v>235064</v>
      </c>
      <c r="U17" s="21">
        <f t="shared" si="0"/>
        <v>256609</v>
      </c>
      <c r="V17" s="21">
        <f t="shared" si="0"/>
        <v>274771</v>
      </c>
      <c r="W17" s="21">
        <f t="shared" si="0"/>
        <v>286848</v>
      </c>
      <c r="X17" s="21">
        <f t="shared" si="0"/>
        <v>297211</v>
      </c>
      <c r="Y17" s="21">
        <f t="shared" si="0"/>
        <v>305565</v>
      </c>
      <c r="Z17" s="21">
        <f t="shared" si="0"/>
        <v>318013</v>
      </c>
      <c r="AA17" s="21">
        <f t="shared" si="0"/>
        <v>329231</v>
      </c>
      <c r="AB17" s="21">
        <f t="shared" si="0"/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20" spans="1:28" ht="19.95" customHeight="1">
      <c r="A20" s="47" t="s">
        <v>105</v>
      </c>
      <c r="B20" s="49">
        <f>MEDIAN(B4:B16)</f>
        <v>1156</v>
      </c>
      <c r="C20" s="49">
        <f t="shared" ref="C20:AB20" si="1">MEDIAN(C4:C16)</f>
        <v>1201</v>
      </c>
      <c r="D20" s="49">
        <f t="shared" si="1"/>
        <v>1188</v>
      </c>
      <c r="E20" s="49">
        <f t="shared" si="1"/>
        <v>1109</v>
      </c>
      <c r="F20" s="49">
        <f t="shared" si="1"/>
        <v>999</v>
      </c>
      <c r="G20" s="49">
        <f t="shared" si="1"/>
        <v>1782</v>
      </c>
      <c r="H20" s="49">
        <f t="shared" si="1"/>
        <v>1821</v>
      </c>
      <c r="I20" s="49">
        <f t="shared" si="1"/>
        <v>1906</v>
      </c>
      <c r="J20" s="49">
        <f t="shared" si="1"/>
        <v>1928</v>
      </c>
      <c r="K20" s="49">
        <f t="shared" si="1"/>
        <v>2034</v>
      </c>
      <c r="L20" s="49">
        <f t="shared" si="1"/>
        <v>2128</v>
      </c>
      <c r="M20" s="49">
        <f t="shared" si="1"/>
        <v>2211</v>
      </c>
      <c r="N20" s="49">
        <f t="shared" si="1"/>
        <v>2064</v>
      </c>
      <c r="O20" s="49">
        <f t="shared" si="1"/>
        <v>1864</v>
      </c>
      <c r="P20" s="49">
        <f t="shared" si="1"/>
        <v>1713</v>
      </c>
      <c r="Q20" s="49">
        <f t="shared" si="1"/>
        <v>1796</v>
      </c>
      <c r="R20" s="49">
        <f t="shared" si="1"/>
        <v>1756</v>
      </c>
      <c r="S20" s="49">
        <f t="shared" si="1"/>
        <v>1752</v>
      </c>
      <c r="T20" s="49">
        <f t="shared" si="1"/>
        <v>1722</v>
      </c>
      <c r="U20" s="49">
        <f t="shared" si="1"/>
        <v>1842</v>
      </c>
      <c r="V20" s="49">
        <f t="shared" si="1"/>
        <v>1879</v>
      </c>
      <c r="W20" s="49">
        <f t="shared" si="1"/>
        <v>1932</v>
      </c>
      <c r="X20" s="49">
        <f t="shared" si="1"/>
        <v>1905</v>
      </c>
      <c r="Y20" s="49">
        <f t="shared" si="1"/>
        <v>1913</v>
      </c>
      <c r="Z20" s="49">
        <f t="shared" si="1"/>
        <v>1847</v>
      </c>
      <c r="AA20" s="49">
        <f t="shared" si="1"/>
        <v>1860</v>
      </c>
      <c r="AB20" s="49">
        <f t="shared" si="1"/>
        <v>1888</v>
      </c>
    </row>
    <row r="21" spans="1:28" ht="19.95" customHeight="1">
      <c r="A21" s="47" t="s">
        <v>106</v>
      </c>
      <c r="B21" s="49" t="e">
        <f>MODE(B4:B16)</f>
        <v>#N/A</v>
      </c>
      <c r="C21" s="49" t="e">
        <f t="shared" ref="C21:AB21" si="2">MODE(C4:C16)</f>
        <v>#N/A</v>
      </c>
      <c r="D21" s="49" t="e">
        <f t="shared" si="2"/>
        <v>#N/A</v>
      </c>
      <c r="E21" s="49" t="e">
        <f t="shared" si="2"/>
        <v>#N/A</v>
      </c>
      <c r="F21" s="49" t="e">
        <f t="shared" si="2"/>
        <v>#N/A</v>
      </c>
      <c r="G21" s="49" t="e">
        <f t="shared" si="2"/>
        <v>#N/A</v>
      </c>
      <c r="H21" s="49" t="e">
        <f t="shared" si="2"/>
        <v>#N/A</v>
      </c>
      <c r="I21" s="49" t="e">
        <f t="shared" si="2"/>
        <v>#N/A</v>
      </c>
      <c r="J21" s="49" t="e">
        <f t="shared" si="2"/>
        <v>#N/A</v>
      </c>
      <c r="K21" s="49" t="e">
        <f t="shared" si="2"/>
        <v>#N/A</v>
      </c>
      <c r="L21" s="49" t="e">
        <f t="shared" si="2"/>
        <v>#N/A</v>
      </c>
      <c r="M21" s="49" t="e">
        <f t="shared" si="2"/>
        <v>#N/A</v>
      </c>
      <c r="N21" s="49">
        <f t="shared" si="2"/>
        <v>62</v>
      </c>
      <c r="O21" s="49" t="e">
        <f t="shared" si="2"/>
        <v>#N/A</v>
      </c>
      <c r="P21" s="49" t="e">
        <f t="shared" si="2"/>
        <v>#N/A</v>
      </c>
      <c r="Q21" s="49" t="e">
        <f t="shared" si="2"/>
        <v>#N/A</v>
      </c>
      <c r="R21" s="49" t="e">
        <f t="shared" si="2"/>
        <v>#N/A</v>
      </c>
      <c r="S21" s="49" t="e">
        <f t="shared" si="2"/>
        <v>#N/A</v>
      </c>
      <c r="T21" s="49" t="e">
        <f t="shared" si="2"/>
        <v>#N/A</v>
      </c>
      <c r="U21" s="49">
        <f t="shared" si="2"/>
        <v>57</v>
      </c>
      <c r="V21" s="49" t="e">
        <f t="shared" si="2"/>
        <v>#N/A</v>
      </c>
      <c r="W21" s="49" t="e">
        <f t="shared" si="2"/>
        <v>#N/A</v>
      </c>
      <c r="X21" s="49" t="e">
        <f t="shared" si="2"/>
        <v>#N/A</v>
      </c>
      <c r="Y21" s="49" t="e">
        <f t="shared" si="2"/>
        <v>#N/A</v>
      </c>
      <c r="Z21" s="49">
        <f t="shared" si="2"/>
        <v>56</v>
      </c>
      <c r="AA21" s="49" t="e">
        <f t="shared" si="2"/>
        <v>#N/A</v>
      </c>
      <c r="AB21" s="49" t="e">
        <f t="shared" si="2"/>
        <v>#N/A</v>
      </c>
    </row>
    <row r="22" spans="1:28" ht="19.95" customHeight="1">
      <c r="A22" s="47" t="s">
        <v>107</v>
      </c>
      <c r="B22" s="49">
        <f>SUM(B4:B16)/13</f>
        <v>12319.076923076924</v>
      </c>
      <c r="C22" s="49">
        <f t="shared" ref="C22:AB22" si="3">SUM(C4:C16)/13</f>
        <v>12556.615384615385</v>
      </c>
      <c r="D22" s="49">
        <f t="shared" si="3"/>
        <v>12735.461538461539</v>
      </c>
      <c r="E22" s="49">
        <f t="shared" si="3"/>
        <v>12571.23076923077</v>
      </c>
      <c r="F22" s="49">
        <f t="shared" si="3"/>
        <v>12932.538461538461</v>
      </c>
      <c r="G22" s="49">
        <f t="shared" si="3"/>
        <v>12783.153846153846</v>
      </c>
      <c r="H22" s="49">
        <f t="shared" si="3"/>
        <v>13160.923076923076</v>
      </c>
      <c r="I22" s="49">
        <f t="shared" si="3"/>
        <v>13569.461538461539</v>
      </c>
      <c r="J22" s="49">
        <f t="shared" si="3"/>
        <v>14049.538461538461</v>
      </c>
      <c r="K22" s="49">
        <f t="shared" si="3"/>
        <v>14315.923076923076</v>
      </c>
      <c r="L22" s="49">
        <f t="shared" si="3"/>
        <v>14784.538461538461</v>
      </c>
      <c r="M22" s="49">
        <f t="shared" si="3"/>
        <v>15569.76923076923</v>
      </c>
      <c r="N22" s="49">
        <f t="shared" si="3"/>
        <v>14925</v>
      </c>
      <c r="O22" s="49">
        <f t="shared" si="3"/>
        <v>15941.923076923076</v>
      </c>
      <c r="P22" s="49">
        <f t="shared" si="3"/>
        <v>15938.846153846154</v>
      </c>
      <c r="Q22" s="49">
        <f t="shared" si="3"/>
        <v>15720.23076923077</v>
      </c>
      <c r="R22" s="49">
        <f t="shared" si="3"/>
        <v>16175.615384615385</v>
      </c>
      <c r="S22" s="49">
        <f t="shared" si="3"/>
        <v>16218.153846153846</v>
      </c>
      <c r="T22" s="49">
        <f t="shared" si="3"/>
        <v>18081.846153846152</v>
      </c>
      <c r="U22" s="49">
        <f t="shared" si="3"/>
        <v>19739.153846153848</v>
      </c>
      <c r="V22" s="49">
        <f t="shared" si="3"/>
        <v>21136.23076923077</v>
      </c>
      <c r="W22" s="49">
        <f t="shared" si="3"/>
        <v>22065.23076923077</v>
      </c>
      <c r="X22" s="49">
        <f t="shared" si="3"/>
        <v>22862.384615384617</v>
      </c>
      <c r="Y22" s="49">
        <f t="shared" si="3"/>
        <v>23505</v>
      </c>
      <c r="Z22" s="49">
        <f t="shared" si="3"/>
        <v>24462.538461538461</v>
      </c>
      <c r="AA22" s="49">
        <f t="shared" si="3"/>
        <v>25325.461538461539</v>
      </c>
      <c r="AB22" s="49">
        <f t="shared" si="3"/>
        <v>25158.692307692309</v>
      </c>
    </row>
    <row r="23" spans="1:28" ht="19.95" customHeight="1">
      <c r="A23" s="47" t="s">
        <v>108</v>
      </c>
      <c r="B23" s="49">
        <f>MAX(B4:B16)-MIN(B4:B16)</f>
        <v>86231</v>
      </c>
      <c r="C23" s="49">
        <f t="shared" ref="C23:AB23" si="4">MAX(C4:C16)-MIN(C4:C16)</f>
        <v>87797</v>
      </c>
      <c r="D23" s="49">
        <f t="shared" si="4"/>
        <v>87976</v>
      </c>
      <c r="E23" s="49">
        <f t="shared" si="4"/>
        <v>87677</v>
      </c>
      <c r="F23" s="49">
        <f t="shared" si="4"/>
        <v>77870</v>
      </c>
      <c r="G23" s="49">
        <f t="shared" si="4"/>
        <v>71374</v>
      </c>
      <c r="H23" s="49">
        <f t="shared" si="4"/>
        <v>70306</v>
      </c>
      <c r="I23" s="49">
        <f t="shared" si="4"/>
        <v>71560</v>
      </c>
      <c r="J23" s="49">
        <f t="shared" si="4"/>
        <v>73061</v>
      </c>
      <c r="K23" s="49">
        <f t="shared" si="4"/>
        <v>71906</v>
      </c>
      <c r="L23" s="49">
        <f t="shared" si="4"/>
        <v>74265</v>
      </c>
      <c r="M23" s="49">
        <f t="shared" si="4"/>
        <v>78767</v>
      </c>
      <c r="N23" s="49">
        <f t="shared" si="4"/>
        <v>75320</v>
      </c>
      <c r="O23" s="49">
        <f t="shared" si="4"/>
        <v>86214</v>
      </c>
      <c r="P23" s="49">
        <f t="shared" si="4"/>
        <v>89076</v>
      </c>
      <c r="Q23" s="49">
        <f t="shared" si="4"/>
        <v>90592</v>
      </c>
      <c r="R23" s="49">
        <f t="shared" si="4"/>
        <v>92584</v>
      </c>
      <c r="S23" s="49">
        <f t="shared" si="4"/>
        <v>92878</v>
      </c>
      <c r="T23" s="49">
        <f t="shared" si="4"/>
        <v>108635</v>
      </c>
      <c r="U23" s="49">
        <f t="shared" si="4"/>
        <v>123432</v>
      </c>
      <c r="V23" s="49">
        <f t="shared" si="4"/>
        <v>133416</v>
      </c>
      <c r="W23" s="49">
        <f t="shared" si="4"/>
        <v>138013</v>
      </c>
      <c r="X23" s="49">
        <f t="shared" si="4"/>
        <v>144175</v>
      </c>
      <c r="Y23" s="49">
        <f t="shared" si="4"/>
        <v>148530</v>
      </c>
      <c r="Z23" s="49">
        <f t="shared" si="4"/>
        <v>153566</v>
      </c>
      <c r="AA23" s="49">
        <f t="shared" si="4"/>
        <v>156960</v>
      </c>
      <c r="AB23" s="49">
        <f t="shared" si="4"/>
        <v>156101</v>
      </c>
    </row>
    <row r="24" spans="1:28" ht="19.95" customHeight="1">
      <c r="A24" s="47" t="s">
        <v>109</v>
      </c>
      <c r="B24" s="49">
        <f>_xlfn.VAR.P(B4:B16)</f>
        <v>616473207.9171598</v>
      </c>
      <c r="C24" s="49">
        <f t="shared" ref="C24:AB24" si="5">_xlfn.VAR.P(C4:C16)</f>
        <v>635428384.85207105</v>
      </c>
      <c r="D24" s="49">
        <f t="shared" si="5"/>
        <v>645657136.09467459</v>
      </c>
      <c r="E24" s="49">
        <f t="shared" si="5"/>
        <v>639982237.8698225</v>
      </c>
      <c r="F24" s="49">
        <f t="shared" si="5"/>
        <v>543205633.01775146</v>
      </c>
      <c r="G24" s="49">
        <f t="shared" si="5"/>
        <v>478152666.74556214</v>
      </c>
      <c r="H24" s="49">
        <f t="shared" si="5"/>
        <v>486559707.91715974</v>
      </c>
      <c r="I24" s="49">
        <f t="shared" si="5"/>
        <v>511725189.3254438</v>
      </c>
      <c r="J24" s="49">
        <f t="shared" si="5"/>
        <v>542897056.71005917</v>
      </c>
      <c r="K24" s="49">
        <f t="shared" si="5"/>
        <v>546932321.76331365</v>
      </c>
      <c r="L24" s="49">
        <f t="shared" si="5"/>
        <v>580771303.32544374</v>
      </c>
      <c r="M24" s="49">
        <f t="shared" si="5"/>
        <v>645461330.17751479</v>
      </c>
      <c r="N24" s="49">
        <f t="shared" si="5"/>
        <v>596996156.76923072</v>
      </c>
      <c r="O24" s="49">
        <f t="shared" si="5"/>
        <v>741170751.45562124</v>
      </c>
      <c r="P24" s="49">
        <f t="shared" si="5"/>
        <v>771686347.66863906</v>
      </c>
      <c r="Q24" s="49">
        <f t="shared" si="5"/>
        <v>758338256.63905323</v>
      </c>
      <c r="R24" s="49">
        <f t="shared" si="5"/>
        <v>812149635.77514791</v>
      </c>
      <c r="S24" s="49">
        <f t="shared" si="5"/>
        <v>816401556.89940834</v>
      </c>
      <c r="T24" s="49">
        <f t="shared" si="5"/>
        <v>1069658331.9763314</v>
      </c>
      <c r="U24" s="49">
        <f t="shared" si="5"/>
        <v>1333218447.8224852</v>
      </c>
      <c r="V24" s="49">
        <f t="shared" si="5"/>
        <v>1555384742.1775148</v>
      </c>
      <c r="W24" s="49">
        <f t="shared" si="5"/>
        <v>1692434449.5621302</v>
      </c>
      <c r="X24" s="49">
        <f t="shared" si="5"/>
        <v>1843110812.852071</v>
      </c>
      <c r="Y24" s="49">
        <f t="shared" si="5"/>
        <v>1956215564.6153846</v>
      </c>
      <c r="Z24" s="49">
        <f t="shared" si="5"/>
        <v>2120758514.2485206</v>
      </c>
      <c r="AA24" s="49">
        <f t="shared" si="5"/>
        <v>2236013237.3254437</v>
      </c>
      <c r="AB24" s="49">
        <f t="shared" si="5"/>
        <v>2209764768.9822483</v>
      </c>
    </row>
    <row r="25" spans="1:28" ht="19.95" customHeight="1">
      <c r="A25" s="47" t="s">
        <v>110</v>
      </c>
      <c r="B25" s="49">
        <f>_xlfn.STDEV.P(B4:B16)</f>
        <v>24828.878507036112</v>
      </c>
      <c r="C25" s="49">
        <f t="shared" ref="C25:AB25" si="6">_xlfn.STDEV.P(C4:C16)</f>
        <v>25207.704870774553</v>
      </c>
      <c r="D25" s="49">
        <f t="shared" si="6"/>
        <v>25409.784259113152</v>
      </c>
      <c r="E25" s="49">
        <f t="shared" si="6"/>
        <v>25297.870223989656</v>
      </c>
      <c r="F25" s="49">
        <f t="shared" si="6"/>
        <v>23306.77225652989</v>
      </c>
      <c r="G25" s="49">
        <f t="shared" si="6"/>
        <v>21866.702237547437</v>
      </c>
      <c r="H25" s="49">
        <f t="shared" si="6"/>
        <v>22058.098465578572</v>
      </c>
      <c r="I25" s="49">
        <f t="shared" si="6"/>
        <v>22621.343667550867</v>
      </c>
      <c r="J25" s="49">
        <f t="shared" si="6"/>
        <v>23300.151431054244</v>
      </c>
      <c r="K25" s="49">
        <f t="shared" si="6"/>
        <v>23386.584226075291</v>
      </c>
      <c r="L25" s="49">
        <f t="shared" si="6"/>
        <v>24099.197151055545</v>
      </c>
      <c r="M25" s="49">
        <f t="shared" si="6"/>
        <v>25405.931003950926</v>
      </c>
      <c r="N25" s="49">
        <f t="shared" si="6"/>
        <v>24433.504799132497</v>
      </c>
      <c r="O25" s="49">
        <f t="shared" si="6"/>
        <v>27224.451352701697</v>
      </c>
      <c r="P25" s="49">
        <f t="shared" si="6"/>
        <v>27779.24310827491</v>
      </c>
      <c r="Q25" s="49">
        <f t="shared" si="6"/>
        <v>27537.942127890623</v>
      </c>
      <c r="R25" s="49">
        <f t="shared" si="6"/>
        <v>28498.239169730259</v>
      </c>
      <c r="S25" s="49">
        <f t="shared" si="6"/>
        <v>28572.741501287699</v>
      </c>
      <c r="T25" s="49">
        <f t="shared" si="6"/>
        <v>32705.631502484881</v>
      </c>
      <c r="U25" s="49">
        <f t="shared" si="6"/>
        <v>36513.263998477116</v>
      </c>
      <c r="V25" s="49">
        <f t="shared" si="6"/>
        <v>39438.366373082885</v>
      </c>
      <c r="W25" s="49">
        <f t="shared" si="6"/>
        <v>41139.208178599285</v>
      </c>
      <c r="X25" s="49">
        <f t="shared" si="6"/>
        <v>42931.466465193931</v>
      </c>
      <c r="Y25" s="49">
        <f t="shared" si="6"/>
        <v>44229.125750068641</v>
      </c>
      <c r="Z25" s="49">
        <f t="shared" si="6"/>
        <v>46051.693934626557</v>
      </c>
      <c r="AA25" s="49">
        <f t="shared" si="6"/>
        <v>47286.501639743277</v>
      </c>
      <c r="AB25" s="49">
        <f t="shared" si="6"/>
        <v>47008.135136189441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3CC29-EEB2-473E-BA3A-3EB599A9D964}">
  <dimension ref="A1:AB3"/>
  <sheetViews>
    <sheetView topLeftCell="G1" workbookViewId="0">
      <selection activeCell="L11" sqref="L11"/>
    </sheetView>
  </sheetViews>
  <sheetFormatPr defaultRowHeight="14.4"/>
  <sheetData>
    <row r="1" spans="1:28" ht="19.2">
      <c r="B1" s="3" t="s">
        <v>102</v>
      </c>
    </row>
    <row r="2" spans="1:28">
      <c r="B2" s="34" t="s">
        <v>65</v>
      </c>
      <c r="C2" s="34" t="s">
        <v>66</v>
      </c>
      <c r="D2" s="34" t="s">
        <v>67</v>
      </c>
      <c r="E2" s="34" t="s">
        <v>68</v>
      </c>
      <c r="F2" s="34" t="s">
        <v>69</v>
      </c>
      <c r="G2" s="34" t="s">
        <v>70</v>
      </c>
      <c r="H2" s="34" t="s">
        <v>71</v>
      </c>
      <c r="I2" s="34" t="s">
        <v>72</v>
      </c>
      <c r="J2" s="34" t="s">
        <v>73</v>
      </c>
      <c r="K2" s="34" t="s">
        <v>74</v>
      </c>
      <c r="L2" s="34" t="s">
        <v>75</v>
      </c>
      <c r="M2" s="34" t="s">
        <v>76</v>
      </c>
      <c r="N2" s="35" t="s">
        <v>77</v>
      </c>
      <c r="O2" s="34" t="s">
        <v>78</v>
      </c>
      <c r="P2" s="34" t="s">
        <v>79</v>
      </c>
      <c r="Q2" s="34" t="s">
        <v>80</v>
      </c>
      <c r="R2" s="34" t="s">
        <v>55</v>
      </c>
      <c r="S2" s="34" t="s">
        <v>56</v>
      </c>
      <c r="T2" s="34" t="s">
        <v>81</v>
      </c>
      <c r="U2" s="34" t="s">
        <v>82</v>
      </c>
      <c r="V2" s="34" t="s">
        <v>83</v>
      </c>
      <c r="W2" s="34" t="s">
        <v>84</v>
      </c>
      <c r="X2" s="34" t="s">
        <v>85</v>
      </c>
      <c r="Y2" s="34" t="s">
        <v>86</v>
      </c>
      <c r="Z2" s="34" t="s">
        <v>63</v>
      </c>
      <c r="AA2" s="34" t="s">
        <v>64</v>
      </c>
      <c r="AB2" s="35" t="s">
        <v>90</v>
      </c>
    </row>
    <row r="3" spans="1:28">
      <c r="A3" t="s">
        <v>108</v>
      </c>
      <c r="B3">
        <v>86231</v>
      </c>
      <c r="C3">
        <v>87797</v>
      </c>
      <c r="D3">
        <v>87976</v>
      </c>
      <c r="E3">
        <v>87677</v>
      </c>
      <c r="F3">
        <v>77870</v>
      </c>
      <c r="G3">
        <v>71374</v>
      </c>
      <c r="H3">
        <v>70306</v>
      </c>
      <c r="I3">
        <v>71560</v>
      </c>
      <c r="J3">
        <v>73061</v>
      </c>
      <c r="K3">
        <v>71906</v>
      </c>
      <c r="L3">
        <v>74265</v>
      </c>
      <c r="M3">
        <v>78767</v>
      </c>
      <c r="N3">
        <v>75320</v>
      </c>
      <c r="O3">
        <v>86214</v>
      </c>
      <c r="P3">
        <v>89076</v>
      </c>
      <c r="Q3">
        <v>90592</v>
      </c>
      <c r="R3">
        <v>92584</v>
      </c>
      <c r="S3">
        <v>92878</v>
      </c>
      <c r="T3">
        <v>108635</v>
      </c>
      <c r="U3">
        <v>123432</v>
      </c>
      <c r="V3">
        <v>133416</v>
      </c>
      <c r="W3">
        <v>138013</v>
      </c>
      <c r="X3">
        <v>144175</v>
      </c>
      <c r="Y3">
        <v>148530</v>
      </c>
      <c r="Z3">
        <v>153566</v>
      </c>
      <c r="AA3">
        <v>156960</v>
      </c>
      <c r="AB3">
        <v>156101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4"/>
  <sheetViews>
    <sheetView tabSelected="1" workbookViewId="0">
      <pane xSplit="1" ySplit="3" topLeftCell="L4" activePane="bottomRight" state="frozen"/>
      <selection pane="topRight" activeCell="B1" sqref="B1"/>
      <selection pane="bottomLeft" activeCell="A4" sqref="A4"/>
      <selection pane="bottomRight" activeCell="R25" sqref="R25"/>
    </sheetView>
  </sheetViews>
  <sheetFormatPr defaultRowHeight="14.4"/>
  <cols>
    <col min="1" max="1" width="35.21875" customWidth="1"/>
    <col min="2" max="18" width="10.77734375" customWidth="1"/>
  </cols>
  <sheetData>
    <row r="1" spans="1:18" ht="19.2">
      <c r="A1" s="7" t="s">
        <v>101</v>
      </c>
    </row>
    <row r="2" spans="1:18" ht="19.2">
      <c r="A2" s="7"/>
    </row>
    <row r="3" spans="1:18" ht="28.2">
      <c r="A3" s="24" t="s">
        <v>89</v>
      </c>
      <c r="B3" s="28" t="s">
        <v>75</v>
      </c>
      <c r="C3" s="29" t="s">
        <v>76</v>
      </c>
      <c r="D3" s="25" t="s">
        <v>51</v>
      </c>
      <c r="E3" s="25" t="s">
        <v>52</v>
      </c>
      <c r="F3" s="25" t="s">
        <v>53</v>
      </c>
      <c r="G3" s="25" t="s">
        <v>54</v>
      </c>
      <c r="H3" s="25" t="s">
        <v>87</v>
      </c>
      <c r="I3" s="25" t="s">
        <v>88</v>
      </c>
      <c r="J3" s="25" t="s">
        <v>57</v>
      </c>
      <c r="K3" s="25" t="s">
        <v>58</v>
      </c>
      <c r="L3" s="25" t="s">
        <v>59</v>
      </c>
      <c r="M3" s="25" t="s">
        <v>60</v>
      </c>
      <c r="N3" s="25" t="s">
        <v>61</v>
      </c>
      <c r="O3" s="25" t="s">
        <v>62</v>
      </c>
      <c r="P3" s="25" t="s">
        <v>91</v>
      </c>
      <c r="Q3" s="25" t="s">
        <v>92</v>
      </c>
      <c r="R3" s="25" t="s">
        <v>90</v>
      </c>
    </row>
    <row r="4" spans="1:18">
      <c r="A4" s="26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3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3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3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3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3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3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3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3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3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3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3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7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2">
        <v>364514</v>
      </c>
    </row>
    <row r="17" spans="1:18">
      <c r="A17" s="32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>
      <c r="A19" t="s">
        <v>105</v>
      </c>
      <c r="B19" s="31">
        <f>MEDIAN(B4:B15)</f>
        <v>296.5</v>
      </c>
      <c r="C19" s="31">
        <f t="shared" ref="C19:R19" si="0">MEDIAN(C4:C15)</f>
        <v>312</v>
      </c>
      <c r="D19" s="31">
        <f t="shared" si="0"/>
        <v>304</v>
      </c>
      <c r="E19" s="31">
        <f t="shared" si="0"/>
        <v>265.5</v>
      </c>
      <c r="F19" s="31">
        <f t="shared" si="0"/>
        <v>252.5</v>
      </c>
      <c r="G19" s="31">
        <f t="shared" si="0"/>
        <v>241.5</v>
      </c>
      <c r="H19" s="31">
        <f t="shared" si="0"/>
        <v>239</v>
      </c>
      <c r="I19" s="31">
        <f t="shared" si="0"/>
        <v>254.5</v>
      </c>
      <c r="J19" s="31">
        <f t="shared" si="0"/>
        <v>264.5</v>
      </c>
      <c r="K19" s="31">
        <f t="shared" si="0"/>
        <v>319.5</v>
      </c>
      <c r="L19" s="31">
        <f t="shared" si="0"/>
        <v>351.5</v>
      </c>
      <c r="M19" s="31">
        <f t="shared" si="0"/>
        <v>380</v>
      </c>
      <c r="N19" s="31">
        <f t="shared" si="0"/>
        <v>398</v>
      </c>
      <c r="O19" s="31">
        <f t="shared" si="0"/>
        <v>426</v>
      </c>
      <c r="P19" s="31">
        <f t="shared" si="0"/>
        <v>380</v>
      </c>
      <c r="Q19" s="31">
        <f t="shared" si="0"/>
        <v>354</v>
      </c>
      <c r="R19" s="31">
        <f t="shared" si="0"/>
        <v>424</v>
      </c>
    </row>
    <row r="20" spans="1:18">
      <c r="A20" t="s">
        <v>106</v>
      </c>
      <c r="B20" t="e">
        <f>MODE(B4:B15)</f>
        <v>#N/A</v>
      </c>
      <c r="C20" t="e">
        <f t="shared" ref="C20:R20" si="1">MODE(C4:C15)</f>
        <v>#N/A</v>
      </c>
      <c r="D20" t="e">
        <f t="shared" si="1"/>
        <v>#N/A</v>
      </c>
      <c r="E20" t="e">
        <f t="shared" si="1"/>
        <v>#N/A</v>
      </c>
      <c r="F20" t="e">
        <f t="shared" si="1"/>
        <v>#N/A</v>
      </c>
      <c r="G20" t="e">
        <f t="shared" si="1"/>
        <v>#N/A</v>
      </c>
      <c r="H20" t="e">
        <f t="shared" si="1"/>
        <v>#N/A</v>
      </c>
      <c r="I20" t="e">
        <f t="shared" si="1"/>
        <v>#N/A</v>
      </c>
      <c r="J20" t="e">
        <f t="shared" si="1"/>
        <v>#N/A</v>
      </c>
      <c r="K20" t="e">
        <f t="shared" si="1"/>
        <v>#N/A</v>
      </c>
      <c r="L20" t="e">
        <f t="shared" si="1"/>
        <v>#N/A</v>
      </c>
      <c r="M20">
        <f t="shared" si="1"/>
        <v>19</v>
      </c>
      <c r="N20" t="e">
        <f t="shared" si="1"/>
        <v>#N/A</v>
      </c>
      <c r="O20" t="e">
        <f t="shared" si="1"/>
        <v>#N/A</v>
      </c>
      <c r="P20" t="e">
        <f t="shared" si="1"/>
        <v>#N/A</v>
      </c>
      <c r="Q20" t="e">
        <f t="shared" si="1"/>
        <v>#N/A</v>
      </c>
      <c r="R20" t="e">
        <f t="shared" si="1"/>
        <v>#N/A</v>
      </c>
    </row>
    <row r="21" spans="1:18">
      <c r="A21" t="s">
        <v>107</v>
      </c>
      <c r="B21">
        <f>SUM(B4:B15)/12</f>
        <v>23106.666666666668</v>
      </c>
      <c r="C21">
        <f t="shared" ref="C21:R21" si="2">SUM(C4:C15)/12</f>
        <v>23279.666666666668</v>
      </c>
      <c r="D21">
        <f t="shared" si="2"/>
        <v>22056.583333333332</v>
      </c>
      <c r="E21">
        <f t="shared" si="2"/>
        <v>21189.166666666668</v>
      </c>
      <c r="F21">
        <f t="shared" si="2"/>
        <v>21093.416666666668</v>
      </c>
      <c r="G21">
        <f t="shared" si="2"/>
        <v>20592.083333333332</v>
      </c>
      <c r="H21">
        <f t="shared" si="2"/>
        <v>20978.916666666668</v>
      </c>
      <c r="I21">
        <f t="shared" si="2"/>
        <v>21700.333333333332</v>
      </c>
      <c r="J21">
        <f t="shared" si="2"/>
        <v>22814.583333333332</v>
      </c>
      <c r="K21">
        <f t="shared" si="2"/>
        <v>24674.416666666668</v>
      </c>
      <c r="L21">
        <f t="shared" si="2"/>
        <v>26215.833333333332</v>
      </c>
      <c r="M21">
        <f t="shared" si="2"/>
        <v>27144.666666666668</v>
      </c>
      <c r="N21">
        <f t="shared" si="2"/>
        <v>27977.583333333332</v>
      </c>
      <c r="O21">
        <f t="shared" si="2"/>
        <v>28538</v>
      </c>
      <c r="P21">
        <f t="shared" si="2"/>
        <v>29447.083333333332</v>
      </c>
      <c r="Q21">
        <f t="shared" si="2"/>
        <v>31194.333333333332</v>
      </c>
      <c r="R21">
        <f t="shared" si="2"/>
        <v>30376.166666666668</v>
      </c>
    </row>
    <row r="22" spans="1:18">
      <c r="A22" t="s">
        <v>108</v>
      </c>
      <c r="B22" s="31">
        <f>MAX(B4:B15)-MIN(B4:B15)</f>
        <v>226435</v>
      </c>
      <c r="C22" s="31">
        <f t="shared" ref="C22:R22" si="3">MAX(C4:C15)-MIN(C4:C15)</f>
        <v>225221</v>
      </c>
      <c r="D22" s="31">
        <f t="shared" si="3"/>
        <v>214328</v>
      </c>
      <c r="E22" s="31">
        <f t="shared" si="3"/>
        <v>210520</v>
      </c>
      <c r="F22" s="31">
        <f t="shared" si="3"/>
        <v>210988</v>
      </c>
      <c r="G22" s="31">
        <f t="shared" si="3"/>
        <v>206868</v>
      </c>
      <c r="H22" s="31">
        <f t="shared" si="3"/>
        <v>210544</v>
      </c>
      <c r="I22" s="31">
        <f t="shared" si="3"/>
        <v>218240</v>
      </c>
      <c r="J22" s="31">
        <f t="shared" si="3"/>
        <v>228595</v>
      </c>
      <c r="K22" s="31">
        <f t="shared" si="3"/>
        <v>246331</v>
      </c>
      <c r="L22" s="31">
        <f t="shared" si="3"/>
        <v>261015</v>
      </c>
      <c r="M22" s="31">
        <f t="shared" si="3"/>
        <v>269326</v>
      </c>
      <c r="N22" s="31">
        <f t="shared" si="3"/>
        <v>276911</v>
      </c>
      <c r="O22" s="31">
        <f t="shared" si="3"/>
        <v>280845</v>
      </c>
      <c r="P22" s="31">
        <f t="shared" si="3"/>
        <v>289635</v>
      </c>
      <c r="Q22" s="31">
        <f t="shared" si="3"/>
        <v>312216</v>
      </c>
      <c r="R22" s="31">
        <f t="shared" si="3"/>
        <v>295149</v>
      </c>
    </row>
    <row r="23" spans="1:18">
      <c r="A23" t="s">
        <v>109</v>
      </c>
      <c r="B23">
        <f>_xlfn.VAR.P(B4:B15)</f>
        <v>3828894400.5555553</v>
      </c>
      <c r="C23">
        <f t="shared" ref="C23:R23" si="4">_xlfn.VAR.P(C4:C15)</f>
        <v>3786642050.0555553</v>
      </c>
      <c r="D23">
        <f t="shared" si="4"/>
        <v>3429328568.7430553</v>
      </c>
      <c r="E23">
        <f t="shared" si="4"/>
        <v>3311017475.8055553</v>
      </c>
      <c r="F23">
        <f t="shared" si="4"/>
        <v>3326574948.4097223</v>
      </c>
      <c r="G23">
        <f t="shared" si="4"/>
        <v>3198305662.9097223</v>
      </c>
      <c r="H23">
        <f t="shared" si="4"/>
        <v>3312216281.7430553</v>
      </c>
      <c r="I23">
        <f t="shared" si="4"/>
        <v>3559113518.2222223</v>
      </c>
      <c r="J23">
        <f t="shared" si="4"/>
        <v>3903760297.9097223</v>
      </c>
      <c r="K23">
        <f t="shared" si="4"/>
        <v>4531312965.5763893</v>
      </c>
      <c r="L23">
        <f t="shared" si="4"/>
        <v>5086606135.3055553</v>
      </c>
      <c r="M23">
        <f t="shared" si="4"/>
        <v>5414471422.0555553</v>
      </c>
      <c r="N23">
        <f t="shared" si="4"/>
        <v>5723106248.4097223</v>
      </c>
      <c r="O23">
        <f t="shared" si="4"/>
        <v>5886999477.333333</v>
      </c>
      <c r="P23">
        <f t="shared" si="4"/>
        <v>6261764059.4097223</v>
      </c>
      <c r="Q23">
        <f t="shared" si="4"/>
        <v>7284949531.5555553</v>
      </c>
      <c r="R23">
        <f t="shared" si="4"/>
        <v>6502522559.6388893</v>
      </c>
    </row>
    <row r="24" spans="1:18">
      <c r="A24" t="s">
        <v>110</v>
      </c>
      <c r="B24">
        <f>_xlfn.STDEV.P(B4:B15)</f>
        <v>61878.060736868247</v>
      </c>
      <c r="C24">
        <f t="shared" ref="C24:R24" si="5">_xlfn.STDEV.P(C4:C15)</f>
        <v>61535.697363851781</v>
      </c>
      <c r="D24">
        <f t="shared" si="5"/>
        <v>58560.469335064721</v>
      </c>
      <c r="E24">
        <f t="shared" si="5"/>
        <v>57541.441377545932</v>
      </c>
      <c r="F24">
        <f t="shared" si="5"/>
        <v>57676.467891244196</v>
      </c>
      <c r="G24">
        <f t="shared" si="5"/>
        <v>56553.564546452086</v>
      </c>
      <c r="H24">
        <f t="shared" si="5"/>
        <v>57551.857326615056</v>
      </c>
      <c r="I24">
        <f t="shared" si="5"/>
        <v>59658.306364011223</v>
      </c>
      <c r="J24">
        <f t="shared" si="5"/>
        <v>62480.079208574331</v>
      </c>
      <c r="K24">
        <f t="shared" si="5"/>
        <v>67315.027784116595</v>
      </c>
      <c r="L24">
        <f t="shared" si="5"/>
        <v>71320.446824915198</v>
      </c>
      <c r="M24">
        <f t="shared" si="5"/>
        <v>73583.091957701501</v>
      </c>
      <c r="N24">
        <f t="shared" si="5"/>
        <v>75651.214454294925</v>
      </c>
      <c r="O24">
        <f t="shared" si="5"/>
        <v>76726.784614848366</v>
      </c>
      <c r="P24">
        <f t="shared" si="5"/>
        <v>79131.30897065789</v>
      </c>
      <c r="Q24">
        <f t="shared" si="5"/>
        <v>85351.915804834483</v>
      </c>
      <c r="R24">
        <f t="shared" si="5"/>
        <v>80638.220216215646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592E-8177-4139-BDA3-9A1E28435638}">
  <dimension ref="A1:Q3"/>
  <sheetViews>
    <sheetView workbookViewId="0">
      <selection activeCell="D12" sqref="D12"/>
    </sheetView>
  </sheetViews>
  <sheetFormatPr defaultRowHeight="14.4"/>
  <sheetData>
    <row r="1" spans="1:17" ht="19.2">
      <c r="A1" s="7" t="s">
        <v>101</v>
      </c>
    </row>
    <row r="2" spans="1:17">
      <c r="A2" s="42" t="s">
        <v>75</v>
      </c>
      <c r="B2" s="43" t="s">
        <v>76</v>
      </c>
      <c r="C2" s="44" t="s">
        <v>51</v>
      </c>
      <c r="D2" s="44" t="s">
        <v>52</v>
      </c>
      <c r="E2" s="44" t="s">
        <v>53</v>
      </c>
      <c r="F2" s="44" t="s">
        <v>54</v>
      </c>
      <c r="G2" s="44" t="s">
        <v>87</v>
      </c>
      <c r="H2" s="44" t="s">
        <v>88</v>
      </c>
      <c r="I2" s="44" t="s">
        <v>57</v>
      </c>
      <c r="J2" s="44" t="s">
        <v>58</v>
      </c>
      <c r="K2" s="44" t="s">
        <v>59</v>
      </c>
      <c r="L2" s="44" t="s">
        <v>60</v>
      </c>
      <c r="M2" s="44" t="s">
        <v>61</v>
      </c>
      <c r="N2" s="44" t="s">
        <v>62</v>
      </c>
      <c r="O2" s="44" t="s">
        <v>91</v>
      </c>
      <c r="P2" s="44" t="s">
        <v>92</v>
      </c>
      <c r="Q2" s="45" t="s">
        <v>90</v>
      </c>
    </row>
    <row r="3" spans="1:17">
      <c r="A3" s="46">
        <v>296.5</v>
      </c>
      <c r="B3" s="46">
        <v>312</v>
      </c>
      <c r="C3" s="46">
        <v>304</v>
      </c>
      <c r="D3" s="46">
        <v>265.5</v>
      </c>
      <c r="E3" s="46">
        <v>252.5</v>
      </c>
      <c r="F3" s="46">
        <v>241.5</v>
      </c>
      <c r="G3" s="46">
        <v>239</v>
      </c>
      <c r="H3" s="46">
        <v>254.5</v>
      </c>
      <c r="I3" s="46">
        <v>264.5</v>
      </c>
      <c r="J3" s="46">
        <v>319.5</v>
      </c>
      <c r="K3" s="46">
        <v>351.5</v>
      </c>
      <c r="L3" s="46">
        <v>380</v>
      </c>
      <c r="M3" s="46">
        <v>398</v>
      </c>
      <c r="N3" s="46">
        <v>426</v>
      </c>
      <c r="O3" s="46">
        <v>380</v>
      </c>
      <c r="P3" s="46">
        <v>354</v>
      </c>
      <c r="Q3" s="46">
        <v>424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1e572c8d-6813-4013-8a4a-be491ac59459"/>
    <ds:schemaRef ds:uri="http://purl.org/dc/dcmitype/"/>
    <ds:schemaRef ds:uri="http://purl.org/dc/terms/"/>
    <ds:schemaRef ds:uri="http://schemas.openxmlformats.org/package/2006/metadata/core-properties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Public Sector Value</vt:lpstr>
      <vt:lpstr>Public Sector Value Bar chart</vt:lpstr>
      <vt:lpstr>Private Sector Value</vt:lpstr>
      <vt:lpstr>Firm Size</vt:lpstr>
      <vt:lpstr>Firm Size chart</vt:lpstr>
      <vt:lpstr>No. of Firms - Turnover</vt:lpstr>
      <vt:lpstr>No. of firms- Turnover chart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2025-12-11T17:00:25Z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