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Q1" sheetId="1" r:id="rId4"/>
    <sheet name="Q2" sheetId="2" r:id="rId5"/>
    <sheet name="Q3" sheetId="3" r:id="rId6"/>
    <sheet name="Q4" sheetId="4" r:id="rId7"/>
    <sheet name="Q5" sheetId="5" r:id="rId8"/>
    <sheet name="Q6" sheetId="6" r:id="rId9"/>
  </sheets>
</workbook>
</file>

<file path=xl/sharedStrings.xml><?xml version="1.0" encoding="utf-8"?>
<sst xmlns="http://schemas.openxmlformats.org/spreadsheetml/2006/main" uniqueCount="156">
  <si>
    <t xml:space="preserve">Lateral Acceleration </t>
  </si>
  <si>
    <t>Measured Suspension  Data</t>
  </si>
  <si>
    <t xml:space="preserve">Calculated Suspension Data </t>
  </si>
  <si>
    <t xml:space="preserve">Results </t>
  </si>
  <si>
    <t>MR fl</t>
  </si>
  <si>
    <t>Motion Ratio front left</t>
  </si>
  <si>
    <t>Ms fl</t>
  </si>
  <si>
    <t>Front Left   corner sprung mass [kg]</t>
  </si>
  <si>
    <t>Kϕf</t>
  </si>
  <si>
    <t>Front Roll Stiffness [Nm/rad]</t>
  </si>
  <si>
    <t>MR fr</t>
  </si>
  <si>
    <t>Motion Ratio front right</t>
  </si>
  <si>
    <t>Ms fr</t>
  </si>
  <si>
    <t>Front Right corner sprung mass [kg]</t>
  </si>
  <si>
    <t>Kϕr</t>
  </si>
  <si>
    <t>Rear Roll Stiffness [Nm/rad]</t>
  </si>
  <si>
    <t>MR rl</t>
  </si>
  <si>
    <t xml:space="preserve">Motion Ratio rear left </t>
  </si>
  <si>
    <t>Ms rl</t>
  </si>
  <si>
    <t>Rear Left   corner sprung mass [kg]</t>
  </si>
  <si>
    <t>Kϕt</t>
  </si>
  <si>
    <t>Total Roll Stiffness [Nm/rad]</t>
  </si>
  <si>
    <t>MR rr</t>
  </si>
  <si>
    <t xml:space="preserve">Motion Ratio rear right </t>
  </si>
  <si>
    <t>Ms rr</t>
  </si>
  <si>
    <t>Rear Right corner sprung  mass [kg]</t>
  </si>
  <si>
    <t>Mot</t>
  </si>
  <si>
    <t>Overturning moment [Nm]</t>
  </si>
  <si>
    <t>M fl</t>
  </si>
  <si>
    <t>Front Left total measured static corner mass [kg]</t>
  </si>
  <si>
    <t>Ms f</t>
  </si>
  <si>
    <t>Total front sprung mass [kg]</t>
  </si>
  <si>
    <t>ϕ</t>
  </si>
  <si>
    <t>Roll angle  (Radians)</t>
  </si>
  <si>
    <t>M fr</t>
  </si>
  <si>
    <t>Front Right  measured static corner mass [kg]</t>
  </si>
  <si>
    <t>Ms r</t>
  </si>
  <si>
    <t>Total rear sprung mass  [kg]</t>
  </si>
  <si>
    <t>WTsf</t>
  </si>
  <si>
    <t>Front weight transfer due to spung mass [N]</t>
  </si>
  <si>
    <t>M rl</t>
  </si>
  <si>
    <t>Rear Left  total measured static corner mass [kg]</t>
  </si>
  <si>
    <t>Mstot</t>
  </si>
  <si>
    <t xml:space="preserve">Total  sprung mass </t>
  </si>
  <si>
    <t>WTsr</t>
  </si>
  <si>
    <t>Rear  weight transfer due to spung mass [N]</t>
  </si>
  <si>
    <t>M rr</t>
  </si>
  <si>
    <t>Rear Right   total measured static corner mass [kg]</t>
  </si>
  <si>
    <t>Mtot</t>
  </si>
  <si>
    <t xml:space="preserve">Total Mass </t>
  </si>
  <si>
    <t>Mus fl</t>
  </si>
  <si>
    <t>Front Left  unsprung mass  [kg]</t>
  </si>
  <si>
    <t>Mustot</t>
  </si>
  <si>
    <t>Total unsprung mass</t>
  </si>
  <si>
    <t>WTsrcf</t>
  </si>
  <si>
    <t>Front WT due to sprung mass at RC Height</t>
  </si>
  <si>
    <t>Mus fr</t>
  </si>
  <si>
    <t>Front Right total unsprung mass  [kg]</t>
  </si>
  <si>
    <t>Ks fl</t>
  </si>
  <si>
    <t>Front Left Spring rate [N/mm]</t>
  </si>
  <si>
    <t>WTsrcr</t>
  </si>
  <si>
    <t>Rear WT due to sprung mass at RC Height</t>
  </si>
  <si>
    <t>Mus rl</t>
  </si>
  <si>
    <t>Rear Left unsprung mass  [kg]</t>
  </si>
  <si>
    <t>Ks fr</t>
  </si>
  <si>
    <t>Front Right rspring rate [N/mm]</t>
  </si>
  <si>
    <t>Wtusf</t>
  </si>
  <si>
    <t>Front WT due to Unsprung mass at wheel centre height</t>
  </si>
  <si>
    <t>Mus rr</t>
  </si>
  <si>
    <t>Rear Right unsprung mass  [kg]</t>
  </si>
  <si>
    <t>Ks rl</t>
  </si>
  <si>
    <t>Rear Left  Spring rate [N/mm]</t>
  </si>
  <si>
    <t>Wtusr</t>
  </si>
  <si>
    <t>Rear WT due to Unsprung mass at wheel centre height</t>
  </si>
  <si>
    <t xml:space="preserve">Ks fl  </t>
  </si>
  <si>
    <t>Front Left Spring rate [lb/in]</t>
  </si>
  <si>
    <t>Ks rr</t>
  </si>
  <si>
    <t>Rear Right  Spring Rate [N/mm]</t>
  </si>
  <si>
    <t xml:space="preserve">Total front WT </t>
  </si>
  <si>
    <t xml:space="preserve">Ks fr </t>
  </si>
  <si>
    <t>Front Right Spring rate [lb/in]</t>
  </si>
  <si>
    <t>Kw fl</t>
  </si>
  <si>
    <t>Front Left wheel rate  [N/mm]</t>
  </si>
  <si>
    <t>Total Rear WT</t>
  </si>
  <si>
    <t>Rear Left   Spring rate [lb/in]</t>
  </si>
  <si>
    <t>Kw fr</t>
  </si>
  <si>
    <t>Front Right wheel rate  [N/mm]</t>
  </si>
  <si>
    <t xml:space="preserve">Total WT calculated by adding all Weight Transfers </t>
  </si>
  <si>
    <t>Rear Right  Spring rate [lb/in]</t>
  </si>
  <si>
    <t>Kw rl</t>
  </si>
  <si>
    <t>Rear Left Wheel Rate [N/mm]</t>
  </si>
  <si>
    <t>Fz fl</t>
  </si>
  <si>
    <t>Left front  vertical force [N]</t>
  </si>
  <si>
    <t>Tf</t>
  </si>
  <si>
    <t xml:space="preserve">Front Track </t>
  </si>
  <si>
    <t>Kw rr</t>
  </si>
  <si>
    <t>Rear  Right wheel  rate [N/mm]</t>
  </si>
  <si>
    <t>Fz fr</t>
  </si>
  <si>
    <t>Front Right vertical force  [N]</t>
  </si>
  <si>
    <t>Tr</t>
  </si>
  <si>
    <t xml:space="preserve">Rear track </t>
  </si>
  <si>
    <t>b</t>
  </si>
  <si>
    <t>distance of cg of sprung mass from front axle [m]</t>
  </si>
  <si>
    <t>Fz rl</t>
  </si>
  <si>
    <t>Rear Left vertical force [N]</t>
  </si>
  <si>
    <t xml:space="preserve">L </t>
  </si>
  <si>
    <t xml:space="preserve">Wheel base  </t>
  </si>
  <si>
    <t>hr -hf</t>
  </si>
  <si>
    <t>Rear -Front RC Height [m]</t>
  </si>
  <si>
    <t>Fz rr</t>
  </si>
  <si>
    <t>Rear Right  vertical force [N]</t>
  </si>
  <si>
    <t>Rrf</t>
  </si>
  <si>
    <t>Rolling  Radius front</t>
  </si>
  <si>
    <t>z</t>
  </si>
  <si>
    <t>Depth  of triangle at CG [m]</t>
  </si>
  <si>
    <t xml:space="preserve">Total wheel loads  by individual wheel load check </t>
  </si>
  <si>
    <t>Rrr</t>
  </si>
  <si>
    <t>Rolling Radius rear</t>
  </si>
  <si>
    <t>z+hf</t>
  </si>
  <si>
    <t>Height of roll axis at CG [m]</t>
  </si>
  <si>
    <t xml:space="preserve">Total  wheel load  by static corner weight check </t>
  </si>
  <si>
    <t xml:space="preserve">Ht </t>
  </si>
  <si>
    <t xml:space="preserve">Height of CG of total mass above ground </t>
  </si>
  <si>
    <t>Hsra</t>
  </si>
  <si>
    <t>Height of CG above roll axis [m]</t>
  </si>
  <si>
    <t xml:space="preserve">Hs </t>
  </si>
  <si>
    <t xml:space="preserve">Height of CG of sprung mass  above ground </t>
  </si>
  <si>
    <t xml:space="preserve">hf </t>
  </si>
  <si>
    <t xml:space="preserve">Height of Front roll centre above ground  </t>
  </si>
  <si>
    <t>KW f</t>
  </si>
  <si>
    <t>Front wheel rate  [N/mm]</t>
  </si>
  <si>
    <t xml:space="preserve">WT </t>
  </si>
  <si>
    <t xml:space="preserve">Total WT calculated for 'solid' car </t>
  </si>
  <si>
    <t xml:space="preserve">hr </t>
  </si>
  <si>
    <t xml:space="preserve">Height of Rear roll centre above ground  </t>
  </si>
  <si>
    <t>KW r</t>
  </si>
  <si>
    <t>Rear wheel rate  [N/mm]</t>
  </si>
  <si>
    <t>FS</t>
  </si>
  <si>
    <t>Front split</t>
  </si>
  <si>
    <t>RS</t>
  </si>
  <si>
    <t>Rear Split</t>
  </si>
  <si>
    <t>FRLSD</t>
  </si>
  <si>
    <t>WTr</t>
  </si>
  <si>
    <t>Rear WT percentage [%]</t>
  </si>
  <si>
    <t xml:space="preserve">Q3.i </t>
  </si>
  <si>
    <t>More</t>
  </si>
  <si>
    <t>Q3.ii</t>
  </si>
  <si>
    <t>I would expect it to understeer more in Q2 as there more moving in the springs</t>
  </si>
  <si>
    <t>Q3.iii</t>
  </si>
  <si>
    <t>The load would be reduced on the three corners because there is more on the front right</t>
  </si>
  <si>
    <t>Q4.ii</t>
  </si>
  <si>
    <t>The wheel rate is increase. The vertical force will decrease.</t>
  </si>
  <si>
    <t>Q4.iii</t>
  </si>
  <si>
    <t>This can be done be changing the stiffness of the springs</t>
  </si>
  <si>
    <t xml:space="preserve">Q5.i </t>
  </si>
  <si>
    <t>This can be achieved by using the front right and rear left rate.</t>
  </si>
</sst>
</file>

<file path=xl/styles.xml><?xml version="1.0" encoding="utf-8"?>
<styleSheet xmlns="http://schemas.openxmlformats.org/spreadsheetml/2006/main">
  <numFmts count="6">
    <numFmt numFmtId="0" formatCode="General"/>
    <numFmt numFmtId="59" formatCode="0.0000000"/>
    <numFmt numFmtId="60" formatCode="0.0"/>
    <numFmt numFmtId="61" formatCode="0.0000"/>
    <numFmt numFmtId="62" formatCode="0.000000"/>
    <numFmt numFmtId="63" formatCode="0.000"/>
  </numFmts>
  <fonts count="10">
    <font>
      <sz val="10"/>
      <color indexed="8"/>
      <name val="Arial"/>
    </font>
    <font>
      <sz val="12"/>
      <color indexed="8"/>
      <name val="Helvetica Neue"/>
    </font>
    <font>
      <sz val="13"/>
      <color indexed="8"/>
      <name val="Arial"/>
    </font>
    <font>
      <sz val="14"/>
      <color indexed="8"/>
      <name val="Arial"/>
    </font>
    <font>
      <b val="1"/>
      <sz val="12"/>
      <color indexed="8"/>
      <name val="Arial"/>
    </font>
    <font>
      <sz val="10"/>
      <color indexed="8"/>
      <name val="Calibri"/>
    </font>
    <font>
      <sz val="10"/>
      <color indexed="14"/>
      <name val="Arial"/>
    </font>
    <font>
      <b val="1"/>
      <sz val="10"/>
      <color indexed="14"/>
      <name val="Arial"/>
    </font>
    <font>
      <sz val="11"/>
      <color indexed="8"/>
      <name val="Arial"/>
    </font>
    <font>
      <sz val="11"/>
      <color indexed="8"/>
      <name val="Calibri"/>
    </font>
  </fonts>
  <fills count="11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</fills>
  <borders count="36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medium">
        <color indexed="8"/>
      </right>
      <top style="thin">
        <color indexed="9"/>
      </top>
      <bottom style="thin">
        <color indexed="9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8"/>
      </bottom>
      <diagonal/>
    </border>
    <border>
      <left style="thin">
        <color indexed="9"/>
      </left>
      <right style="thin">
        <color indexed="9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medium">
        <color indexed="8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9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8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/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20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59" fontId="0" borderId="1" applyNumberFormat="1" applyFont="1" applyFill="0" applyBorder="1" applyAlignment="1" applyProtection="0">
      <alignment vertical="bottom"/>
    </xf>
    <xf numFmtId="59" fontId="0" borderId="2" applyNumberFormat="1" applyFont="1" applyFill="0" applyBorder="1" applyAlignment="1" applyProtection="0">
      <alignment vertical="bottom"/>
    </xf>
    <xf numFmtId="49" fontId="3" fillId="2" borderId="3" applyNumberFormat="1" applyFont="1" applyFill="1" applyBorder="1" applyAlignment="1" applyProtection="0">
      <alignment vertical="bottom"/>
    </xf>
    <xf numFmtId="2" fontId="3" fillId="2" borderId="3" applyNumberFormat="1" applyFont="1" applyFill="1" applyBorder="1" applyAlignment="1" applyProtection="0">
      <alignment horizontal="left" vertical="bottom"/>
    </xf>
    <xf numFmtId="59" fontId="0" borderId="4" applyNumberFormat="1" applyFont="1" applyFill="0" applyBorder="1" applyAlignment="1" applyProtection="0">
      <alignment vertical="bottom"/>
    </xf>
    <xf numFmtId="59" fontId="0" borderId="5" applyNumberFormat="1" applyFont="1" applyFill="0" applyBorder="1" applyAlignment="1" applyProtection="0">
      <alignment vertical="bottom"/>
    </xf>
    <xf numFmtId="59" fontId="0" borderId="6" applyNumberFormat="1" applyFont="1" applyFill="0" applyBorder="1" applyAlignment="1" applyProtection="0">
      <alignment vertical="bottom"/>
    </xf>
    <xf numFmtId="49" fontId="4" borderId="7" applyNumberFormat="1" applyFont="1" applyFill="0" applyBorder="1" applyAlignment="1" applyProtection="0">
      <alignment vertical="bottom"/>
    </xf>
    <xf numFmtId="59" fontId="4" borderId="8" applyNumberFormat="1" applyFont="1" applyFill="0" applyBorder="1" applyAlignment="1" applyProtection="0">
      <alignment vertical="bottom"/>
    </xf>
    <xf numFmtId="49" fontId="4" borderId="8" applyNumberFormat="1" applyFont="1" applyFill="0" applyBorder="1" applyAlignment="1" applyProtection="0">
      <alignment vertical="bottom"/>
    </xf>
    <xf numFmtId="59" fontId="4" borderId="9" applyNumberFormat="1" applyFont="1" applyFill="0" applyBorder="1" applyAlignment="1" applyProtection="0">
      <alignment vertical="bottom"/>
    </xf>
    <xf numFmtId="49" fontId="0" borderId="10" applyNumberFormat="1" applyFont="1" applyFill="0" applyBorder="1" applyAlignment="1" applyProtection="0">
      <alignment vertical="bottom"/>
    </xf>
    <xf numFmtId="49" fontId="0" borderId="8" applyNumberFormat="1" applyFont="1" applyFill="0" applyBorder="1" applyAlignment="1" applyProtection="0">
      <alignment vertical="bottom"/>
    </xf>
    <xf numFmtId="1" fontId="0" fillId="3" borderId="11" applyNumberFormat="1" applyFont="1" applyFill="1" applyBorder="1" applyAlignment="1" applyProtection="0">
      <alignment horizontal="center" vertical="center"/>
    </xf>
    <xf numFmtId="49" fontId="0" borderId="11" applyNumberFormat="1" applyFont="1" applyFill="0" applyBorder="1" applyAlignment="1" applyProtection="0">
      <alignment vertical="bottom"/>
    </xf>
    <xf numFmtId="1" fontId="0" fillId="4" borderId="11" applyNumberFormat="1" applyFont="1" applyFill="1" applyBorder="1" applyAlignment="1" applyProtection="0">
      <alignment horizontal="center" vertical="center"/>
    </xf>
    <xf numFmtId="60" fontId="0" fillId="4" borderId="12" applyNumberFormat="1" applyFont="1" applyFill="1" applyBorder="1" applyAlignment="1" applyProtection="0">
      <alignment horizontal="center" vertical="center"/>
    </xf>
    <xf numFmtId="49" fontId="0" borderId="13" applyNumberFormat="1" applyFont="1" applyFill="0" applyBorder="1" applyAlignment="1" applyProtection="0">
      <alignment vertical="bottom"/>
    </xf>
    <xf numFmtId="1" fontId="0" fillId="3" borderId="14" applyNumberFormat="1" applyFont="1" applyFill="1" applyBorder="1" applyAlignment="1" applyProtection="0">
      <alignment horizontal="center" vertical="center"/>
    </xf>
    <xf numFmtId="49" fontId="0" borderId="14" applyNumberFormat="1" applyFont="1" applyFill="0" applyBorder="1" applyAlignment="1" applyProtection="0">
      <alignment vertical="bottom"/>
    </xf>
    <xf numFmtId="1" fontId="0" fillId="4" borderId="14" applyNumberFormat="1" applyFont="1" applyFill="1" applyBorder="1" applyAlignment="1" applyProtection="0">
      <alignment horizontal="center" vertical="center"/>
    </xf>
    <xf numFmtId="60" fontId="0" fillId="4" borderId="15" applyNumberFormat="1" applyFont="1" applyFill="1" applyBorder="1" applyAlignment="1" applyProtection="0">
      <alignment horizontal="center" vertical="center"/>
    </xf>
    <xf numFmtId="59" fontId="0" borderId="16" applyNumberFormat="1" applyFont="1" applyFill="0" applyBorder="1" applyAlignment="1" applyProtection="0">
      <alignment vertical="bottom"/>
    </xf>
    <xf numFmtId="49" fontId="5" borderId="14" applyNumberFormat="1" applyFont="1" applyFill="0" applyBorder="1" applyAlignment="1" applyProtection="0">
      <alignment vertical="bottom"/>
    </xf>
    <xf numFmtId="61" fontId="0" fillId="4" borderId="15" applyNumberFormat="1" applyFont="1" applyFill="1" applyBorder="1" applyAlignment="1" applyProtection="0">
      <alignment horizontal="center" vertical="center"/>
    </xf>
    <xf numFmtId="62" fontId="0" borderId="17" applyNumberFormat="1" applyFont="1" applyFill="0" applyBorder="1" applyAlignment="1" applyProtection="0">
      <alignment vertical="bottom"/>
    </xf>
    <xf numFmtId="60" fontId="0" fillId="5" borderId="15" applyNumberFormat="1" applyFont="1" applyFill="1" applyBorder="1" applyAlignment="1" applyProtection="0">
      <alignment horizontal="center" vertical="center"/>
    </xf>
    <xf numFmtId="59" fontId="0" borderId="18" applyNumberFormat="1" applyFont="1" applyFill="0" applyBorder="1" applyAlignment="1" applyProtection="0">
      <alignment vertical="bottom"/>
    </xf>
    <xf numFmtId="49" fontId="6" borderId="14" applyNumberFormat="1" applyFont="1" applyFill="0" applyBorder="1" applyAlignment="1" applyProtection="0">
      <alignment vertical="bottom"/>
    </xf>
    <xf numFmtId="1" fontId="0" borderId="14" applyNumberFormat="1" applyFont="1" applyFill="0" applyBorder="1" applyAlignment="1" applyProtection="0">
      <alignment horizontal="center" vertical="bottom"/>
    </xf>
    <xf numFmtId="59" fontId="7" borderId="14" applyNumberFormat="1" applyFont="1" applyFill="0" applyBorder="1" applyAlignment="1" applyProtection="0">
      <alignment vertical="bottom"/>
    </xf>
    <xf numFmtId="59" fontId="7" borderId="15" applyNumberFormat="1" applyFont="1" applyFill="0" applyBorder="1" applyAlignment="1" applyProtection="0">
      <alignment horizontal="center" vertical="center"/>
    </xf>
    <xf numFmtId="59" fontId="6" borderId="4" applyNumberFormat="1" applyFont="1" applyFill="0" applyBorder="1" applyAlignment="1" applyProtection="0">
      <alignment vertical="bottom"/>
    </xf>
    <xf numFmtId="60" fontId="0" borderId="15" applyNumberFormat="1" applyFont="1" applyFill="0" applyBorder="1" applyAlignment="1" applyProtection="0">
      <alignment horizontal="center" vertical="center"/>
    </xf>
    <xf numFmtId="2" fontId="0" borderId="14" applyNumberFormat="1" applyFont="1" applyFill="0" applyBorder="1" applyAlignment="1" applyProtection="0">
      <alignment horizontal="center" vertical="bottom"/>
    </xf>
    <xf numFmtId="59" fontId="0" borderId="14" applyNumberFormat="1" applyFont="1" applyFill="0" applyBorder="1" applyAlignment="1" applyProtection="0">
      <alignment vertical="bottom"/>
    </xf>
    <xf numFmtId="60" fontId="0" borderId="15" applyNumberFormat="1" applyFont="1" applyFill="0" applyBorder="1" applyAlignment="1" applyProtection="0">
      <alignment horizontal="center" vertical="bottom"/>
    </xf>
    <xf numFmtId="2" fontId="0" fillId="4" borderId="14" applyNumberFormat="1" applyFont="1" applyFill="1" applyBorder="1" applyAlignment="1" applyProtection="0">
      <alignment horizontal="center" vertical="center"/>
    </xf>
    <xf numFmtId="60" fontId="0" borderId="19" applyNumberFormat="1" applyFont="1" applyFill="0" applyBorder="1" applyAlignment="1" applyProtection="0">
      <alignment horizontal="center" vertical="bottom"/>
    </xf>
    <xf numFmtId="49" fontId="0" borderId="15" applyNumberFormat="1" applyFont="1" applyFill="0" applyBorder="1" applyAlignment="1" applyProtection="0">
      <alignment vertical="bottom"/>
    </xf>
    <xf numFmtId="1" fontId="0" fillId="6" borderId="3" applyNumberFormat="1" applyFont="1" applyFill="1" applyBorder="1" applyAlignment="1" applyProtection="0">
      <alignment horizontal="center" vertical="center"/>
    </xf>
    <xf numFmtId="1" fontId="0" fillId="5" borderId="12" applyNumberFormat="1" applyFont="1" applyFill="1" applyBorder="1" applyAlignment="1" applyProtection="0">
      <alignment horizontal="center" vertical="center"/>
    </xf>
    <xf numFmtId="60" fontId="0" fillId="3" borderId="14" applyNumberFormat="1" applyFont="1" applyFill="1" applyBorder="1" applyAlignment="1" applyProtection="0">
      <alignment horizontal="center" vertical="center"/>
    </xf>
    <xf numFmtId="1" fontId="0" fillId="5" borderId="15" applyNumberFormat="1" applyFont="1" applyFill="1" applyBorder="1" applyAlignment="1" applyProtection="0">
      <alignment horizontal="center" vertical="center"/>
    </xf>
    <xf numFmtId="2" fontId="0" fillId="7" borderId="14" applyNumberFormat="1" applyFont="1" applyFill="1" applyBorder="1" applyAlignment="1" applyProtection="0">
      <alignment horizontal="center" vertical="center"/>
    </xf>
    <xf numFmtId="60" fontId="0" fillId="4" borderId="14" applyNumberFormat="1" applyFont="1" applyFill="1" applyBorder="1" applyAlignment="1" applyProtection="0">
      <alignment horizontal="center" vertical="center"/>
    </xf>
    <xf numFmtId="1" fontId="0" fillId="5" borderId="19" applyNumberFormat="1" applyFont="1" applyFill="1" applyBorder="1" applyAlignment="1" applyProtection="0">
      <alignment horizontal="center" vertical="center"/>
    </xf>
    <xf numFmtId="63" fontId="0" fillId="3" borderId="14" applyNumberFormat="1" applyFont="1" applyFill="1" applyBorder="1" applyAlignment="1" applyProtection="0">
      <alignment horizontal="center" vertical="center"/>
    </xf>
    <xf numFmtId="2" fontId="0" fillId="5" borderId="14" applyNumberFormat="1" applyFont="1" applyFill="1" applyBorder="1" applyAlignment="1" applyProtection="0">
      <alignment horizontal="center" vertical="center"/>
    </xf>
    <xf numFmtId="1" fontId="0" fillId="8" borderId="20" applyNumberFormat="1" applyFont="1" applyFill="1" applyBorder="1" applyAlignment="1" applyProtection="0">
      <alignment horizontal="center" vertical="bottom"/>
    </xf>
    <xf numFmtId="1" fontId="0" fillId="8" borderId="21" applyNumberFormat="1" applyFont="1" applyFill="1" applyBorder="1" applyAlignment="1" applyProtection="0">
      <alignment horizontal="center" vertical="center"/>
    </xf>
    <xf numFmtId="60" fontId="0" fillId="3" borderId="22" applyNumberFormat="1" applyFont="1" applyFill="1" applyBorder="1" applyAlignment="1" applyProtection="0">
      <alignment horizontal="center" vertical="center"/>
    </xf>
    <xf numFmtId="63" fontId="0" fillId="9" borderId="14" applyNumberFormat="1" applyFont="1" applyFill="1" applyBorder="1" applyAlignment="1" applyProtection="0">
      <alignment horizontal="center" vertical="center"/>
    </xf>
    <xf numFmtId="59" fontId="0" fillId="4" borderId="12" applyNumberFormat="1" applyFont="1" applyFill="1" applyBorder="1" applyAlignment="1" applyProtection="0">
      <alignment horizontal="center" vertical="center"/>
    </xf>
    <xf numFmtId="59" fontId="0" borderId="17" applyNumberFormat="1" applyFont="1" applyFill="0" applyBorder="1" applyAlignment="1" applyProtection="0">
      <alignment vertical="bottom"/>
    </xf>
    <xf numFmtId="59" fontId="0" borderId="23" applyNumberFormat="1" applyFont="1" applyFill="0" applyBorder="1" applyAlignment="1" applyProtection="0">
      <alignment vertical="bottom"/>
    </xf>
    <xf numFmtId="59" fontId="0" borderId="24" applyNumberFormat="1" applyFont="1" applyFill="0" applyBorder="1" applyAlignment="1" applyProtection="0">
      <alignment vertical="bottom"/>
    </xf>
    <xf numFmtId="59" fontId="0" fillId="4" borderId="19" applyNumberFormat="1" applyFont="1" applyFill="1" applyBorder="1" applyAlignment="1" applyProtection="0">
      <alignment horizontal="center" vertical="center"/>
    </xf>
    <xf numFmtId="60" fontId="0" fillId="3" borderId="11" applyNumberFormat="1" applyFont="1" applyFill="1" applyBorder="1" applyAlignment="1" applyProtection="0">
      <alignment horizontal="center" vertical="center"/>
    </xf>
    <xf numFmtId="49" fontId="0" borderId="25" applyNumberFormat="1" applyFont="1" applyFill="0" applyBorder="1" applyAlignment="1" applyProtection="0">
      <alignment vertical="bottom"/>
    </xf>
    <xf numFmtId="63" fontId="0" borderId="26" applyNumberFormat="1" applyFont="1" applyFill="0" applyBorder="1" applyAlignment="1" applyProtection="0">
      <alignment horizontal="center" vertical="bottom"/>
    </xf>
    <xf numFmtId="49" fontId="0" borderId="27" applyNumberFormat="1" applyFont="1" applyFill="0" applyBorder="1" applyAlignment="1" applyProtection="0">
      <alignment vertical="bottom"/>
    </xf>
    <xf numFmtId="49" fontId="0" borderId="22" applyNumberFormat="1" applyFont="1" applyFill="0" applyBorder="1" applyAlignment="1" applyProtection="0">
      <alignment vertical="bottom"/>
    </xf>
    <xf numFmtId="49" fontId="0" borderId="28" applyNumberFormat="1" applyFont="1" applyFill="0" applyBorder="1" applyAlignment="1" applyProtection="0">
      <alignment vertical="bottom"/>
    </xf>
    <xf numFmtId="63" fontId="0" fillId="4" borderId="22" applyNumberFormat="1" applyFont="1" applyFill="1" applyBorder="1" applyAlignment="1" applyProtection="0">
      <alignment horizontal="center" vertical="center"/>
    </xf>
    <xf numFmtId="59" fontId="0" borderId="22" applyNumberFormat="1" applyFont="1" applyFill="0" applyBorder="1" applyAlignment="1" applyProtection="0">
      <alignment vertical="bottom"/>
    </xf>
    <xf numFmtId="59" fontId="0" fillId="4" borderId="9" applyNumberFormat="1" applyFont="1" applyFill="1" applyBorder="1" applyAlignment="1" applyProtection="0">
      <alignment horizontal="center" vertical="center"/>
    </xf>
    <xf numFmtId="49" fontId="0" borderId="29" applyNumberFormat="1" applyFont="1" applyFill="0" applyBorder="1" applyAlignment="1" applyProtection="0">
      <alignment vertical="bottom"/>
    </xf>
    <xf numFmtId="1" fontId="0" borderId="29" applyNumberFormat="1" applyFont="1" applyFill="0" applyBorder="1" applyAlignment="1" applyProtection="0">
      <alignment vertical="bottom"/>
    </xf>
    <xf numFmtId="59" fontId="0" borderId="29" applyNumberFormat="1" applyFont="1" applyFill="0" applyBorder="1" applyAlignment="1" applyProtection="0">
      <alignment vertical="bottom"/>
    </xf>
    <xf numFmtId="49" fontId="0" borderId="1" applyNumberFormat="1" applyFont="1" applyFill="0" applyBorder="1" applyAlignment="1" applyProtection="0">
      <alignment vertical="bottom"/>
    </xf>
    <xf numFmtId="1" fontId="0" borderId="30" applyNumberFormat="1" applyFont="1" applyFill="0" applyBorder="1" applyAlignment="1" applyProtection="0">
      <alignment vertical="bottom"/>
    </xf>
    <xf numFmtId="59" fontId="0" borderId="31" applyNumberFormat="1" applyFont="1" applyFill="0" applyBorder="1" applyAlignment="1" applyProtection="0">
      <alignment vertical="bottom"/>
    </xf>
    <xf numFmtId="59" fontId="8" borderId="1" applyNumberFormat="1" applyFont="1" applyFill="0" applyBorder="1" applyAlignment="1" applyProtection="0">
      <alignment vertical="bottom"/>
    </xf>
    <xf numFmtId="1" fontId="0" borderId="1" applyNumberFormat="1" applyFont="1" applyFill="0" applyBorder="1" applyAlignment="1" applyProtection="0">
      <alignment vertical="bottom"/>
    </xf>
    <xf numFmtId="59" fontId="9" borderId="1" applyNumberFormat="1" applyFont="1" applyFill="0" applyBorder="1" applyAlignment="1" applyProtection="0">
      <alignment vertical="bottom"/>
    </xf>
    <xf numFmtId="63" fontId="0" borderId="1" applyNumberFormat="1" applyFont="1" applyFill="0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2" fontId="0" fillId="3" borderId="11" applyNumberFormat="1" applyFont="1" applyFill="1" applyBorder="1" applyAlignment="1" applyProtection="0">
      <alignment horizontal="center" vertical="center"/>
    </xf>
    <xf numFmtId="2" fontId="0" fillId="3" borderId="14" applyNumberFormat="1" applyFont="1" applyFill="1" applyBorder="1" applyAlignment="1" applyProtection="0">
      <alignment horizontal="center" vertical="center"/>
    </xf>
    <xf numFmtId="49" fontId="0" fillId="10" borderId="14" applyNumberFormat="1" applyFont="1" applyFill="1" applyBorder="1" applyAlignment="1" applyProtection="0">
      <alignment vertical="bottom"/>
    </xf>
    <xf numFmtId="60" fontId="0" fillId="10" borderId="15" applyNumberFormat="1" applyFont="1" applyFill="1" applyBorder="1" applyAlignment="1" applyProtection="0">
      <alignment horizontal="center" vertical="center"/>
    </xf>
    <xf numFmtId="2" fontId="0" fillId="3" borderId="22" applyNumberFormat="1" applyFont="1" applyFill="1" applyBorder="1" applyAlignment="1" applyProtection="0">
      <alignment horizontal="center" vertical="center"/>
    </xf>
    <xf numFmtId="63" fontId="0" fillId="3" borderId="22" applyNumberFormat="1" applyFont="1" applyFill="1" applyBorder="1" applyAlignment="1" applyProtection="0">
      <alignment horizontal="center" vertical="center"/>
    </xf>
    <xf numFmtId="0" fontId="0" applyNumberFormat="1" applyFont="1" applyFill="0" applyBorder="0" applyAlignment="1" applyProtection="0">
      <alignment vertical="bottom"/>
    </xf>
    <xf numFmtId="60" fontId="3" fillId="2" borderId="3" applyNumberFormat="1" applyFont="1" applyFill="1" applyBorder="1" applyAlignment="1" applyProtection="0">
      <alignment horizontal="left" vertical="bottom"/>
    </xf>
    <xf numFmtId="60" fontId="0" borderId="14" applyNumberFormat="1" applyFont="1" applyFill="0" applyBorder="1" applyAlignment="1" applyProtection="0">
      <alignment horizontal="center" vertical="bottom"/>
    </xf>
    <xf numFmtId="49" fontId="0" fillId="10" borderId="13" applyNumberFormat="1" applyFont="1" applyFill="1" applyBorder="1" applyAlignment="1" applyProtection="0">
      <alignment vertical="bottom"/>
    </xf>
    <xf numFmtId="1" fontId="0" fillId="10" borderId="14" applyNumberFormat="1" applyFont="1" applyFill="1" applyBorder="1" applyAlignment="1" applyProtection="0">
      <alignment horizontal="center" vertical="center"/>
    </xf>
    <xf numFmtId="49" fontId="0" borderId="32" applyNumberFormat="1" applyFont="1" applyFill="0" applyBorder="1" applyAlignment="1" applyProtection="0">
      <alignment vertical="bottom"/>
    </xf>
    <xf numFmtId="59" fontId="0" borderId="32" applyNumberFormat="1" applyFont="1" applyFill="0" applyBorder="1" applyAlignment="1" applyProtection="0">
      <alignment vertical="bottom"/>
    </xf>
    <xf numFmtId="59" fontId="0" borderId="30" applyNumberFormat="1" applyFont="1" applyFill="0" applyBorder="1" applyAlignment="1" applyProtection="0">
      <alignment vertical="bottom"/>
    </xf>
    <xf numFmtId="49" fontId="0" borderId="33" applyNumberFormat="1" applyFont="1" applyFill="0" applyBorder="1" applyAlignment="1" applyProtection="0">
      <alignment vertical="bottom"/>
    </xf>
    <xf numFmtId="59" fontId="0" borderId="33" applyNumberFormat="1" applyFont="1" applyFill="0" applyBorder="1" applyAlignment="1" applyProtection="0">
      <alignment vertical="bottom"/>
    </xf>
    <xf numFmtId="59" fontId="0" borderId="34" applyNumberFormat="1" applyFont="1" applyFill="0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5" fillId="10" borderId="14" applyNumberFormat="1" applyFont="1" applyFill="1" applyBorder="1" applyAlignment="1" applyProtection="0">
      <alignment vertical="bottom"/>
    </xf>
    <xf numFmtId="61" fontId="0" fillId="10" borderId="15" applyNumberFormat="1" applyFont="1" applyFill="1" applyBorder="1" applyAlignment="1" applyProtection="0">
      <alignment horizontal="center" vertical="center"/>
    </xf>
    <xf numFmtId="49" fontId="6" fillId="10" borderId="14" applyNumberFormat="1" applyFont="1" applyFill="1" applyBorder="1" applyAlignment="1" applyProtection="0">
      <alignment vertical="bottom"/>
    </xf>
    <xf numFmtId="60" fontId="0" fillId="10" borderId="15" applyNumberFormat="1" applyFont="1" applyFill="1" applyBorder="1" applyAlignment="1" applyProtection="0">
      <alignment horizontal="center" vertical="bottom"/>
    </xf>
    <xf numFmtId="60" fontId="0" fillId="10" borderId="19" applyNumberFormat="1" applyFont="1" applyFill="1" applyBorder="1" applyAlignment="1" applyProtection="0">
      <alignment horizontal="center" vertical="bottom"/>
    </xf>
    <xf numFmtId="59" fontId="0" fillId="10" borderId="14" applyNumberFormat="1" applyFont="1" applyFill="1" applyBorder="1" applyAlignment="1" applyProtection="0">
      <alignment vertical="bottom"/>
    </xf>
    <xf numFmtId="49" fontId="0" fillId="10" borderId="15" applyNumberFormat="1" applyFont="1" applyFill="1" applyBorder="1" applyAlignment="1" applyProtection="0">
      <alignment vertical="bottom"/>
    </xf>
    <xf numFmtId="1" fontId="0" fillId="10" borderId="3" applyNumberFormat="1" applyFont="1" applyFill="1" applyBorder="1" applyAlignment="1" applyProtection="0">
      <alignment horizontal="center" vertical="center"/>
    </xf>
    <xf numFmtId="2" fontId="0" fillId="10" borderId="14" applyNumberFormat="1" applyFont="1" applyFill="1" applyBorder="1" applyAlignment="1" applyProtection="0">
      <alignment horizontal="center" vertical="center"/>
    </xf>
    <xf numFmtId="1" fontId="0" fillId="10" borderId="12" applyNumberFormat="1" applyFont="1" applyFill="1" applyBorder="1" applyAlignment="1" applyProtection="0">
      <alignment horizontal="center" vertical="center"/>
    </xf>
    <xf numFmtId="0" fontId="0" fillId="10" borderId="14" applyNumberFormat="1" applyFont="1" applyFill="1" applyBorder="1" applyAlignment="1" applyProtection="0">
      <alignment horizontal="center" vertical="center"/>
    </xf>
    <xf numFmtId="1" fontId="0" fillId="10" borderId="15" applyNumberFormat="1" applyFont="1" applyFill="1" applyBorder="1" applyAlignment="1" applyProtection="0">
      <alignment horizontal="center" vertical="center"/>
    </xf>
    <xf numFmtId="1" fontId="0" fillId="10" borderId="19" applyNumberFormat="1" applyFont="1" applyFill="1" applyBorder="1" applyAlignment="1" applyProtection="0">
      <alignment horizontal="center" vertical="center"/>
    </xf>
    <xf numFmtId="63" fontId="0" fillId="10" borderId="22" applyNumberFormat="1" applyFont="1" applyFill="1" applyBorder="1" applyAlignment="1" applyProtection="0">
      <alignment horizontal="center" vertical="center"/>
    </xf>
    <xf numFmtId="1" fontId="0" fillId="10" borderId="29" applyNumberFormat="1" applyFont="1" applyFill="1" applyBorder="1" applyAlignment="1" applyProtection="0">
      <alignment vertical="bottom"/>
    </xf>
    <xf numFmtId="1" fontId="0" fillId="10" borderId="30" applyNumberFormat="1" applyFont="1" applyFill="1" applyBorder="1" applyAlignment="1" applyProtection="0">
      <alignment vertical="bottom"/>
    </xf>
    <xf numFmtId="1" fontId="0" fillId="10" borderId="1" applyNumberFormat="1" applyFont="1" applyFill="1" applyBorder="1" applyAlignment="1" applyProtection="0">
      <alignment vertical="bottom"/>
    </xf>
    <xf numFmtId="49" fontId="0" borderId="35" applyNumberFormat="1" applyFont="1" applyFill="0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ff00"/>
      <rgbColor rgb="ffd2dae4"/>
      <rgbColor rgb="ffffffff"/>
      <rgbColor rgb="fffde9d9"/>
      <rgbColor rgb="ffff0000"/>
      <rgbColor rgb="ff92d050"/>
      <rgbColor rgb="fffbd4b4"/>
      <rgbColor rgb="ffb2a1c7"/>
      <rgbColor rgb="ffebff41"/>
      <rgbColor rgb="ffc57838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5</xdr:col>
      <xdr:colOff>1533525</xdr:colOff>
      <xdr:row>22</xdr:row>
      <xdr:rowOff>76200</xdr:rowOff>
    </xdr:from>
    <xdr:to>
      <xdr:col>6</xdr:col>
      <xdr:colOff>68580</xdr:colOff>
      <xdr:row>30</xdr:row>
      <xdr:rowOff>190499</xdr:rowOff>
    </xdr:to>
    <xdr:sp>
      <xdr:nvSpPr>
        <xdr:cNvPr id="2" name="Straight Arrow Connector 3"/>
        <xdr:cNvSpPr/>
      </xdr:nvSpPr>
      <xdr:spPr>
        <a:xfrm flipH="1">
          <a:off x="8175625" y="3973830"/>
          <a:ext cx="1710056" cy="1508760"/>
        </a:xfrm>
        <a:prstGeom prst="line">
          <a:avLst/>
        </a:prstGeom>
        <a:noFill/>
        <a:ln w="9525" cap="flat">
          <a:solidFill>
            <a:srgbClr val="FF0000"/>
          </a:solidFill>
          <a:prstDash val="solid"/>
          <a:round/>
          <a:tailEnd type="triangle" w="med" len="med"/>
        </a:ln>
        <a:effectLst/>
      </xdr:spPr>
      <xdr:txBody>
        <a:bodyPr/>
        <a:lstStyle/>
        <a:p>
          <a:pPr/>
        </a:p>
      </xdr:txBody>
    </xdr:sp>
    <xdr:clientData/>
  </xdr:twoCellAnchor>
</xdr:wsDr>
</file>

<file path=xl/drawings/drawing2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8</xdr:col>
      <xdr:colOff>2694215</xdr:colOff>
      <xdr:row>6</xdr:row>
      <xdr:rowOff>144238</xdr:rowOff>
    </xdr:from>
    <xdr:to>
      <xdr:col>8</xdr:col>
      <xdr:colOff>3138713</xdr:colOff>
      <xdr:row>8</xdr:row>
      <xdr:rowOff>82946</xdr:rowOff>
    </xdr:to>
    <xdr:grpSp>
      <xdr:nvGrpSpPr>
        <xdr:cNvPr id="6" name="Picture 17"/>
        <xdr:cNvGrpSpPr/>
      </xdr:nvGrpSpPr>
      <xdr:grpSpPr>
        <a:xfrm>
          <a:off x="14225815" y="1298668"/>
          <a:ext cx="444499" cy="281609"/>
          <a:chOff x="0" y="0"/>
          <a:chExt cx="444498" cy="281608"/>
        </a:xfrm>
      </xdr:grpSpPr>
      <xdr:sp>
        <xdr:nvSpPr>
          <xdr:cNvPr id="4" name="Shape 4"/>
          <xdr:cNvSpPr/>
        </xdr:nvSpPr>
        <xdr:spPr>
          <a:xfrm>
            <a:off x="0" y="0"/>
            <a:ext cx="444499" cy="281609"/>
          </a:xfrm>
          <a:prstGeom prst="rect">
            <a:avLst/>
          </a:prstGeom>
          <a:solidFill>
            <a:srgbClr val="FDEADA"/>
          </a:solidFill>
          <a:ln w="12700" cap="flat">
            <a:noFill/>
            <a:miter lim="400000"/>
          </a:ln>
          <a:effectLst/>
        </xdr:spPr>
        <xdr:txBody>
          <a:bodyPr/>
          <a:lstStyle/>
          <a:p>
            <a:pPr/>
          </a:p>
        </xdr:txBody>
      </xdr:sp>
      <xdr:pic>
        <xdr:nvPicPr>
          <xdr:cNvPr id="5" name="image3.png"/>
          <xdr:cNvPicPr>
            <a:picLocks noChangeAspect="1"/>
          </xdr:cNvPicPr>
        </xdr:nvPicPr>
        <xdr:blipFill>
          <a:blip r:embed="rId1">
            <a:extLst/>
          </a:blip>
          <a:stretch>
            <a:fillRect/>
          </a:stretch>
        </xdr:blipFill>
        <xdr:spPr>
          <a:xfrm>
            <a:off x="0" y="0"/>
            <a:ext cx="444499" cy="281609"/>
          </a:xfrm>
          <a:prstGeom prst="rect">
            <a:avLst/>
          </a:prstGeom>
          <a:ln w="9525" cap="flat">
            <a:solidFill>
              <a:srgbClr val="000000"/>
            </a:solidFill>
            <a:prstDash val="solid"/>
            <a:round/>
          </a:ln>
          <a:effectLst/>
        </xdr:spPr>
      </xdr:pic>
    </xdr:grpSp>
    <xdr:clientData/>
  </xdr:twoCellAnchor>
  <xdr:twoCellAnchor>
    <xdr:from>
      <xdr:col>8</xdr:col>
      <xdr:colOff>3138713</xdr:colOff>
      <xdr:row>7</xdr:row>
      <xdr:rowOff>44319</xdr:rowOff>
    </xdr:from>
    <xdr:to>
      <xdr:col>9</xdr:col>
      <xdr:colOff>63499</xdr:colOff>
      <xdr:row>7</xdr:row>
      <xdr:rowOff>75045</xdr:rowOff>
    </xdr:to>
    <xdr:sp>
      <xdr:nvSpPr>
        <xdr:cNvPr id="7" name="Straight Arrow Connector 34"/>
        <xdr:cNvSpPr/>
      </xdr:nvSpPr>
      <xdr:spPr>
        <a:xfrm flipH="1" flipV="1">
          <a:off x="14670313" y="1366389"/>
          <a:ext cx="1001487" cy="30727"/>
        </a:xfrm>
        <a:prstGeom prst="line">
          <a:avLst/>
        </a:prstGeom>
        <a:noFill/>
        <a:ln w="22225" cap="flat">
          <a:solidFill>
            <a:srgbClr val="FF0000"/>
          </a:solidFill>
          <a:prstDash val="solid"/>
          <a:round/>
          <a:tailEnd type="triangle" w="med" len="med"/>
        </a:ln>
        <a:effectLst/>
      </xdr:spPr>
      <xdr:txBody>
        <a:bodyPr/>
        <a:lstStyle/>
        <a:p>
          <a:pPr/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2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L41"/>
  <sheetViews>
    <sheetView workbookViewId="0" showGridLines="0" defaultGridColor="1"/>
  </sheetViews>
  <sheetFormatPr defaultColWidth="8.83333" defaultRowHeight="13.2" customHeight="1" outlineLevelRow="0" outlineLevelCol="0"/>
  <cols>
    <col min="1" max="2" width="8.85156" style="1" customWidth="1"/>
    <col min="3" max="3" width="51.8516" style="1" customWidth="1"/>
    <col min="4" max="5" width="8.85156" style="1" customWidth="1"/>
    <col min="6" max="6" width="41.6719" style="1" customWidth="1"/>
    <col min="7" max="7" width="13.6719" style="1" customWidth="1"/>
    <col min="8" max="8" width="8.85156" style="1" customWidth="1"/>
    <col min="9" max="9" width="53.5" style="1" customWidth="1"/>
    <col min="10" max="10" width="12.1719" style="1" customWidth="1"/>
    <col min="11" max="11" width="9" style="1" customWidth="1"/>
    <col min="12" max="12" width="8.85156" style="79" customWidth="1"/>
    <col min="13" max="256" width="8.85156" style="79" customWidth="1"/>
  </cols>
  <sheetData>
    <row r="1" ht="18" customHeight="1">
      <c r="A1" s="2"/>
      <c r="B1" s="3"/>
      <c r="C1" t="s" s="4">
        <v>0</v>
      </c>
      <c r="D1" s="5">
        <v>7</v>
      </c>
      <c r="E1" s="6"/>
      <c r="F1" s="2"/>
      <c r="G1" s="2"/>
      <c r="H1" s="2"/>
      <c r="I1" s="2"/>
      <c r="J1" s="2"/>
      <c r="K1" s="2"/>
    </row>
    <row r="2" ht="13.8" customHeight="1">
      <c r="A2" s="2"/>
      <c r="B2" s="7"/>
      <c r="C2" s="8"/>
      <c r="D2" s="8"/>
      <c r="E2" s="7"/>
      <c r="F2" s="7"/>
      <c r="G2" s="7"/>
      <c r="H2" s="7"/>
      <c r="I2" s="7"/>
      <c r="J2" s="7"/>
      <c r="K2" s="2"/>
    </row>
    <row r="3" ht="16.2" customHeight="1">
      <c r="A3" s="3"/>
      <c r="B3" t="s" s="9">
        <v>1</v>
      </c>
      <c r="C3" s="10"/>
      <c r="D3" s="10"/>
      <c r="E3" t="s" s="11">
        <v>2</v>
      </c>
      <c r="F3" s="10"/>
      <c r="G3" s="10"/>
      <c r="H3" t="s" s="11">
        <v>3</v>
      </c>
      <c r="I3" s="10"/>
      <c r="J3" s="12"/>
      <c r="K3" s="6"/>
    </row>
    <row r="4" ht="14.4" customHeight="1">
      <c r="A4" s="3"/>
      <c r="B4" t="s" s="13">
        <v>4</v>
      </c>
      <c r="C4" t="s" s="14">
        <v>5</v>
      </c>
      <c r="D4" s="15">
        <v>1</v>
      </c>
      <c r="E4" t="s" s="16">
        <v>6</v>
      </c>
      <c r="F4" t="s" s="16">
        <v>7</v>
      </c>
      <c r="G4" s="17">
        <f>D8-D12</f>
        <v>225</v>
      </c>
      <c r="H4" t="s" s="16">
        <v>8</v>
      </c>
      <c r="I4" t="s" s="16">
        <v>9</v>
      </c>
      <c r="J4" s="18">
        <f>D20^2*G27/2*1000</f>
        <v>49255.691768826626</v>
      </c>
      <c r="K4" s="6"/>
    </row>
    <row r="5" ht="12" customHeight="1">
      <c r="A5" s="3"/>
      <c r="B5" t="s" s="19">
        <v>10</v>
      </c>
      <c r="C5" t="s" s="14">
        <v>11</v>
      </c>
      <c r="D5" s="20">
        <v>1</v>
      </c>
      <c r="E5" t="s" s="21">
        <v>12</v>
      </c>
      <c r="F5" t="s" s="21">
        <v>13</v>
      </c>
      <c r="G5" s="22">
        <f>D9-D13</f>
        <v>225</v>
      </c>
      <c r="H5" t="s" s="21">
        <v>14</v>
      </c>
      <c r="I5" t="s" s="21">
        <v>15</v>
      </c>
      <c r="J5" s="23">
        <f>D21^2*G28/2*1000</f>
        <v>49255.691768826626</v>
      </c>
      <c r="K5" s="6"/>
    </row>
    <row r="6" ht="16.5" customHeight="1">
      <c r="A6" s="3"/>
      <c r="B6" t="s" s="19">
        <v>16</v>
      </c>
      <c r="C6" t="s" s="14">
        <v>17</v>
      </c>
      <c r="D6" s="20">
        <v>1</v>
      </c>
      <c r="E6" t="s" s="21">
        <v>18</v>
      </c>
      <c r="F6" t="s" s="21">
        <v>19</v>
      </c>
      <c r="G6" s="22">
        <f>D10-D14</f>
        <v>225</v>
      </c>
      <c r="H6" t="s" s="21">
        <v>20</v>
      </c>
      <c r="I6" t="s" s="21">
        <v>21</v>
      </c>
      <c r="J6" s="23">
        <f>J4+J5</f>
        <v>98511.383537653252</v>
      </c>
      <c r="K6" s="6"/>
    </row>
    <row r="7" ht="13.2" customHeight="1">
      <c r="A7" s="3"/>
      <c r="B7" t="s" s="19">
        <v>22</v>
      </c>
      <c r="C7" t="s" s="16">
        <v>23</v>
      </c>
      <c r="D7" s="20">
        <v>1</v>
      </c>
      <c r="E7" t="s" s="21">
        <v>24</v>
      </c>
      <c r="F7" t="s" s="21">
        <v>25</v>
      </c>
      <c r="G7" s="22">
        <f>D11-D15</f>
        <v>225</v>
      </c>
      <c r="H7" t="s" s="21">
        <v>26</v>
      </c>
      <c r="I7" t="s" s="21">
        <v>27</v>
      </c>
      <c r="J7" s="23">
        <f>G10*G25*D1+D20</f>
        <v>-943.5000000000002</v>
      </c>
      <c r="K7" s="24"/>
    </row>
    <row r="8" ht="13.8" customHeight="1">
      <c r="A8" s="3"/>
      <c r="B8" t="s" s="19">
        <v>28</v>
      </c>
      <c r="C8" t="s" s="21">
        <v>29</v>
      </c>
      <c r="D8" s="20">
        <v>250</v>
      </c>
      <c r="E8" t="s" s="21">
        <v>30</v>
      </c>
      <c r="F8" t="s" s="21">
        <v>31</v>
      </c>
      <c r="G8" s="22">
        <f>G4+G5</f>
        <v>450</v>
      </c>
      <c r="H8" t="s" s="25">
        <v>32</v>
      </c>
      <c r="I8" t="s" s="21">
        <v>33</v>
      </c>
      <c r="J8" s="26">
        <f>J7/J6</f>
        <v>-0.009577573333333334</v>
      </c>
      <c r="K8" s="27">
        <f>J8*180/3.142</f>
        <v>-0.5486833863781031</v>
      </c>
    </row>
    <row r="9" ht="13.8" customHeight="1">
      <c r="A9" s="3"/>
      <c r="B9" t="s" s="19">
        <v>34</v>
      </c>
      <c r="C9" t="s" s="21">
        <v>35</v>
      </c>
      <c r="D9" s="20">
        <v>250</v>
      </c>
      <c r="E9" t="s" s="21">
        <v>36</v>
      </c>
      <c r="F9" t="s" s="21">
        <v>37</v>
      </c>
      <c r="G9" s="22">
        <f>G6+G7</f>
        <v>450</v>
      </c>
      <c r="H9" t="s" s="21">
        <v>38</v>
      </c>
      <c r="I9" t="s" s="21">
        <v>39</v>
      </c>
      <c r="J9" s="28">
        <f>J8*AVERAGE(G17,G18)*D20*1000/2</f>
        <v>-314.5000000000001</v>
      </c>
      <c r="K9" s="29"/>
    </row>
    <row r="10" ht="13.8" customHeight="1">
      <c r="A10" s="3"/>
      <c r="B10" t="s" s="19">
        <v>40</v>
      </c>
      <c r="C10" t="s" s="21">
        <v>41</v>
      </c>
      <c r="D10" s="20">
        <v>250</v>
      </c>
      <c r="E10" t="s" s="21">
        <v>42</v>
      </c>
      <c r="F10" t="s" s="21">
        <v>43</v>
      </c>
      <c r="G10" s="22">
        <f>G8+G9</f>
        <v>900</v>
      </c>
      <c r="H10" t="s" s="30">
        <v>44</v>
      </c>
      <c r="I10" t="s" s="21">
        <v>45</v>
      </c>
      <c r="J10" s="28">
        <f>(J8*G28*D21)/2*1000</f>
        <v>-314.5000000000001</v>
      </c>
      <c r="K10" s="6"/>
    </row>
    <row r="11" ht="13.8" customHeight="1">
      <c r="A11" s="3"/>
      <c r="B11" t="s" s="19">
        <v>46</v>
      </c>
      <c r="C11" t="s" s="21">
        <v>47</v>
      </c>
      <c r="D11" s="20">
        <v>250</v>
      </c>
      <c r="E11" t="s" s="21">
        <v>48</v>
      </c>
      <c r="F11" t="s" s="21">
        <v>49</v>
      </c>
      <c r="G11" s="31">
        <f>D8+D9+D10+D11</f>
        <v>1000</v>
      </c>
      <c r="H11" s="32"/>
      <c r="I11" s="32"/>
      <c r="J11" s="33"/>
      <c r="K11" s="34"/>
    </row>
    <row r="12" ht="13.8" customHeight="1">
      <c r="A12" s="3"/>
      <c r="B12" t="s" s="19">
        <v>50</v>
      </c>
      <c r="C12" t="s" s="21">
        <v>51</v>
      </c>
      <c r="D12" s="20">
        <v>25</v>
      </c>
      <c r="E12" t="s" s="21">
        <v>52</v>
      </c>
      <c r="F12" t="s" s="21">
        <v>53</v>
      </c>
      <c r="G12" s="31">
        <f>D12+D13+D14+D15</f>
        <v>100</v>
      </c>
      <c r="H12" t="s" s="21">
        <v>54</v>
      </c>
      <c r="I12" t="s" s="21">
        <v>55</v>
      </c>
      <c r="J12" s="35">
        <f>(G8*D1*D27/D20)</f>
        <v>210</v>
      </c>
      <c r="K12" s="6"/>
    </row>
    <row r="13" ht="13.2" customHeight="1">
      <c r="A13" s="3"/>
      <c r="B13" t="s" s="19">
        <v>56</v>
      </c>
      <c r="C13" t="s" s="21">
        <v>57</v>
      </c>
      <c r="D13" s="20">
        <v>25</v>
      </c>
      <c r="E13" t="s" s="21">
        <v>58</v>
      </c>
      <c r="F13" t="s" s="21">
        <v>59</v>
      </c>
      <c r="G13" s="36">
        <f>D16/5.71</f>
        <v>43.78283712784589</v>
      </c>
      <c r="H13" t="s" s="21">
        <v>60</v>
      </c>
      <c r="I13" t="s" s="21">
        <v>61</v>
      </c>
      <c r="J13" s="35">
        <f>J11+G9*D1*D28/D21</f>
        <v>420</v>
      </c>
      <c r="K13" s="6"/>
    </row>
    <row r="14" ht="13.2" customHeight="1">
      <c r="A14" s="3"/>
      <c r="B14" t="s" s="19">
        <v>62</v>
      </c>
      <c r="C14" t="s" s="21">
        <v>63</v>
      </c>
      <c r="D14" s="20">
        <v>25</v>
      </c>
      <c r="E14" t="s" s="21">
        <v>64</v>
      </c>
      <c r="F14" t="s" s="21">
        <v>65</v>
      </c>
      <c r="G14" s="36">
        <f>D17/5.71</f>
        <v>43.78283712784589</v>
      </c>
      <c r="H14" t="s" s="21">
        <v>66</v>
      </c>
      <c r="I14" t="s" s="21">
        <v>67</v>
      </c>
      <c r="J14" s="23">
        <f>(D12+D13)*D1*D23/D20</f>
        <v>64.16666666666667</v>
      </c>
      <c r="K14" s="6"/>
    </row>
    <row r="15" ht="13.2" customHeight="1">
      <c r="A15" s="3"/>
      <c r="B15" t="s" s="19">
        <v>68</v>
      </c>
      <c r="C15" t="s" s="21">
        <v>69</v>
      </c>
      <c r="D15" s="20">
        <v>25</v>
      </c>
      <c r="E15" t="s" s="21">
        <v>70</v>
      </c>
      <c r="F15" t="s" s="21">
        <v>71</v>
      </c>
      <c r="G15" s="36">
        <f>D18/5.71</f>
        <v>43.78283712784589</v>
      </c>
      <c r="H15" t="s" s="21">
        <v>72</v>
      </c>
      <c r="I15" t="s" s="21">
        <v>73</v>
      </c>
      <c r="J15" s="23">
        <f>(D14+D15)*D1*D24/D21</f>
        <v>64.16666666666667</v>
      </c>
      <c r="K15" s="6"/>
    </row>
    <row r="16" ht="13.2" customHeight="1">
      <c r="A16" s="3"/>
      <c r="B16" t="s" s="19">
        <v>74</v>
      </c>
      <c r="C16" t="s" s="21">
        <v>75</v>
      </c>
      <c r="D16" s="20">
        <v>250</v>
      </c>
      <c r="E16" t="s" s="21">
        <v>76</v>
      </c>
      <c r="F16" t="s" s="21">
        <v>77</v>
      </c>
      <c r="G16" s="36">
        <f>D19/5.71</f>
        <v>43.78283712784589</v>
      </c>
      <c r="H16" s="37"/>
      <c r="I16" t="s" s="21">
        <v>78</v>
      </c>
      <c r="J16" s="38">
        <f>J9+J12+J14</f>
        <v>-40.33333333333339</v>
      </c>
      <c r="K16" s="6"/>
    </row>
    <row r="17" ht="13.8" customHeight="1">
      <c r="A17" s="3"/>
      <c r="B17" t="s" s="19">
        <v>79</v>
      </c>
      <c r="C17" t="s" s="21">
        <v>80</v>
      </c>
      <c r="D17" s="20">
        <v>250</v>
      </c>
      <c r="E17" t="s" s="21">
        <v>81</v>
      </c>
      <c r="F17" t="s" s="21">
        <v>82</v>
      </c>
      <c r="G17" s="39">
        <f>G13*D4^2</f>
        <v>43.78283712784589</v>
      </c>
      <c r="H17" s="37"/>
      <c r="I17" t="s" s="21">
        <v>83</v>
      </c>
      <c r="J17" s="40">
        <f>J10+J13+J15</f>
        <v>169.6666666666666</v>
      </c>
      <c r="K17" s="6"/>
    </row>
    <row r="18" ht="13.8" customHeight="1">
      <c r="A18" s="3"/>
      <c r="B18" t="s" s="19">
        <v>70</v>
      </c>
      <c r="C18" t="s" s="21">
        <v>84</v>
      </c>
      <c r="D18" s="20">
        <v>250</v>
      </c>
      <c r="E18" t="s" s="21">
        <v>85</v>
      </c>
      <c r="F18" t="s" s="21">
        <v>86</v>
      </c>
      <c r="G18" s="39">
        <f>G14*D5^2</f>
        <v>43.78283712784589</v>
      </c>
      <c r="H18" s="37"/>
      <c r="I18" t="s" s="41">
        <v>87</v>
      </c>
      <c r="J18" s="42">
        <f>J16+J17</f>
        <v>129.3333333333333</v>
      </c>
      <c r="K18" s="6"/>
    </row>
    <row r="19" ht="13.2" customHeight="1">
      <c r="A19" s="3"/>
      <c r="B19" t="s" s="19">
        <v>76</v>
      </c>
      <c r="C19" t="s" s="21">
        <v>88</v>
      </c>
      <c r="D19" s="20">
        <v>250</v>
      </c>
      <c r="E19" t="s" s="21">
        <v>89</v>
      </c>
      <c r="F19" t="s" s="21">
        <v>90</v>
      </c>
      <c r="G19" s="39">
        <f>G15*D6^2</f>
        <v>43.78283712784589</v>
      </c>
      <c r="H19" t="s" s="21">
        <v>91</v>
      </c>
      <c r="I19" t="s" s="21">
        <v>92</v>
      </c>
      <c r="J19" s="43">
        <f>(D8*9.81)+J16</f>
        <v>2412.166666666667</v>
      </c>
      <c r="K19" s="6"/>
    </row>
    <row r="20" ht="13.2" customHeight="1">
      <c r="A20" s="3"/>
      <c r="B20" t="s" s="19">
        <v>93</v>
      </c>
      <c r="C20" t="s" s="21">
        <v>94</v>
      </c>
      <c r="D20" s="44">
        <v>1.5</v>
      </c>
      <c r="E20" t="s" s="21">
        <v>95</v>
      </c>
      <c r="F20" t="s" s="21">
        <v>96</v>
      </c>
      <c r="G20" s="39">
        <f>G16*D7^2</f>
        <v>43.78283712784589</v>
      </c>
      <c r="H20" t="s" s="21">
        <v>97</v>
      </c>
      <c r="I20" t="s" s="21">
        <v>98</v>
      </c>
      <c r="J20" s="45">
        <f>(D9*9.81)-J16</f>
        <v>2492.833333333333</v>
      </c>
      <c r="K20" s="6"/>
    </row>
    <row r="21" ht="13.2" customHeight="1">
      <c r="A21" s="3"/>
      <c r="B21" t="s" s="19">
        <v>99</v>
      </c>
      <c r="C21" t="s" s="21">
        <v>100</v>
      </c>
      <c r="D21" s="44">
        <v>1.5</v>
      </c>
      <c r="E21" t="s" s="21">
        <v>101</v>
      </c>
      <c r="F21" t="s" s="21">
        <v>102</v>
      </c>
      <c r="G21" s="46">
        <f>D22*G9/G10</f>
        <v>1.25</v>
      </c>
      <c r="H21" t="s" s="21">
        <v>103</v>
      </c>
      <c r="I21" t="s" s="21">
        <v>104</v>
      </c>
      <c r="J21" s="45">
        <f>(D10*9.81)+J17</f>
        <v>2622.166666666667</v>
      </c>
      <c r="K21" s="6"/>
    </row>
    <row r="22" ht="13.8" customHeight="1">
      <c r="A22" s="3"/>
      <c r="B22" t="s" s="19">
        <v>105</v>
      </c>
      <c r="C22" t="s" s="21">
        <v>106</v>
      </c>
      <c r="D22" s="44">
        <v>2.5</v>
      </c>
      <c r="E22" t="s" s="21">
        <v>107</v>
      </c>
      <c r="F22" t="s" s="21">
        <v>108</v>
      </c>
      <c r="G22" s="47">
        <f>D28-D27</f>
        <v>0.1</v>
      </c>
      <c r="H22" t="s" s="21">
        <v>109</v>
      </c>
      <c r="I22" t="s" s="21">
        <v>110</v>
      </c>
      <c r="J22" s="48">
        <f>(D11*9.81)-J17</f>
        <v>2282.833333333333</v>
      </c>
      <c r="K22" s="6"/>
    </row>
    <row r="23" ht="13.2" customHeight="1">
      <c r="A23" s="3"/>
      <c r="B23" t="s" s="19">
        <v>111</v>
      </c>
      <c r="C23" t="s" s="21">
        <v>112</v>
      </c>
      <c r="D23" s="49">
        <v>0.275</v>
      </c>
      <c r="E23" t="s" s="21">
        <v>113</v>
      </c>
      <c r="F23" t="s" s="21">
        <v>114</v>
      </c>
      <c r="G23" s="50">
        <f>G22/D22*G21</f>
        <v>0.05</v>
      </c>
      <c r="H23" s="37"/>
      <c r="I23" t="s" s="41">
        <v>115</v>
      </c>
      <c r="J23" s="51">
        <f>SUM(J19:J22)</f>
        <v>9810</v>
      </c>
      <c r="K23" s="6"/>
    </row>
    <row r="24" ht="13.8" customHeight="1">
      <c r="A24" s="3"/>
      <c r="B24" t="s" s="19">
        <v>116</v>
      </c>
      <c r="C24" t="s" s="21">
        <v>117</v>
      </c>
      <c r="D24" s="49">
        <v>0.275</v>
      </c>
      <c r="E24" t="s" s="21">
        <v>118</v>
      </c>
      <c r="F24" t="s" s="21">
        <v>119</v>
      </c>
      <c r="G24" s="39">
        <f>G23+D27</f>
        <v>0.15</v>
      </c>
      <c r="H24" s="37"/>
      <c r="I24" t="s" s="41">
        <v>120</v>
      </c>
      <c r="J24" s="52">
        <f>G11*9.81</f>
        <v>9810</v>
      </c>
      <c r="K24" s="6"/>
    </row>
    <row r="25" ht="13.2" customHeight="1">
      <c r="A25" s="3"/>
      <c r="B25" t="s" s="19">
        <v>121</v>
      </c>
      <c r="C25" t="s" s="21">
        <v>122</v>
      </c>
      <c r="D25" s="53">
        <v>0.4</v>
      </c>
      <c r="E25" t="s" s="21">
        <v>123</v>
      </c>
      <c r="F25" t="s" s="21">
        <v>124</v>
      </c>
      <c r="G25" s="54">
        <f>D26-G23-D27</f>
        <v>-0.15</v>
      </c>
      <c r="H25" s="37"/>
      <c r="I25" s="37"/>
      <c r="J25" s="55"/>
      <c r="K25" s="6"/>
    </row>
    <row r="26" ht="13.8" customHeight="1">
      <c r="A26" s="3"/>
      <c r="B26" t="s" s="19">
        <v>125</v>
      </c>
      <c r="C26" t="s" s="41">
        <v>126</v>
      </c>
      <c r="D26" s="5"/>
      <c r="E26" s="56"/>
      <c r="F26" s="57"/>
      <c r="G26" s="58"/>
      <c r="H26" s="37"/>
      <c r="I26" s="37"/>
      <c r="J26" s="59"/>
      <c r="K26" s="6"/>
    </row>
    <row r="27" ht="13.8" customHeight="1">
      <c r="A27" s="3"/>
      <c r="B27" t="s" s="19">
        <v>127</v>
      </c>
      <c r="C27" t="s" s="21">
        <v>128</v>
      </c>
      <c r="D27" s="60">
        <v>0.1</v>
      </c>
      <c r="E27" t="s" s="21">
        <v>129</v>
      </c>
      <c r="F27" t="s" s="61">
        <v>130</v>
      </c>
      <c r="G27" s="62">
        <f>(G17+G18)/2</f>
        <v>43.78283712784589</v>
      </c>
      <c r="H27" t="s" s="21">
        <v>131</v>
      </c>
      <c r="I27" t="s" s="41">
        <v>132</v>
      </c>
      <c r="J27" s="42">
        <f>G11*D1*D25/AVERAGE(D20:D21)</f>
        <v>1866.666666666667</v>
      </c>
      <c r="K27" s="6"/>
    </row>
    <row r="28" ht="13.8" customHeight="1">
      <c r="A28" s="3"/>
      <c r="B28" t="s" s="63">
        <v>133</v>
      </c>
      <c r="C28" t="s" s="64">
        <v>134</v>
      </c>
      <c r="D28" s="53">
        <v>0.2</v>
      </c>
      <c r="E28" t="s" s="64">
        <v>135</v>
      </c>
      <c r="F28" t="s" s="65">
        <v>136</v>
      </c>
      <c r="G28" s="66">
        <f>(G19+G20)/2</f>
        <v>43.78283712784589</v>
      </c>
      <c r="H28" s="67"/>
      <c r="I28" s="67"/>
      <c r="J28" s="68"/>
      <c r="K28" s="6"/>
    </row>
    <row r="29" ht="13.8" customHeight="1">
      <c r="A29" s="2"/>
      <c r="B29" t="s" s="69">
        <v>137</v>
      </c>
      <c r="C29" t="s" s="69">
        <v>138</v>
      </c>
      <c r="D29" s="70">
        <f>J19-J20</f>
        <v>-80.66666666666697</v>
      </c>
      <c r="E29" s="71"/>
      <c r="F29" s="2"/>
      <c r="G29" s="71"/>
      <c r="H29" s="71"/>
      <c r="I29" s="71"/>
      <c r="J29" s="71"/>
      <c r="K29" s="2"/>
    </row>
    <row r="30" ht="14.4" customHeight="1">
      <c r="A30" s="2"/>
      <c r="B30" t="s" s="72">
        <v>139</v>
      </c>
      <c r="C30" t="s" s="72">
        <v>140</v>
      </c>
      <c r="D30" s="73">
        <f>J21-J22</f>
        <v>339.333333333333</v>
      </c>
      <c r="E30" s="74"/>
      <c r="F30" s="2"/>
      <c r="G30" s="75"/>
      <c r="H30" s="75"/>
      <c r="I30" s="75"/>
      <c r="J30" s="2"/>
      <c r="K30" s="2"/>
    </row>
    <row r="31" ht="15" customHeight="1">
      <c r="A31" s="2"/>
      <c r="B31" t="s" s="72">
        <v>141</v>
      </c>
      <c r="C31" t="s" s="72">
        <v>141</v>
      </c>
      <c r="D31" s="76">
        <f>D29-D30</f>
        <v>-420</v>
      </c>
      <c r="E31" s="2"/>
      <c r="F31" s="2"/>
      <c r="G31" s="75"/>
      <c r="H31" s="77"/>
      <c r="I31" s="2"/>
      <c r="J31" s="2"/>
      <c r="K31" s="2"/>
    </row>
    <row r="32" ht="18" customHeight="1">
      <c r="A32" s="2"/>
      <c r="B32" t="s" s="72">
        <v>142</v>
      </c>
      <c r="C32" t="s" s="72">
        <v>143</v>
      </c>
      <c r="D32" s="78">
        <f>J27/100</f>
        <v>18.66666666666667</v>
      </c>
      <c r="E32" s="2"/>
      <c r="F32" s="2"/>
      <c r="G32" s="2">
        <f>J4-G27</f>
        <v>49211.908931698781</v>
      </c>
      <c r="H32" s="2"/>
      <c r="I32" s="2"/>
      <c r="J32" s="2"/>
      <c r="K32" s="2"/>
    </row>
    <row r="33" ht="14.4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ht="13.2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ht="13.2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ht="13.2" customHeight="1">
      <c r="A36" s="2"/>
      <c r="B36" s="2"/>
      <c r="C36" s="2"/>
      <c r="D36" s="2"/>
      <c r="E36" s="2"/>
      <c r="F36" s="2">
        <f>AVERAGE(G13,G14)</f>
        <v>43.78283712784589</v>
      </c>
      <c r="G36" s="2"/>
      <c r="H36" s="2"/>
      <c r="I36" s="2"/>
      <c r="J36" s="2"/>
      <c r="K36" s="2"/>
    </row>
    <row r="37" ht="13.2" customHeight="1">
      <c r="A37" s="2"/>
      <c r="B37" s="2"/>
      <c r="C37" s="2"/>
      <c r="D37" s="2"/>
      <c r="E37" s="2"/>
      <c r="F37" s="2">
        <f>AVERAGE(G17,G18)</f>
        <v>43.78283712784589</v>
      </c>
      <c r="G37" s="2"/>
      <c r="H37" s="2"/>
      <c r="I37" s="2"/>
      <c r="J37" s="2"/>
      <c r="K37" s="2"/>
    </row>
    <row r="38" ht="13.2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ht="13.2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1" ht="18" customHeight="1">
      <c r="L41" s="80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K39"/>
  <sheetViews>
    <sheetView workbookViewId="0" showGridLines="0" defaultGridColor="1"/>
  </sheetViews>
  <sheetFormatPr defaultColWidth="8.83333" defaultRowHeight="13.2" customHeight="1" outlineLevelRow="0" outlineLevelCol="0"/>
  <cols>
    <col min="1" max="2" width="8.85156" style="81" customWidth="1"/>
    <col min="3" max="3" width="51.8516" style="81" customWidth="1"/>
    <col min="4" max="5" width="8.85156" style="81" customWidth="1"/>
    <col min="6" max="6" width="41.6719" style="81" customWidth="1"/>
    <col min="7" max="7" width="13.6719" style="81" customWidth="1"/>
    <col min="8" max="8" width="8.85156" style="81" customWidth="1"/>
    <col min="9" max="9" width="53.5" style="81" customWidth="1"/>
    <col min="10" max="10" width="12.1719" style="81" customWidth="1"/>
    <col min="11" max="11" width="10.4297" style="81" customWidth="1"/>
    <col min="12" max="256" width="8.85156" style="81" customWidth="1"/>
  </cols>
  <sheetData>
    <row r="1" ht="18" customHeight="1">
      <c r="A1" s="2"/>
      <c r="B1" s="3"/>
      <c r="C1" t="s" s="4">
        <v>0</v>
      </c>
      <c r="D1" s="5">
        <v>8.1</v>
      </c>
      <c r="E1" s="6"/>
      <c r="F1" s="2"/>
      <c r="G1" s="2"/>
      <c r="H1" s="2"/>
      <c r="I1" s="2"/>
      <c r="J1" s="2"/>
      <c r="K1" s="2"/>
    </row>
    <row r="2" ht="13.8" customHeight="1">
      <c r="A2" s="2"/>
      <c r="B2" s="7"/>
      <c r="C2" s="8"/>
      <c r="D2" s="8"/>
      <c r="E2" s="7"/>
      <c r="F2" s="7"/>
      <c r="G2" s="7"/>
      <c r="H2" s="7"/>
      <c r="I2" s="7"/>
      <c r="J2" s="7"/>
      <c r="K2" s="2"/>
    </row>
    <row r="3" ht="16.2" customHeight="1">
      <c r="A3" s="3"/>
      <c r="B3" t="s" s="9">
        <v>1</v>
      </c>
      <c r="C3" s="10"/>
      <c r="D3" s="10"/>
      <c r="E3" t="s" s="11">
        <v>2</v>
      </c>
      <c r="F3" s="10"/>
      <c r="G3" s="10"/>
      <c r="H3" t="s" s="11">
        <v>3</v>
      </c>
      <c r="I3" s="10"/>
      <c r="J3" s="12"/>
      <c r="K3" s="6"/>
    </row>
    <row r="4" ht="14.4" customHeight="1">
      <c r="A4" s="3"/>
      <c r="B4" t="s" s="13">
        <v>4</v>
      </c>
      <c r="C4" t="s" s="14">
        <v>5</v>
      </c>
      <c r="D4" s="82">
        <v>0.87</v>
      </c>
      <c r="E4" t="s" s="16">
        <v>6</v>
      </c>
      <c r="F4" t="s" s="16">
        <v>7</v>
      </c>
      <c r="G4" s="17">
        <f>D8-D12</f>
        <v>156.8</v>
      </c>
      <c r="H4" t="s" s="16">
        <v>8</v>
      </c>
      <c r="I4" t="s" s="16">
        <v>9</v>
      </c>
      <c r="J4" s="18">
        <f>D20^2*G27/2*1000</f>
        <v>28882.859985551659</v>
      </c>
      <c r="K4" s="6"/>
    </row>
    <row r="5" ht="12" customHeight="1">
      <c r="A5" s="3"/>
      <c r="B5" t="s" s="19">
        <v>10</v>
      </c>
      <c r="C5" t="s" s="14">
        <v>11</v>
      </c>
      <c r="D5" s="83">
        <v>0.82</v>
      </c>
      <c r="E5" t="s" s="21">
        <v>12</v>
      </c>
      <c r="F5" t="s" s="21">
        <v>13</v>
      </c>
      <c r="G5" s="22">
        <f>D9-D13</f>
        <v>177.2</v>
      </c>
      <c r="H5" t="s" s="21">
        <v>14</v>
      </c>
      <c r="I5" t="s" s="21">
        <v>15</v>
      </c>
      <c r="J5" s="23">
        <f>D21^2*G28/2*1000</f>
        <v>70828.2455201401</v>
      </c>
      <c r="K5" s="6"/>
    </row>
    <row r="6" ht="16.5" customHeight="1">
      <c r="A6" s="3"/>
      <c r="B6" t="s" s="19">
        <v>16</v>
      </c>
      <c r="C6" t="s" s="14">
        <v>17</v>
      </c>
      <c r="D6" s="83">
        <v>1.02</v>
      </c>
      <c r="E6" t="s" s="21">
        <v>18</v>
      </c>
      <c r="F6" t="s" s="21">
        <v>19</v>
      </c>
      <c r="G6" s="22">
        <f>D10-D14</f>
        <v>163.8</v>
      </c>
      <c r="H6" t="s" s="21">
        <v>20</v>
      </c>
      <c r="I6" t="s" s="21">
        <v>21</v>
      </c>
      <c r="J6" s="23">
        <f>J4+J5</f>
        <v>99711.105505691754</v>
      </c>
      <c r="K6" s="6"/>
    </row>
    <row r="7" ht="13.2" customHeight="1">
      <c r="A7" s="3"/>
      <c r="B7" t="s" s="19">
        <v>22</v>
      </c>
      <c r="C7" t="s" s="16">
        <v>23</v>
      </c>
      <c r="D7" s="83">
        <v>1.02</v>
      </c>
      <c r="E7" t="s" s="21">
        <v>24</v>
      </c>
      <c r="F7" t="s" s="21">
        <v>25</v>
      </c>
      <c r="G7" s="22">
        <f>D11-D15</f>
        <v>184.2</v>
      </c>
      <c r="H7" t="s" s="21">
        <v>26</v>
      </c>
      <c r="I7" t="s" s="21">
        <v>27</v>
      </c>
      <c r="J7" s="23">
        <f>G10*G25*D1+D20</f>
        <v>-640.0499999999998</v>
      </c>
      <c r="K7" s="24"/>
    </row>
    <row r="8" ht="13.8" customHeight="1">
      <c r="A8" s="3"/>
      <c r="B8" t="s" s="19">
        <v>28</v>
      </c>
      <c r="C8" t="s" s="21">
        <v>29</v>
      </c>
      <c r="D8" s="44">
        <v>185.8</v>
      </c>
      <c r="E8" t="s" s="21">
        <v>30</v>
      </c>
      <c r="F8" t="s" s="21">
        <v>31</v>
      </c>
      <c r="G8" s="22">
        <f>G4+G5</f>
        <v>334</v>
      </c>
      <c r="H8" t="s" s="25">
        <v>32</v>
      </c>
      <c r="I8" t="s" s="21">
        <v>33</v>
      </c>
      <c r="J8" s="26">
        <f>J7/J6</f>
        <v>-0.006419044265470151</v>
      </c>
      <c r="K8" s="27">
        <f>J8*180/3.142</f>
        <v>-0.3677364633305624</v>
      </c>
    </row>
    <row r="9" ht="13.8" customHeight="1">
      <c r="A9" s="3"/>
      <c r="B9" t="s" s="19">
        <v>34</v>
      </c>
      <c r="C9" t="s" s="21">
        <v>35</v>
      </c>
      <c r="D9" s="44">
        <v>206.2</v>
      </c>
      <c r="E9" t="s" s="21">
        <v>36</v>
      </c>
      <c r="F9" t="s" s="21">
        <v>37</v>
      </c>
      <c r="G9" s="22">
        <f>G6+G7</f>
        <v>348</v>
      </c>
      <c r="H9" t="s" s="84">
        <v>38</v>
      </c>
      <c r="I9" t="s" s="84">
        <v>39</v>
      </c>
      <c r="J9" s="85">
        <f>J8*AVERAGE(G17,G18)*D20*1000/2</f>
        <v>-126.1226916738998</v>
      </c>
      <c r="K9" s="29"/>
    </row>
    <row r="10" ht="13.8" customHeight="1">
      <c r="A10" s="3"/>
      <c r="B10" t="s" s="19">
        <v>40</v>
      </c>
      <c r="C10" t="s" s="21">
        <v>41</v>
      </c>
      <c r="D10" s="44">
        <v>198.8</v>
      </c>
      <c r="E10" t="s" s="21">
        <v>42</v>
      </c>
      <c r="F10" t="s" s="21">
        <v>43</v>
      </c>
      <c r="G10" s="22">
        <f>G8+G9</f>
        <v>682</v>
      </c>
      <c r="H10" t="s" s="30">
        <v>44</v>
      </c>
      <c r="I10" t="s" s="21">
        <v>45</v>
      </c>
      <c r="J10" s="28">
        <f>(J8*G28*D21)/2*1000</f>
        <v>-299.1116073943205</v>
      </c>
      <c r="K10" s="6"/>
    </row>
    <row r="11" ht="13.8" customHeight="1">
      <c r="A11" s="3"/>
      <c r="B11" t="s" s="19">
        <v>46</v>
      </c>
      <c r="C11" t="s" s="21">
        <v>47</v>
      </c>
      <c r="D11" s="44">
        <v>219.2</v>
      </c>
      <c r="E11" t="s" s="21">
        <v>48</v>
      </c>
      <c r="F11" t="s" s="21">
        <v>49</v>
      </c>
      <c r="G11" s="31">
        <f>D8+D9+D10+D11</f>
        <v>810</v>
      </c>
      <c r="H11" s="32"/>
      <c r="I11" s="32"/>
      <c r="J11" s="33"/>
      <c r="K11" s="34"/>
    </row>
    <row r="12" ht="13.8" customHeight="1">
      <c r="A12" s="3"/>
      <c r="B12" t="s" s="19">
        <v>50</v>
      </c>
      <c r="C12" t="s" s="21">
        <v>51</v>
      </c>
      <c r="D12" s="20">
        <v>29</v>
      </c>
      <c r="E12" t="s" s="21">
        <v>52</v>
      </c>
      <c r="F12" t="s" s="21">
        <v>53</v>
      </c>
      <c r="G12" s="31">
        <f>D12+D13+D14+D15</f>
        <v>128</v>
      </c>
      <c r="H12" t="s" s="21">
        <v>54</v>
      </c>
      <c r="I12" t="s" s="21">
        <v>55</v>
      </c>
      <c r="J12" s="35">
        <f>(G8*D1*D27/D20)</f>
        <v>110.4244897959184</v>
      </c>
      <c r="K12" s="6"/>
    </row>
    <row r="13" ht="13.2" customHeight="1">
      <c r="A13" s="3"/>
      <c r="B13" t="s" s="19">
        <v>56</v>
      </c>
      <c r="C13" t="s" s="21">
        <v>57</v>
      </c>
      <c r="D13" s="20">
        <v>29</v>
      </c>
      <c r="E13" t="s" s="21">
        <v>58</v>
      </c>
      <c r="F13" t="s" s="21">
        <v>59</v>
      </c>
      <c r="G13" s="36">
        <f>D16/5.71</f>
        <v>37.65323992994746</v>
      </c>
      <c r="H13" t="s" s="21">
        <v>60</v>
      </c>
      <c r="I13" t="s" s="21">
        <v>61</v>
      </c>
      <c r="J13" s="35">
        <f>J11+G9*D1*D28/D21</f>
        <v>315.2605263157894</v>
      </c>
      <c r="K13" s="6"/>
    </row>
    <row r="14" ht="13.2" customHeight="1">
      <c r="A14" s="3"/>
      <c r="B14" t="s" s="19">
        <v>62</v>
      </c>
      <c r="C14" t="s" s="21">
        <v>63</v>
      </c>
      <c r="D14" s="20">
        <v>35</v>
      </c>
      <c r="E14" t="s" s="21">
        <v>64</v>
      </c>
      <c r="F14" t="s" s="21">
        <v>65</v>
      </c>
      <c r="G14" s="36">
        <f>D17/5.71</f>
        <v>37.12784588441331</v>
      </c>
      <c r="H14" t="s" s="21">
        <v>66</v>
      </c>
      <c r="I14" t="s" s="21">
        <v>67</v>
      </c>
      <c r="J14" s="23">
        <f>(D12+D13)*D1*D23/D20</f>
        <v>87.88775510204081</v>
      </c>
      <c r="K14" s="6"/>
    </row>
    <row r="15" ht="13.2" customHeight="1">
      <c r="A15" s="3"/>
      <c r="B15" t="s" s="19">
        <v>68</v>
      </c>
      <c r="C15" t="s" s="21">
        <v>69</v>
      </c>
      <c r="D15" s="20">
        <v>35</v>
      </c>
      <c r="E15" t="s" s="21">
        <v>70</v>
      </c>
      <c r="F15" t="s" s="21">
        <v>71</v>
      </c>
      <c r="G15" s="36">
        <f>D18/5.71</f>
        <v>58.84413309982487</v>
      </c>
      <c r="H15" t="s" s="21">
        <v>72</v>
      </c>
      <c r="I15" t="s" s="21">
        <v>73</v>
      </c>
      <c r="J15" s="23">
        <f>(D14+D15)*D1*D24/D21</f>
        <v>102.5822368421053</v>
      </c>
      <c r="K15" s="6"/>
    </row>
    <row r="16" ht="13.2" customHeight="1">
      <c r="A16" s="3"/>
      <c r="B16" t="s" s="19">
        <v>74</v>
      </c>
      <c r="C16" t="s" s="21">
        <v>75</v>
      </c>
      <c r="D16" s="20">
        <v>215</v>
      </c>
      <c r="E16" t="s" s="21">
        <v>76</v>
      </c>
      <c r="F16" t="s" s="21">
        <v>77</v>
      </c>
      <c r="G16" s="36">
        <f>D19/5.71</f>
        <v>59.01926444833625</v>
      </c>
      <c r="H16" s="37"/>
      <c r="I16" t="s" s="21">
        <v>78</v>
      </c>
      <c r="J16" s="38">
        <f>J9+J12+J14</f>
        <v>72.18955322405941</v>
      </c>
      <c r="K16" s="6"/>
    </row>
    <row r="17" ht="13.8" customHeight="1">
      <c r="A17" s="3"/>
      <c r="B17" t="s" s="19">
        <v>79</v>
      </c>
      <c r="C17" t="s" s="21">
        <v>80</v>
      </c>
      <c r="D17" s="20">
        <v>212</v>
      </c>
      <c r="E17" t="s" s="21">
        <v>81</v>
      </c>
      <c r="F17" t="s" s="21">
        <v>82</v>
      </c>
      <c r="G17" s="39">
        <f>G13*D4^2</f>
        <v>28.49973730297723</v>
      </c>
      <c r="H17" s="37"/>
      <c r="I17" t="s" s="21">
        <v>83</v>
      </c>
      <c r="J17" s="40">
        <f>J10+J13+J15</f>
        <v>118.7311557635742</v>
      </c>
      <c r="K17" s="6"/>
    </row>
    <row r="18" ht="13.8" customHeight="1">
      <c r="A18" s="3"/>
      <c r="B18" t="s" s="19">
        <v>70</v>
      </c>
      <c r="C18" t="s" s="21">
        <v>84</v>
      </c>
      <c r="D18" s="20">
        <v>336</v>
      </c>
      <c r="E18" t="s" s="21">
        <v>85</v>
      </c>
      <c r="F18" t="s" s="21">
        <v>86</v>
      </c>
      <c r="G18" s="39">
        <f>G14*D5^2</f>
        <v>24.96476357267951</v>
      </c>
      <c r="H18" s="37"/>
      <c r="I18" t="s" s="41">
        <v>87</v>
      </c>
      <c r="J18" s="42">
        <f>J16+J17</f>
        <v>190.9207089876336</v>
      </c>
      <c r="K18" s="6"/>
    </row>
    <row r="19" ht="13.2" customHeight="1">
      <c r="A19" s="3"/>
      <c r="B19" t="s" s="19">
        <v>76</v>
      </c>
      <c r="C19" t="s" s="21">
        <v>88</v>
      </c>
      <c r="D19" s="20">
        <v>337</v>
      </c>
      <c r="E19" t="s" s="21">
        <v>89</v>
      </c>
      <c r="F19" t="s" s="21">
        <v>90</v>
      </c>
      <c r="G19" s="39">
        <f>G15*D6^2</f>
        <v>61.22143607705779</v>
      </c>
      <c r="H19" t="s" s="21">
        <v>91</v>
      </c>
      <c r="I19" t="s" s="21">
        <v>92</v>
      </c>
      <c r="J19" s="43">
        <f>(D8*9.81)+J16</f>
        <v>1894.887553224060</v>
      </c>
      <c r="K19" s="6"/>
    </row>
    <row r="20" ht="13.2" customHeight="1">
      <c r="A20" s="3"/>
      <c r="B20" t="s" s="19">
        <v>93</v>
      </c>
      <c r="C20" t="s" s="21">
        <v>94</v>
      </c>
      <c r="D20" s="83">
        <v>1.47</v>
      </c>
      <c r="E20" t="s" s="21">
        <v>95</v>
      </c>
      <c r="F20" t="s" s="21">
        <v>96</v>
      </c>
      <c r="G20" s="39">
        <f>G16*D7^2</f>
        <v>61.40364273204904</v>
      </c>
      <c r="H20" t="s" s="21">
        <v>97</v>
      </c>
      <c r="I20" t="s" s="21">
        <v>98</v>
      </c>
      <c r="J20" s="45">
        <f>(D9*9.81)-J16</f>
        <v>1950.632446775940</v>
      </c>
      <c r="K20" s="6"/>
    </row>
    <row r="21" ht="13.2" customHeight="1">
      <c r="A21" s="3"/>
      <c r="B21" t="s" s="19">
        <v>99</v>
      </c>
      <c r="C21" t="s" s="21">
        <v>100</v>
      </c>
      <c r="D21" s="83">
        <v>1.52</v>
      </c>
      <c r="E21" t="s" s="21">
        <v>101</v>
      </c>
      <c r="F21" t="s" s="21">
        <v>102</v>
      </c>
      <c r="G21" s="46">
        <f>D22*G9/G10</f>
        <v>1.301173020527859</v>
      </c>
      <c r="H21" t="s" s="21">
        <v>103</v>
      </c>
      <c r="I21" t="s" s="21">
        <v>104</v>
      </c>
      <c r="J21" s="45">
        <f>(D10*9.81)+J17</f>
        <v>2068.959155763574</v>
      </c>
      <c r="K21" s="6"/>
    </row>
    <row r="22" ht="13.8" customHeight="1">
      <c r="A22" s="3"/>
      <c r="B22" t="s" s="19">
        <v>105</v>
      </c>
      <c r="C22" t="s" s="21">
        <v>106</v>
      </c>
      <c r="D22" s="83">
        <v>2.55</v>
      </c>
      <c r="E22" t="s" s="21">
        <v>107</v>
      </c>
      <c r="F22" t="s" s="21">
        <v>108</v>
      </c>
      <c r="G22" s="47">
        <f>D28-D27</f>
        <v>0.11</v>
      </c>
      <c r="H22" t="s" s="21">
        <v>109</v>
      </c>
      <c r="I22" t="s" s="21">
        <v>110</v>
      </c>
      <c r="J22" s="48">
        <f>(D11*9.81)-J17</f>
        <v>2031.620844236426</v>
      </c>
      <c r="K22" s="6"/>
    </row>
    <row r="23" ht="13.2" customHeight="1">
      <c r="A23" s="3"/>
      <c r="B23" t="s" s="19">
        <v>111</v>
      </c>
      <c r="C23" t="s" s="21">
        <v>112</v>
      </c>
      <c r="D23" s="83">
        <v>0.275</v>
      </c>
      <c r="E23" t="s" s="21">
        <v>113</v>
      </c>
      <c r="F23" t="s" s="21">
        <v>114</v>
      </c>
      <c r="G23" s="50">
        <f>G22/D22*G21</f>
        <v>0.05612903225806452</v>
      </c>
      <c r="H23" s="37"/>
      <c r="I23" t="s" s="41">
        <v>115</v>
      </c>
      <c r="J23" s="51">
        <f>SUM(J19:J22)</f>
        <v>7946.1</v>
      </c>
      <c r="K23" s="6"/>
    </row>
    <row r="24" ht="13.8" customHeight="1">
      <c r="A24" s="3"/>
      <c r="B24" t="s" s="19">
        <v>116</v>
      </c>
      <c r="C24" t="s" s="21">
        <v>117</v>
      </c>
      <c r="D24" s="83">
        <v>0.275</v>
      </c>
      <c r="E24" t="s" s="21">
        <v>118</v>
      </c>
      <c r="F24" t="s" s="21">
        <v>119</v>
      </c>
      <c r="G24" s="39">
        <f>G23+D27</f>
        <v>0.1161290322580645</v>
      </c>
      <c r="H24" s="37"/>
      <c r="I24" t="s" s="41">
        <v>120</v>
      </c>
      <c r="J24" s="52">
        <f>G11*9.81</f>
        <v>7946.1</v>
      </c>
      <c r="K24" s="6"/>
    </row>
    <row r="25" ht="13.2" customHeight="1">
      <c r="A25" s="3"/>
      <c r="B25" t="s" s="19">
        <v>121</v>
      </c>
      <c r="C25" t="s" s="21">
        <v>122</v>
      </c>
      <c r="D25" s="86">
        <v>0.45</v>
      </c>
      <c r="E25" t="s" s="21">
        <v>123</v>
      </c>
      <c r="F25" t="s" s="21">
        <v>124</v>
      </c>
      <c r="G25" s="54">
        <f>D26-G23-D27</f>
        <v>-0.1161290322580645</v>
      </c>
      <c r="H25" s="37"/>
      <c r="I25" s="37"/>
      <c r="J25" s="55"/>
      <c r="K25" s="6"/>
    </row>
    <row r="26" ht="13.8" customHeight="1">
      <c r="A26" s="3"/>
      <c r="B26" t="s" s="19">
        <v>125</v>
      </c>
      <c r="C26" t="s" s="41">
        <v>126</v>
      </c>
      <c r="D26" s="5"/>
      <c r="E26" s="56"/>
      <c r="F26" s="57"/>
      <c r="G26" s="58"/>
      <c r="H26" s="37"/>
      <c r="I26" s="37"/>
      <c r="J26" s="59"/>
      <c r="K26" s="6"/>
    </row>
    <row r="27" ht="13.8" customHeight="1">
      <c r="A27" s="3"/>
      <c r="B27" t="s" s="19">
        <v>127</v>
      </c>
      <c r="C27" t="s" s="21">
        <v>128</v>
      </c>
      <c r="D27" s="82">
        <v>0.06</v>
      </c>
      <c r="E27" t="s" s="21">
        <v>129</v>
      </c>
      <c r="F27" t="s" s="61">
        <v>130</v>
      </c>
      <c r="G27" s="62">
        <f>(G17+G18)/2</f>
        <v>26.73225043782837</v>
      </c>
      <c r="H27" t="s" s="21">
        <v>131</v>
      </c>
      <c r="I27" t="s" s="41">
        <v>132</v>
      </c>
      <c r="J27" s="42">
        <f>G11*D1*D25/AVERAGE(D20:D21)</f>
        <v>1974.882943143813</v>
      </c>
      <c r="K27" s="6"/>
    </row>
    <row r="28" ht="13.8" customHeight="1">
      <c r="A28" s="3"/>
      <c r="B28" t="s" s="63">
        <v>133</v>
      </c>
      <c r="C28" t="s" s="64">
        <v>134</v>
      </c>
      <c r="D28" s="87">
        <v>0.17</v>
      </c>
      <c r="E28" t="s" s="64">
        <v>135</v>
      </c>
      <c r="F28" t="s" s="65">
        <v>136</v>
      </c>
      <c r="G28" s="66">
        <f>(G19+G20)/2</f>
        <v>61.31253940455341</v>
      </c>
      <c r="H28" s="67"/>
      <c r="I28" s="67"/>
      <c r="J28" s="68"/>
      <c r="K28" s="6"/>
    </row>
    <row r="29" ht="13.8" customHeight="1">
      <c r="A29" s="2"/>
      <c r="B29" t="s" s="69">
        <v>137</v>
      </c>
      <c r="C29" t="s" s="69">
        <v>138</v>
      </c>
      <c r="D29" s="70">
        <f>J19-J20</f>
        <v>-55.74489355188098</v>
      </c>
      <c r="E29" s="71"/>
      <c r="F29" s="2"/>
      <c r="G29" s="71"/>
      <c r="H29" s="71"/>
      <c r="I29" s="71"/>
      <c r="J29" s="71"/>
      <c r="K29" s="2"/>
    </row>
    <row r="30" ht="14.4" customHeight="1">
      <c r="A30" s="2"/>
      <c r="B30" t="s" s="72">
        <v>139</v>
      </c>
      <c r="C30" t="s" s="72">
        <v>140</v>
      </c>
      <c r="D30" s="73">
        <f>J21-J22</f>
        <v>37.33831152714879</v>
      </c>
      <c r="E30" s="74"/>
      <c r="F30" s="2"/>
      <c r="G30" s="75"/>
      <c r="H30" s="75"/>
      <c r="I30" s="75"/>
      <c r="J30" s="2"/>
      <c r="K30" s="2"/>
    </row>
    <row r="31" ht="15" customHeight="1">
      <c r="A31" s="2"/>
      <c r="B31" t="s" s="72">
        <v>141</v>
      </c>
      <c r="C31" t="s" s="72">
        <v>141</v>
      </c>
      <c r="D31" s="76">
        <f>D29-D30</f>
        <v>-93.08320507902977</v>
      </c>
      <c r="E31" s="2"/>
      <c r="F31" s="2"/>
      <c r="G31" s="75"/>
      <c r="H31" s="77"/>
      <c r="I31" s="75"/>
      <c r="J31" s="2"/>
      <c r="K31" s="2"/>
    </row>
    <row r="32" ht="18" customHeight="1">
      <c r="A32" s="2"/>
      <c r="B32" t="s" s="72">
        <v>142</v>
      </c>
      <c r="C32" t="s" s="72">
        <v>143</v>
      </c>
      <c r="D32" s="78">
        <f>J27/100</f>
        <v>19.74882943143813</v>
      </c>
      <c r="E32" s="2"/>
      <c r="F32" s="2"/>
      <c r="G32" s="2">
        <f>J4-G27</f>
        <v>28856.127735113831</v>
      </c>
      <c r="H32" s="2"/>
      <c r="I32" s="2"/>
      <c r="J32" s="2"/>
      <c r="K32" s="2"/>
    </row>
    <row r="33" ht="14.4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ht="13.2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ht="13.2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ht="13.2" customHeight="1">
      <c r="A36" s="2"/>
      <c r="B36" s="2"/>
      <c r="C36" s="2"/>
      <c r="D36" s="2"/>
      <c r="E36" s="2"/>
      <c r="F36" s="2">
        <f>AVERAGE(G13,G14)</f>
        <v>37.39054290718039</v>
      </c>
      <c r="G36" s="2"/>
      <c r="H36" s="2"/>
      <c r="I36" s="2"/>
      <c r="J36" s="2"/>
      <c r="K36" s="2"/>
    </row>
    <row r="37" ht="13.2" customHeight="1">
      <c r="A37" s="2"/>
      <c r="B37" s="2"/>
      <c r="C37" s="2"/>
      <c r="D37" s="2"/>
      <c r="E37" s="2"/>
      <c r="F37" s="2">
        <f>AVERAGE(G17,G18)</f>
        <v>26.73225043782837</v>
      </c>
      <c r="G37" s="2"/>
      <c r="H37" s="2"/>
      <c r="I37" s="2"/>
      <c r="J37" s="2"/>
      <c r="K37" s="2"/>
    </row>
    <row r="38" ht="13.2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ht="13.2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1:K39"/>
  <sheetViews>
    <sheetView workbookViewId="0" showGridLines="0" defaultGridColor="1"/>
  </sheetViews>
  <sheetFormatPr defaultColWidth="8.83333" defaultRowHeight="13.2" customHeight="1" outlineLevelRow="0" outlineLevelCol="0"/>
  <cols>
    <col min="1" max="2" width="8.85156" style="88" customWidth="1"/>
    <col min="3" max="3" width="51.8516" style="88" customWidth="1"/>
    <col min="4" max="5" width="8.85156" style="88" customWidth="1"/>
    <col min="6" max="6" width="41.6719" style="88" customWidth="1"/>
    <col min="7" max="7" width="13.6719" style="88" customWidth="1"/>
    <col min="8" max="8" width="8.85156" style="88" customWidth="1"/>
    <col min="9" max="9" width="53.5" style="88" customWidth="1"/>
    <col min="10" max="10" width="12.1719" style="88" customWidth="1"/>
    <col min="11" max="11" width="9" style="88" customWidth="1"/>
    <col min="12" max="256" width="8.85156" style="88" customWidth="1"/>
  </cols>
  <sheetData>
    <row r="1" ht="18" customHeight="1">
      <c r="A1" s="2"/>
      <c r="B1" s="3"/>
      <c r="C1" t="s" s="4">
        <v>0</v>
      </c>
      <c r="D1" s="89">
        <v>8.1</v>
      </c>
      <c r="E1" s="6"/>
      <c r="F1" s="2"/>
      <c r="G1" s="2"/>
      <c r="H1" s="2"/>
      <c r="I1" s="2"/>
      <c r="J1" s="2"/>
      <c r="K1" s="2"/>
    </row>
    <row r="2" ht="13.8" customHeight="1">
      <c r="A2" s="2"/>
      <c r="B2" s="7"/>
      <c r="C2" s="8"/>
      <c r="D2" s="8"/>
      <c r="E2" s="7"/>
      <c r="F2" s="7"/>
      <c r="G2" s="7"/>
      <c r="H2" s="7"/>
      <c r="I2" s="7"/>
      <c r="J2" s="7"/>
      <c r="K2" s="2"/>
    </row>
    <row r="3" ht="16.2" customHeight="1">
      <c r="A3" s="3"/>
      <c r="B3" t="s" s="9">
        <v>1</v>
      </c>
      <c r="C3" s="10"/>
      <c r="D3" s="10"/>
      <c r="E3" t="s" s="11">
        <v>2</v>
      </c>
      <c r="F3" s="10"/>
      <c r="G3" s="10"/>
      <c r="H3" t="s" s="11">
        <v>3</v>
      </c>
      <c r="I3" s="10"/>
      <c r="J3" s="12"/>
      <c r="K3" s="6"/>
    </row>
    <row r="4" ht="14.4" customHeight="1">
      <c r="A4" s="3"/>
      <c r="B4" t="s" s="13">
        <v>4</v>
      </c>
      <c r="C4" t="s" s="14">
        <v>5</v>
      </c>
      <c r="D4" s="82">
        <v>0.87</v>
      </c>
      <c r="E4" t="s" s="16">
        <v>6</v>
      </c>
      <c r="F4" t="s" s="16">
        <v>7</v>
      </c>
      <c r="G4" s="17">
        <f>D8-D12</f>
        <v>156.8</v>
      </c>
      <c r="H4" t="s" s="16">
        <v>8</v>
      </c>
      <c r="I4" t="s" s="16">
        <v>9</v>
      </c>
      <c r="J4" s="18">
        <f>D20^2*G27/2*1000</f>
        <v>30346.027703590193</v>
      </c>
      <c r="K4" s="6"/>
    </row>
    <row r="5" ht="12" customHeight="1">
      <c r="A5" s="3"/>
      <c r="B5" t="s" s="19">
        <v>10</v>
      </c>
      <c r="C5" t="s" s="14">
        <v>11</v>
      </c>
      <c r="D5" s="83">
        <v>0.82</v>
      </c>
      <c r="E5" t="s" s="21">
        <v>12</v>
      </c>
      <c r="F5" t="s" s="21">
        <v>13</v>
      </c>
      <c r="G5" s="22">
        <f>D9-D13</f>
        <v>177.2</v>
      </c>
      <c r="H5" t="s" s="21">
        <v>14</v>
      </c>
      <c r="I5" t="s" s="21">
        <v>15</v>
      </c>
      <c r="J5" s="23">
        <f>D21^2*G28/2*1000</f>
        <v>60198.746563922949</v>
      </c>
      <c r="K5" s="6"/>
    </row>
    <row r="6" ht="16.5" customHeight="1">
      <c r="A6" s="3"/>
      <c r="B6" t="s" s="19">
        <v>16</v>
      </c>
      <c r="C6" t="s" s="14">
        <v>17</v>
      </c>
      <c r="D6" s="83">
        <v>1.02</v>
      </c>
      <c r="E6" t="s" s="21">
        <v>18</v>
      </c>
      <c r="F6" t="s" s="21">
        <v>19</v>
      </c>
      <c r="G6" s="22">
        <f>D10-D14</f>
        <v>163.8</v>
      </c>
      <c r="H6" t="s" s="21">
        <v>20</v>
      </c>
      <c r="I6" t="s" s="21">
        <v>21</v>
      </c>
      <c r="J6" s="23">
        <f>J4+J5</f>
        <v>90544.774267513145</v>
      </c>
      <c r="K6" s="6"/>
    </row>
    <row r="7" ht="13.2" customHeight="1">
      <c r="A7" s="3"/>
      <c r="B7" t="s" s="19">
        <v>22</v>
      </c>
      <c r="C7" t="s" s="16">
        <v>23</v>
      </c>
      <c r="D7" s="83">
        <v>1.02</v>
      </c>
      <c r="E7" t="s" s="21">
        <v>24</v>
      </c>
      <c r="F7" t="s" s="21">
        <v>25</v>
      </c>
      <c r="G7" s="22">
        <f>D11-D15</f>
        <v>184.2</v>
      </c>
      <c r="H7" t="s" s="21">
        <v>26</v>
      </c>
      <c r="I7" t="s" s="21">
        <v>27</v>
      </c>
      <c r="J7" s="23">
        <f>G10*G25*D1+D20</f>
        <v>-640.0499999999998</v>
      </c>
      <c r="K7" s="24"/>
    </row>
    <row r="8" ht="13.8" customHeight="1">
      <c r="A8" s="3"/>
      <c r="B8" t="s" s="19">
        <v>28</v>
      </c>
      <c r="C8" t="s" s="21">
        <v>29</v>
      </c>
      <c r="D8" s="44">
        <v>185.8</v>
      </c>
      <c r="E8" t="s" s="21">
        <v>30</v>
      </c>
      <c r="F8" t="s" s="21">
        <v>31</v>
      </c>
      <c r="G8" s="22">
        <f>G4+G5</f>
        <v>334</v>
      </c>
      <c r="H8" t="s" s="25">
        <v>32</v>
      </c>
      <c r="I8" t="s" s="21">
        <v>33</v>
      </c>
      <c r="J8" s="26">
        <f>J7/J6</f>
        <v>-0.00706887841046444</v>
      </c>
      <c r="K8" s="27">
        <f>J8*180/3.142</f>
        <v>-0.4049643901602798</v>
      </c>
    </row>
    <row r="9" ht="13.8" customHeight="1">
      <c r="A9" s="3"/>
      <c r="B9" t="s" s="19">
        <v>34</v>
      </c>
      <c r="C9" t="s" s="21">
        <v>35</v>
      </c>
      <c r="D9" s="44">
        <v>206.2</v>
      </c>
      <c r="E9" t="s" s="21">
        <v>36</v>
      </c>
      <c r="F9" t="s" s="21">
        <v>37</v>
      </c>
      <c r="G9" s="22">
        <f>G6+G7</f>
        <v>348</v>
      </c>
      <c r="H9" t="s" s="84">
        <v>38</v>
      </c>
      <c r="I9" t="s" s="84">
        <v>39</v>
      </c>
      <c r="J9" s="85">
        <f>J8*AVERAGE(G17,G18)*D20*1000/2</f>
        <v>-145.9267891682071</v>
      </c>
      <c r="K9" s="29"/>
    </row>
    <row r="10" ht="13.8" customHeight="1">
      <c r="A10" s="3"/>
      <c r="B10" t="s" s="19">
        <v>40</v>
      </c>
      <c r="C10" t="s" s="21">
        <v>41</v>
      </c>
      <c r="D10" s="44">
        <v>198.8</v>
      </c>
      <c r="E10" t="s" s="21">
        <v>42</v>
      </c>
      <c r="F10" t="s" s="21">
        <v>43</v>
      </c>
      <c r="G10" s="22">
        <f>G8+G9</f>
        <v>682</v>
      </c>
      <c r="H10" t="s" s="30">
        <v>44</v>
      </c>
      <c r="I10" t="s" s="21">
        <v>45</v>
      </c>
      <c r="J10" s="28">
        <f>(J8*G28*D21)/2*1000</f>
        <v>-279.9589604754838</v>
      </c>
      <c r="K10" s="6"/>
    </row>
    <row r="11" ht="13.8" customHeight="1">
      <c r="A11" s="3"/>
      <c r="B11" t="s" s="19">
        <v>46</v>
      </c>
      <c r="C11" t="s" s="21">
        <v>47</v>
      </c>
      <c r="D11" s="44">
        <v>219.2</v>
      </c>
      <c r="E11" t="s" s="21">
        <v>48</v>
      </c>
      <c r="F11" t="s" s="21">
        <v>49</v>
      </c>
      <c r="G11" s="31">
        <f>D8+D9+D10+D11</f>
        <v>810</v>
      </c>
      <c r="H11" s="32"/>
      <c r="I11" s="32"/>
      <c r="J11" s="33"/>
      <c r="K11" s="34"/>
    </row>
    <row r="12" ht="13.8" customHeight="1">
      <c r="A12" s="3"/>
      <c r="B12" t="s" s="19">
        <v>50</v>
      </c>
      <c r="C12" t="s" s="21">
        <v>51</v>
      </c>
      <c r="D12" s="20">
        <v>29</v>
      </c>
      <c r="E12" t="s" s="21">
        <v>52</v>
      </c>
      <c r="F12" t="s" s="21">
        <v>53</v>
      </c>
      <c r="G12" s="31">
        <f>D12+D13+D14+D15</f>
        <v>128</v>
      </c>
      <c r="H12" t="s" s="21">
        <v>54</v>
      </c>
      <c r="I12" t="s" s="21">
        <v>55</v>
      </c>
      <c r="J12" s="35">
        <f>(G8*D1*D27/D20)</f>
        <v>110.4244897959184</v>
      </c>
      <c r="K12" s="6"/>
    </row>
    <row r="13" ht="13.2" customHeight="1">
      <c r="A13" s="3"/>
      <c r="B13" t="s" s="19">
        <v>56</v>
      </c>
      <c r="C13" t="s" s="21">
        <v>57</v>
      </c>
      <c r="D13" s="20">
        <v>29</v>
      </c>
      <c r="E13" t="s" s="21">
        <v>58</v>
      </c>
      <c r="F13" t="s" s="21">
        <v>59</v>
      </c>
      <c r="G13" s="90">
        <f>D16/5.71</f>
        <v>37.65323992994746</v>
      </c>
      <c r="H13" t="s" s="21">
        <v>60</v>
      </c>
      <c r="I13" t="s" s="21">
        <v>61</v>
      </c>
      <c r="J13" s="35">
        <f>J11+G9*D1*D28/D21</f>
        <v>315.2605263157894</v>
      </c>
      <c r="K13" s="6"/>
    </row>
    <row r="14" ht="13.2" customHeight="1">
      <c r="A14" s="3"/>
      <c r="B14" t="s" s="19">
        <v>62</v>
      </c>
      <c r="C14" t="s" s="21">
        <v>63</v>
      </c>
      <c r="D14" s="20">
        <v>35</v>
      </c>
      <c r="E14" t="s" s="21">
        <v>64</v>
      </c>
      <c r="F14" t="s" s="21">
        <v>65</v>
      </c>
      <c r="G14" s="90">
        <f>D17/5.71</f>
        <v>41.15586690017513</v>
      </c>
      <c r="H14" t="s" s="21">
        <v>66</v>
      </c>
      <c r="I14" t="s" s="21">
        <v>67</v>
      </c>
      <c r="J14" s="23">
        <f>(D12+D13)*D1*D23/D20</f>
        <v>87.88775510204081</v>
      </c>
      <c r="K14" s="6"/>
    </row>
    <row r="15" ht="13.2" customHeight="1">
      <c r="A15" s="3"/>
      <c r="B15" t="s" s="19">
        <v>68</v>
      </c>
      <c r="C15" t="s" s="21">
        <v>69</v>
      </c>
      <c r="D15" s="20">
        <v>35</v>
      </c>
      <c r="E15" t="s" s="21">
        <v>70</v>
      </c>
      <c r="F15" t="s" s="21">
        <v>71</v>
      </c>
      <c r="G15" s="36">
        <f>D18/5.71</f>
        <v>41.15586690017513</v>
      </c>
      <c r="H15" t="s" s="21">
        <v>72</v>
      </c>
      <c r="I15" t="s" s="21">
        <v>73</v>
      </c>
      <c r="J15" s="23">
        <f>(D14+D15)*D1*D24/D21</f>
        <v>102.5822368421053</v>
      </c>
      <c r="K15" s="6"/>
    </row>
    <row r="16" ht="13.2" customHeight="1">
      <c r="A16" s="3"/>
      <c r="B16" t="s" s="19">
        <v>74</v>
      </c>
      <c r="C16" t="s" s="21">
        <v>75</v>
      </c>
      <c r="D16" s="20">
        <v>215</v>
      </c>
      <c r="E16" t="s" s="21">
        <v>76</v>
      </c>
      <c r="F16" t="s" s="21">
        <v>77</v>
      </c>
      <c r="G16" s="36">
        <f>D19/5.71</f>
        <v>59.01926444833625</v>
      </c>
      <c r="H16" s="37"/>
      <c r="I16" t="s" s="21">
        <v>78</v>
      </c>
      <c r="J16" s="38">
        <f>J9+J12+J14</f>
        <v>52.38545572975205</v>
      </c>
      <c r="K16" s="6"/>
    </row>
    <row r="17" ht="13.8" customHeight="1">
      <c r="A17" s="3"/>
      <c r="B17" t="s" s="91">
        <v>79</v>
      </c>
      <c r="C17" t="s" s="84">
        <v>80</v>
      </c>
      <c r="D17" s="92">
        <v>235</v>
      </c>
      <c r="E17" t="s" s="21">
        <v>81</v>
      </c>
      <c r="F17" t="s" s="21">
        <v>82</v>
      </c>
      <c r="G17" s="39">
        <f>G13*D4^2</f>
        <v>28.49973730297723</v>
      </c>
      <c r="H17" s="37"/>
      <c r="I17" t="s" s="21">
        <v>83</v>
      </c>
      <c r="J17" s="40">
        <f>J10+J13+J15</f>
        <v>137.8838026824109</v>
      </c>
      <c r="K17" s="6"/>
    </row>
    <row r="18" ht="13.8" customHeight="1">
      <c r="A18" s="3"/>
      <c r="B18" t="s" s="91">
        <v>70</v>
      </c>
      <c r="C18" t="s" s="84">
        <v>84</v>
      </c>
      <c r="D18" s="92">
        <v>235</v>
      </c>
      <c r="E18" t="s" s="21">
        <v>85</v>
      </c>
      <c r="F18" t="s" s="21">
        <v>86</v>
      </c>
      <c r="G18" s="39">
        <f>G14*D5^2</f>
        <v>27.67320490367776</v>
      </c>
      <c r="H18" s="37"/>
      <c r="I18" t="s" s="41">
        <v>87</v>
      </c>
      <c r="J18" s="42">
        <f>J16+J17</f>
        <v>190.269258412163</v>
      </c>
      <c r="K18" s="6"/>
    </row>
    <row r="19" ht="13.2" customHeight="1">
      <c r="A19" s="3"/>
      <c r="B19" t="s" s="19">
        <v>76</v>
      </c>
      <c r="C19" t="s" s="21">
        <v>88</v>
      </c>
      <c r="D19" s="20">
        <v>337</v>
      </c>
      <c r="E19" t="s" s="21">
        <v>89</v>
      </c>
      <c r="F19" t="s" s="21">
        <v>90</v>
      </c>
      <c r="G19" s="39">
        <f>G15*D6^2</f>
        <v>42.81856392294221</v>
      </c>
      <c r="H19" t="s" s="21">
        <v>91</v>
      </c>
      <c r="I19" t="s" s="21">
        <v>92</v>
      </c>
      <c r="J19" s="43">
        <f>(D8*9.81)+J16</f>
        <v>1875.083455729752</v>
      </c>
      <c r="K19" s="6"/>
    </row>
    <row r="20" ht="13.2" customHeight="1">
      <c r="A20" s="3"/>
      <c r="B20" t="s" s="19">
        <v>93</v>
      </c>
      <c r="C20" t="s" s="21">
        <v>94</v>
      </c>
      <c r="D20" s="83">
        <v>1.47</v>
      </c>
      <c r="E20" t="s" s="21">
        <v>95</v>
      </c>
      <c r="F20" t="s" s="21">
        <v>96</v>
      </c>
      <c r="G20" s="39">
        <f>G16*D7^2</f>
        <v>61.40364273204904</v>
      </c>
      <c r="H20" t="s" s="21">
        <v>97</v>
      </c>
      <c r="I20" t="s" s="21">
        <v>98</v>
      </c>
      <c r="J20" s="45">
        <f>(D9*9.81)-J16</f>
        <v>1970.436544270248</v>
      </c>
      <c r="K20" s="6"/>
    </row>
    <row r="21" ht="13.2" customHeight="1">
      <c r="A21" s="3"/>
      <c r="B21" t="s" s="19">
        <v>99</v>
      </c>
      <c r="C21" t="s" s="21">
        <v>100</v>
      </c>
      <c r="D21" s="83">
        <v>1.52</v>
      </c>
      <c r="E21" t="s" s="21">
        <v>101</v>
      </c>
      <c r="F21" t="s" s="21">
        <v>102</v>
      </c>
      <c r="G21" s="46">
        <f>D22*G9/G10</f>
        <v>1.301173020527859</v>
      </c>
      <c r="H21" t="s" s="21">
        <v>103</v>
      </c>
      <c r="I21" t="s" s="21">
        <v>104</v>
      </c>
      <c r="J21" s="45">
        <f>(D10*9.81)+J17</f>
        <v>2088.111802682411</v>
      </c>
      <c r="K21" s="6"/>
    </row>
    <row r="22" ht="13.8" customHeight="1">
      <c r="A22" s="3"/>
      <c r="B22" t="s" s="19">
        <v>105</v>
      </c>
      <c r="C22" t="s" s="21">
        <v>106</v>
      </c>
      <c r="D22" s="83">
        <v>2.55</v>
      </c>
      <c r="E22" t="s" s="21">
        <v>107</v>
      </c>
      <c r="F22" t="s" s="21">
        <v>108</v>
      </c>
      <c r="G22" s="47">
        <f>D28-D27</f>
        <v>0.11</v>
      </c>
      <c r="H22" t="s" s="21">
        <v>109</v>
      </c>
      <c r="I22" t="s" s="21">
        <v>110</v>
      </c>
      <c r="J22" s="48">
        <f>(D11*9.81)-J17</f>
        <v>2012.468197317589</v>
      </c>
      <c r="K22" s="6"/>
    </row>
    <row r="23" ht="13.2" customHeight="1">
      <c r="A23" s="3"/>
      <c r="B23" t="s" s="19">
        <v>111</v>
      </c>
      <c r="C23" t="s" s="21">
        <v>112</v>
      </c>
      <c r="D23" s="83">
        <v>0.275</v>
      </c>
      <c r="E23" t="s" s="21">
        <v>113</v>
      </c>
      <c r="F23" t="s" s="21">
        <v>114</v>
      </c>
      <c r="G23" s="50">
        <f>G22/D22*G21</f>
        <v>0.05612903225806452</v>
      </c>
      <c r="H23" s="37"/>
      <c r="I23" t="s" s="41">
        <v>115</v>
      </c>
      <c r="J23" s="51">
        <f>SUM(J19:J22)</f>
        <v>7946.1</v>
      </c>
      <c r="K23" s="6"/>
    </row>
    <row r="24" ht="13.8" customHeight="1">
      <c r="A24" s="3"/>
      <c r="B24" t="s" s="19">
        <v>116</v>
      </c>
      <c r="C24" t="s" s="21">
        <v>117</v>
      </c>
      <c r="D24" s="83">
        <v>0.275</v>
      </c>
      <c r="E24" t="s" s="21">
        <v>118</v>
      </c>
      <c r="F24" t="s" s="21">
        <v>119</v>
      </c>
      <c r="G24" s="39">
        <f>G23+D27</f>
        <v>0.1161290322580645</v>
      </c>
      <c r="H24" s="37"/>
      <c r="I24" t="s" s="41">
        <v>120</v>
      </c>
      <c r="J24" s="52">
        <f>G11*9.81</f>
        <v>7946.1</v>
      </c>
      <c r="K24" s="6"/>
    </row>
    <row r="25" ht="13.2" customHeight="1">
      <c r="A25" s="3"/>
      <c r="B25" t="s" s="19">
        <v>121</v>
      </c>
      <c r="C25" t="s" s="21">
        <v>122</v>
      </c>
      <c r="D25" s="86">
        <v>0.45</v>
      </c>
      <c r="E25" t="s" s="21">
        <v>123</v>
      </c>
      <c r="F25" t="s" s="21">
        <v>124</v>
      </c>
      <c r="G25" s="54">
        <f>D26-G23-D27</f>
        <v>-0.1161290322580645</v>
      </c>
      <c r="H25" s="37"/>
      <c r="I25" s="37"/>
      <c r="J25" s="55"/>
      <c r="K25" s="6"/>
    </row>
    <row r="26" ht="13.8" customHeight="1">
      <c r="A26" s="3"/>
      <c r="B26" t="s" s="19">
        <v>125</v>
      </c>
      <c r="C26" t="s" s="41">
        <v>126</v>
      </c>
      <c r="D26" s="5"/>
      <c r="E26" s="56"/>
      <c r="F26" s="57"/>
      <c r="G26" s="58"/>
      <c r="H26" s="37"/>
      <c r="I26" s="37"/>
      <c r="J26" s="59"/>
      <c r="K26" s="6"/>
    </row>
    <row r="27" ht="13.8" customHeight="1">
      <c r="A27" s="3"/>
      <c r="B27" t="s" s="19">
        <v>127</v>
      </c>
      <c r="C27" t="s" s="21">
        <v>128</v>
      </c>
      <c r="D27" s="82">
        <v>0.06</v>
      </c>
      <c r="E27" t="s" s="21">
        <v>129</v>
      </c>
      <c r="F27" t="s" s="61">
        <v>130</v>
      </c>
      <c r="G27" s="62">
        <f>(G17+G18)/2</f>
        <v>28.0864711033275</v>
      </c>
      <c r="H27" t="s" s="21">
        <v>131</v>
      </c>
      <c r="I27" t="s" s="41">
        <v>132</v>
      </c>
      <c r="J27" s="42">
        <f>G11*D1*D25/AVERAGE(D20:D21)</f>
        <v>1974.882943143813</v>
      </c>
      <c r="K27" s="6"/>
    </row>
    <row r="28" ht="13.8" customHeight="1">
      <c r="A28" s="3"/>
      <c r="B28" t="s" s="63">
        <v>133</v>
      </c>
      <c r="C28" t="s" s="64">
        <v>134</v>
      </c>
      <c r="D28" s="87">
        <v>0.17</v>
      </c>
      <c r="E28" t="s" s="64">
        <v>135</v>
      </c>
      <c r="F28" t="s" s="65">
        <v>136</v>
      </c>
      <c r="G28" s="66">
        <f>(G19+G20)/2</f>
        <v>52.11110332749563</v>
      </c>
      <c r="H28" s="67"/>
      <c r="I28" s="67"/>
      <c r="J28" s="68"/>
      <c r="K28" s="6"/>
    </row>
    <row r="29" ht="13.8" customHeight="1">
      <c r="A29" s="2"/>
      <c r="B29" t="s" s="69">
        <v>137</v>
      </c>
      <c r="C29" t="s" s="69">
        <v>138</v>
      </c>
      <c r="D29" s="70">
        <f>J19-J20</f>
        <v>-95.35308854049572</v>
      </c>
      <c r="E29" s="71"/>
      <c r="F29" s="2"/>
      <c r="G29" s="71"/>
      <c r="H29" s="71"/>
      <c r="I29" s="71"/>
      <c r="J29" s="71"/>
      <c r="K29" s="2"/>
    </row>
    <row r="30" ht="14.4" customHeight="1">
      <c r="A30" s="2"/>
      <c r="B30" t="s" s="72">
        <v>139</v>
      </c>
      <c r="C30" t="s" s="72">
        <v>140</v>
      </c>
      <c r="D30" s="73">
        <f>J21-J22</f>
        <v>75.64360536482218</v>
      </c>
      <c r="E30" s="74"/>
      <c r="F30" s="2"/>
      <c r="G30" s="75"/>
      <c r="H30" s="75"/>
      <c r="I30" s="75"/>
      <c r="J30" s="2"/>
      <c r="K30" s="2"/>
    </row>
    <row r="31" ht="15" customHeight="1">
      <c r="A31" s="2"/>
      <c r="B31" t="s" s="72">
        <v>141</v>
      </c>
      <c r="C31" t="s" s="72">
        <v>141</v>
      </c>
      <c r="D31" s="76">
        <f>D29-D30</f>
        <v>-170.9966939053179</v>
      </c>
      <c r="E31" s="2"/>
      <c r="F31" s="2"/>
      <c r="G31" s="75"/>
      <c r="H31" s="77"/>
      <c r="I31" s="75"/>
      <c r="J31" s="2"/>
      <c r="K31" s="2"/>
    </row>
    <row r="32" ht="18" customHeight="1">
      <c r="A32" s="2"/>
      <c r="B32" t="s" s="72">
        <v>142</v>
      </c>
      <c r="C32" t="s" s="72">
        <v>143</v>
      </c>
      <c r="D32" s="78">
        <f>J27/100</f>
        <v>19.74882943143813</v>
      </c>
      <c r="E32" s="2"/>
      <c r="F32" s="2"/>
      <c r="G32" s="2">
        <f>J4-G27</f>
        <v>30317.941232486864</v>
      </c>
      <c r="H32" s="2"/>
      <c r="I32" s="2"/>
      <c r="J32" s="2"/>
      <c r="K32" s="2"/>
    </row>
    <row r="33" ht="14.4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ht="13.2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ht="13.2" customHeight="1">
      <c r="A35" s="2"/>
      <c r="B35" t="s" s="93">
        <v>144</v>
      </c>
      <c r="C35" t="s" s="93">
        <v>145</v>
      </c>
      <c r="D35" s="94"/>
      <c r="E35" s="2"/>
      <c r="F35" s="2"/>
      <c r="G35" s="2"/>
      <c r="H35" s="2"/>
      <c r="I35" s="2"/>
      <c r="J35" s="2"/>
      <c r="K35" s="2"/>
    </row>
    <row r="36" ht="13.2" customHeight="1">
      <c r="A36" s="95"/>
      <c r="B36" t="s" s="96">
        <v>146</v>
      </c>
      <c r="C36" t="s" s="96">
        <v>147</v>
      </c>
      <c r="D36" s="97"/>
      <c r="E36" s="74"/>
      <c r="F36" s="2">
        <f>AVERAGE(G13,G14)</f>
        <v>39.4045534150613</v>
      </c>
      <c r="G36" s="2"/>
      <c r="H36" s="2"/>
      <c r="I36" s="2"/>
      <c r="J36" s="2"/>
      <c r="K36" s="2"/>
    </row>
    <row r="37" ht="13.2" customHeight="1">
      <c r="A37" s="95"/>
      <c r="B37" t="s" s="96">
        <v>148</v>
      </c>
      <c r="C37" t="s" s="96">
        <v>149</v>
      </c>
      <c r="D37" s="97"/>
      <c r="E37" s="74"/>
      <c r="F37" s="2">
        <f>AVERAGE(G17,G18)</f>
        <v>28.0864711033275</v>
      </c>
      <c r="G37" s="2"/>
      <c r="H37" s="2"/>
      <c r="I37" s="2"/>
      <c r="J37" s="2"/>
      <c r="K37" s="2"/>
    </row>
    <row r="38" ht="13.2" customHeight="1">
      <c r="A38" s="2"/>
      <c r="B38" s="98"/>
      <c r="C38" s="98"/>
      <c r="D38" s="98"/>
      <c r="E38" s="2"/>
      <c r="F38" s="2"/>
      <c r="G38" s="2"/>
      <c r="H38" s="2"/>
      <c r="I38" s="2"/>
      <c r="J38" s="2"/>
      <c r="K38" s="2"/>
    </row>
    <row r="39" ht="13.2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dimension ref="A1:K39"/>
  <sheetViews>
    <sheetView workbookViewId="0" showGridLines="0" defaultGridColor="1"/>
  </sheetViews>
  <sheetFormatPr defaultColWidth="8.83333" defaultRowHeight="13.2" customHeight="1" outlineLevelRow="0" outlineLevelCol="0"/>
  <cols>
    <col min="1" max="2" width="8.85156" style="99" customWidth="1"/>
    <col min="3" max="3" width="51.8516" style="99" customWidth="1"/>
    <col min="4" max="5" width="8.85156" style="99" customWidth="1"/>
    <col min="6" max="6" width="41.6719" style="99" customWidth="1"/>
    <col min="7" max="7" width="13.6719" style="99" customWidth="1"/>
    <col min="8" max="8" width="8.85156" style="99" customWidth="1"/>
    <col min="9" max="9" width="53.5" style="99" customWidth="1"/>
    <col min="10" max="10" width="12.1719" style="99" customWidth="1"/>
    <col min="11" max="11" width="9" style="99" customWidth="1"/>
    <col min="12" max="256" width="8.85156" style="99" customWidth="1"/>
  </cols>
  <sheetData>
    <row r="1" ht="18" customHeight="1">
      <c r="A1" s="2"/>
      <c r="B1" s="3"/>
      <c r="C1" t="s" s="4">
        <v>0</v>
      </c>
      <c r="D1" s="89">
        <v>8.1</v>
      </c>
      <c r="E1" s="6"/>
      <c r="F1" s="2"/>
      <c r="G1" s="2"/>
      <c r="H1" s="2"/>
      <c r="I1" s="2"/>
      <c r="J1" s="2"/>
      <c r="K1" s="2"/>
    </row>
    <row r="2" ht="13.8" customHeight="1">
      <c r="A2" s="2"/>
      <c r="B2" s="7"/>
      <c r="C2" s="8"/>
      <c r="D2" s="8"/>
      <c r="E2" s="7"/>
      <c r="F2" s="7"/>
      <c r="G2" s="7"/>
      <c r="H2" s="7"/>
      <c r="I2" s="7"/>
      <c r="J2" s="7"/>
      <c r="K2" s="2"/>
    </row>
    <row r="3" ht="16.2" customHeight="1">
      <c r="A3" s="3"/>
      <c r="B3" t="s" s="9">
        <v>1</v>
      </c>
      <c r="C3" s="10"/>
      <c r="D3" s="10"/>
      <c r="E3" t="s" s="11">
        <v>2</v>
      </c>
      <c r="F3" s="10"/>
      <c r="G3" s="10"/>
      <c r="H3" t="s" s="11">
        <v>3</v>
      </c>
      <c r="I3" s="10"/>
      <c r="J3" s="12"/>
      <c r="K3" s="6"/>
    </row>
    <row r="4" ht="14.4" customHeight="1">
      <c r="A4" s="3"/>
      <c r="B4" t="s" s="13">
        <v>4</v>
      </c>
      <c r="C4" t="s" s="14">
        <v>5</v>
      </c>
      <c r="D4" s="82">
        <v>0.87</v>
      </c>
      <c r="E4" t="s" s="16">
        <v>6</v>
      </c>
      <c r="F4" t="s" s="16">
        <v>7</v>
      </c>
      <c r="G4" s="17">
        <f>D8-D12</f>
        <v>156.8</v>
      </c>
      <c r="H4" t="s" s="16">
        <v>8</v>
      </c>
      <c r="I4" t="s" s="16">
        <v>9</v>
      </c>
      <c r="J4" s="18">
        <f>D20^2*G27/2*1000</f>
        <v>30346.027703590193</v>
      </c>
      <c r="K4" s="6"/>
    </row>
    <row r="5" ht="12" customHeight="1">
      <c r="A5" s="3"/>
      <c r="B5" t="s" s="19">
        <v>10</v>
      </c>
      <c r="C5" t="s" s="14">
        <v>11</v>
      </c>
      <c r="D5" s="83">
        <v>0.82</v>
      </c>
      <c r="E5" t="s" s="21">
        <v>12</v>
      </c>
      <c r="F5" t="s" s="21">
        <v>13</v>
      </c>
      <c r="G5" s="22">
        <f>D9-D13</f>
        <v>177.2</v>
      </c>
      <c r="H5" t="s" s="84">
        <v>14</v>
      </c>
      <c r="I5" t="s" s="84">
        <v>15</v>
      </c>
      <c r="J5" s="85">
        <f>D21^2*G28/2*1000</f>
        <v>28351.966374781081</v>
      </c>
      <c r="K5" s="6"/>
    </row>
    <row r="6" ht="16.5" customHeight="1">
      <c r="A6" s="3"/>
      <c r="B6" t="s" s="19">
        <v>16</v>
      </c>
      <c r="C6" t="s" s="14">
        <v>17</v>
      </c>
      <c r="D6" s="83">
        <v>0.7</v>
      </c>
      <c r="E6" t="s" s="21">
        <v>18</v>
      </c>
      <c r="F6" t="s" s="21">
        <v>19</v>
      </c>
      <c r="G6" s="22">
        <f>D10-D14</f>
        <v>163.8</v>
      </c>
      <c r="H6" t="s" s="84">
        <v>20</v>
      </c>
      <c r="I6" t="s" s="84">
        <v>21</v>
      </c>
      <c r="J6" s="85">
        <f>J4+J5</f>
        <v>58697.994078371274</v>
      </c>
      <c r="K6" s="6"/>
    </row>
    <row r="7" ht="13.2" customHeight="1">
      <c r="A7" s="3"/>
      <c r="B7" t="s" s="19">
        <v>22</v>
      </c>
      <c r="C7" t="s" s="16">
        <v>23</v>
      </c>
      <c r="D7" s="83">
        <v>0.7</v>
      </c>
      <c r="E7" t="s" s="21">
        <v>24</v>
      </c>
      <c r="F7" t="s" s="21">
        <v>25</v>
      </c>
      <c r="G7" s="22">
        <f>D11-D15</f>
        <v>184.2</v>
      </c>
      <c r="H7" t="s" s="21">
        <v>26</v>
      </c>
      <c r="I7" t="s" s="21">
        <v>27</v>
      </c>
      <c r="J7" s="23">
        <f>G10*G25*D1+D20</f>
        <v>-640.0499999999998</v>
      </c>
      <c r="K7" s="24"/>
    </row>
    <row r="8" ht="13.8" customHeight="1">
      <c r="A8" s="3"/>
      <c r="B8" t="s" s="19">
        <v>28</v>
      </c>
      <c r="C8" t="s" s="21">
        <v>29</v>
      </c>
      <c r="D8" s="44">
        <v>185.8</v>
      </c>
      <c r="E8" t="s" s="21">
        <v>30</v>
      </c>
      <c r="F8" t="s" s="21">
        <v>31</v>
      </c>
      <c r="G8" s="22">
        <f>G4+G5</f>
        <v>334</v>
      </c>
      <c r="H8" t="s" s="100">
        <v>32</v>
      </c>
      <c r="I8" t="s" s="84">
        <v>33</v>
      </c>
      <c r="J8" s="101">
        <f>J7/J6</f>
        <v>-0.01090412049082001</v>
      </c>
      <c r="K8" s="27">
        <f>J8*180/3.142</f>
        <v>-0.6246790860431579</v>
      </c>
    </row>
    <row r="9" ht="13.8" customHeight="1">
      <c r="A9" s="3"/>
      <c r="B9" t="s" s="19">
        <v>34</v>
      </c>
      <c r="C9" t="s" s="21">
        <v>35</v>
      </c>
      <c r="D9" s="44">
        <v>206.2</v>
      </c>
      <c r="E9" t="s" s="21">
        <v>36</v>
      </c>
      <c r="F9" t="s" s="21">
        <v>37</v>
      </c>
      <c r="G9" s="22">
        <f>G6+G7</f>
        <v>348</v>
      </c>
      <c r="H9" t="s" s="84">
        <v>38</v>
      </c>
      <c r="I9" t="s" s="84">
        <v>39</v>
      </c>
      <c r="J9" s="85">
        <f>J8*AVERAGE(G17,G18)*D20*1000/2</f>
        <v>-225.0998248283738</v>
      </c>
      <c r="K9" s="29"/>
    </row>
    <row r="10" ht="13.8" customHeight="1">
      <c r="A10" s="3"/>
      <c r="B10" t="s" s="19">
        <v>40</v>
      </c>
      <c r="C10" t="s" s="21">
        <v>41</v>
      </c>
      <c r="D10" s="44">
        <v>198.8</v>
      </c>
      <c r="E10" t="s" s="21">
        <v>42</v>
      </c>
      <c r="F10" t="s" s="21">
        <v>43</v>
      </c>
      <c r="G10" s="22">
        <f>G8+G9</f>
        <v>682</v>
      </c>
      <c r="H10" t="s" s="102">
        <v>44</v>
      </c>
      <c r="I10" t="s" s="84">
        <v>45</v>
      </c>
      <c r="J10" s="85">
        <f>(J8*G28*D21)/2*1000</f>
        <v>-203.3903009883489</v>
      </c>
      <c r="K10" s="6"/>
    </row>
    <row r="11" ht="13.8" customHeight="1">
      <c r="A11" s="3"/>
      <c r="B11" t="s" s="19">
        <v>46</v>
      </c>
      <c r="C11" t="s" s="21">
        <v>47</v>
      </c>
      <c r="D11" s="44">
        <v>219.2</v>
      </c>
      <c r="E11" t="s" s="21">
        <v>48</v>
      </c>
      <c r="F11" t="s" s="21">
        <v>49</v>
      </c>
      <c r="G11" s="31">
        <f>D8+D9+D10+D11</f>
        <v>810</v>
      </c>
      <c r="H11" s="32"/>
      <c r="I11" s="32"/>
      <c r="J11" s="33"/>
      <c r="K11" s="34"/>
    </row>
    <row r="12" ht="13.8" customHeight="1">
      <c r="A12" s="3"/>
      <c r="B12" t="s" s="19">
        <v>50</v>
      </c>
      <c r="C12" t="s" s="21">
        <v>51</v>
      </c>
      <c r="D12" s="20">
        <v>29</v>
      </c>
      <c r="E12" t="s" s="21">
        <v>52</v>
      </c>
      <c r="F12" t="s" s="21">
        <v>53</v>
      </c>
      <c r="G12" s="31">
        <f>D12+D13+D14+D15</f>
        <v>128</v>
      </c>
      <c r="H12" t="s" s="21">
        <v>54</v>
      </c>
      <c r="I12" t="s" s="21">
        <v>55</v>
      </c>
      <c r="J12" s="35">
        <f>(G8*D1*D27/D20)</f>
        <v>110.4244897959184</v>
      </c>
      <c r="K12" s="6"/>
    </row>
    <row r="13" ht="13.2" customHeight="1">
      <c r="A13" s="3"/>
      <c r="B13" t="s" s="19">
        <v>56</v>
      </c>
      <c r="C13" t="s" s="21">
        <v>57</v>
      </c>
      <c r="D13" s="20">
        <v>29</v>
      </c>
      <c r="E13" t="s" s="21">
        <v>58</v>
      </c>
      <c r="F13" t="s" s="21">
        <v>59</v>
      </c>
      <c r="G13" s="90">
        <f>D16/5.71</f>
        <v>37.65323992994746</v>
      </c>
      <c r="H13" t="s" s="21">
        <v>60</v>
      </c>
      <c r="I13" t="s" s="21">
        <v>61</v>
      </c>
      <c r="J13" s="35">
        <f>J11+G9*D1*D28/D21</f>
        <v>315.2605263157894</v>
      </c>
      <c r="K13" s="6"/>
    </row>
    <row r="14" ht="13.2" customHeight="1">
      <c r="A14" s="3"/>
      <c r="B14" t="s" s="19">
        <v>62</v>
      </c>
      <c r="C14" t="s" s="21">
        <v>63</v>
      </c>
      <c r="D14" s="20">
        <v>35</v>
      </c>
      <c r="E14" t="s" s="21">
        <v>64</v>
      </c>
      <c r="F14" t="s" s="21">
        <v>65</v>
      </c>
      <c r="G14" s="90">
        <f>D17/5.71</f>
        <v>41.15586690017513</v>
      </c>
      <c r="H14" t="s" s="21">
        <v>66</v>
      </c>
      <c r="I14" t="s" s="21">
        <v>67</v>
      </c>
      <c r="J14" s="23">
        <f>(D12+D13)*D1*D23/D20</f>
        <v>87.88775510204081</v>
      </c>
      <c r="K14" s="6"/>
    </row>
    <row r="15" ht="13.2" customHeight="1">
      <c r="A15" s="3"/>
      <c r="B15" t="s" s="19">
        <v>68</v>
      </c>
      <c r="C15" t="s" s="21">
        <v>69</v>
      </c>
      <c r="D15" s="20">
        <v>35</v>
      </c>
      <c r="E15" t="s" s="21">
        <v>70</v>
      </c>
      <c r="F15" t="s" s="21">
        <v>71</v>
      </c>
      <c r="G15" s="36">
        <f>D18/5.71</f>
        <v>41.15586690017513</v>
      </c>
      <c r="H15" t="s" s="21">
        <v>72</v>
      </c>
      <c r="I15" t="s" s="21">
        <v>73</v>
      </c>
      <c r="J15" s="23">
        <f>(D14+D15)*D1*D24/D21</f>
        <v>102.5822368421053</v>
      </c>
      <c r="K15" s="6"/>
    </row>
    <row r="16" ht="13.2" customHeight="1">
      <c r="A16" s="3"/>
      <c r="B16" t="s" s="19">
        <v>74</v>
      </c>
      <c r="C16" t="s" s="21">
        <v>75</v>
      </c>
      <c r="D16" s="20">
        <v>215</v>
      </c>
      <c r="E16" t="s" s="21">
        <v>76</v>
      </c>
      <c r="F16" t="s" s="21">
        <v>77</v>
      </c>
      <c r="G16" s="36">
        <f>D19/5.71</f>
        <v>59.01926444833625</v>
      </c>
      <c r="H16" s="37"/>
      <c r="I16" t="s" s="84">
        <v>78</v>
      </c>
      <c r="J16" s="103">
        <f>J9+J12+J14</f>
        <v>-26.78757993041465</v>
      </c>
      <c r="K16" s="6"/>
    </row>
    <row r="17" ht="13.8" customHeight="1">
      <c r="A17" s="3"/>
      <c r="B17" t="s" s="91">
        <v>79</v>
      </c>
      <c r="C17" t="s" s="84">
        <v>80</v>
      </c>
      <c r="D17" s="92">
        <v>235</v>
      </c>
      <c r="E17" t="s" s="21">
        <v>81</v>
      </c>
      <c r="F17" t="s" s="21">
        <v>82</v>
      </c>
      <c r="G17" s="39">
        <f>G13*D4^2</f>
        <v>28.49973730297723</v>
      </c>
      <c r="H17" s="37"/>
      <c r="I17" t="s" s="84">
        <v>83</v>
      </c>
      <c r="J17" s="104">
        <f>J10+J13+J15</f>
        <v>214.4524621695458</v>
      </c>
      <c r="K17" s="6"/>
    </row>
    <row r="18" ht="13.8" customHeight="1">
      <c r="A18" s="3"/>
      <c r="B18" t="s" s="91">
        <v>70</v>
      </c>
      <c r="C18" t="s" s="84">
        <v>84</v>
      </c>
      <c r="D18" s="92">
        <v>235</v>
      </c>
      <c r="E18" t="s" s="21">
        <v>85</v>
      </c>
      <c r="F18" t="s" s="21">
        <v>86</v>
      </c>
      <c r="G18" s="39">
        <f>G14*D5^2</f>
        <v>27.67320490367776</v>
      </c>
      <c r="H18" s="105"/>
      <c r="I18" t="s" s="106">
        <v>87</v>
      </c>
      <c r="J18" s="107">
        <f>J16+J17</f>
        <v>187.6648822391311</v>
      </c>
      <c r="K18" s="6"/>
    </row>
    <row r="19" ht="13.2" customHeight="1">
      <c r="A19" s="3"/>
      <c r="B19" t="s" s="19">
        <v>76</v>
      </c>
      <c r="C19" t="s" s="21">
        <v>88</v>
      </c>
      <c r="D19" s="20">
        <v>337</v>
      </c>
      <c r="E19" t="s" s="21">
        <v>89</v>
      </c>
      <c r="F19" t="s" s="21">
        <v>90</v>
      </c>
      <c r="G19" s="108">
        <f>G15*D6^2</f>
        <v>20.16637478108581</v>
      </c>
      <c r="H19" t="s" s="84">
        <v>91</v>
      </c>
      <c r="I19" t="s" s="84">
        <v>92</v>
      </c>
      <c r="J19" s="109">
        <f>(D8*9.81)+J16</f>
        <v>1795.910420069585</v>
      </c>
      <c r="K19" s="6"/>
    </row>
    <row r="20" ht="13.2" customHeight="1">
      <c r="A20" s="3"/>
      <c r="B20" t="s" s="19">
        <v>93</v>
      </c>
      <c r="C20" t="s" s="21">
        <v>94</v>
      </c>
      <c r="D20" s="83">
        <v>1.47</v>
      </c>
      <c r="E20" t="s" s="84">
        <v>95</v>
      </c>
      <c r="F20" t="s" s="84">
        <v>96</v>
      </c>
      <c r="G20" s="110">
        <f>G16*D7^2</f>
        <v>28.91943957968476</v>
      </c>
      <c r="H20" t="s" s="84">
        <v>97</v>
      </c>
      <c r="I20" t="s" s="84">
        <v>98</v>
      </c>
      <c r="J20" s="111">
        <f>(D9*9.81)-J16</f>
        <v>2049.609579930414</v>
      </c>
      <c r="K20" s="6"/>
    </row>
    <row r="21" ht="13.2" customHeight="1">
      <c r="A21" s="3"/>
      <c r="B21" t="s" s="19">
        <v>99</v>
      </c>
      <c r="C21" t="s" s="21">
        <v>100</v>
      </c>
      <c r="D21" s="83">
        <v>1.52</v>
      </c>
      <c r="E21" t="s" s="21">
        <v>101</v>
      </c>
      <c r="F21" t="s" s="21">
        <v>102</v>
      </c>
      <c r="G21" s="46">
        <f>D22*G9/G10</f>
        <v>1.301173020527859</v>
      </c>
      <c r="H21" t="s" s="84">
        <v>103</v>
      </c>
      <c r="I21" t="s" s="84">
        <v>104</v>
      </c>
      <c r="J21" s="111">
        <f>(D10*9.81)+J17</f>
        <v>2164.680462169546</v>
      </c>
      <c r="K21" s="6"/>
    </row>
    <row r="22" ht="13.8" customHeight="1">
      <c r="A22" s="3"/>
      <c r="B22" t="s" s="19">
        <v>105</v>
      </c>
      <c r="C22" t="s" s="21">
        <v>106</v>
      </c>
      <c r="D22" s="83">
        <v>2.55</v>
      </c>
      <c r="E22" t="s" s="21">
        <v>107</v>
      </c>
      <c r="F22" t="s" s="21">
        <v>108</v>
      </c>
      <c r="G22" s="47">
        <f>D28-D27</f>
        <v>0.11</v>
      </c>
      <c r="H22" t="s" s="84">
        <v>109</v>
      </c>
      <c r="I22" t="s" s="84">
        <v>110</v>
      </c>
      <c r="J22" s="112">
        <f>(D11*9.81)-J17</f>
        <v>1935.899537830454</v>
      </c>
      <c r="K22" s="6"/>
    </row>
    <row r="23" ht="13.2" customHeight="1">
      <c r="A23" s="3"/>
      <c r="B23" t="s" s="19">
        <v>111</v>
      </c>
      <c r="C23" t="s" s="21">
        <v>112</v>
      </c>
      <c r="D23" s="83">
        <v>0.275</v>
      </c>
      <c r="E23" t="s" s="21">
        <v>113</v>
      </c>
      <c r="F23" t="s" s="21">
        <v>114</v>
      </c>
      <c r="G23" s="50">
        <f>G22/D22*G21</f>
        <v>0.05612903225806452</v>
      </c>
      <c r="H23" s="37"/>
      <c r="I23" t="s" s="41">
        <v>115</v>
      </c>
      <c r="J23" s="51">
        <f>SUM(J19:J22)</f>
        <v>7946.099999999999</v>
      </c>
      <c r="K23" s="6"/>
    </row>
    <row r="24" ht="13.8" customHeight="1">
      <c r="A24" s="3"/>
      <c r="B24" t="s" s="19">
        <v>116</v>
      </c>
      <c r="C24" t="s" s="21">
        <v>117</v>
      </c>
      <c r="D24" s="83">
        <v>0.275</v>
      </c>
      <c r="E24" t="s" s="21">
        <v>118</v>
      </c>
      <c r="F24" t="s" s="21">
        <v>119</v>
      </c>
      <c r="G24" s="39">
        <f>G23+D27</f>
        <v>0.1161290322580645</v>
      </c>
      <c r="H24" s="37"/>
      <c r="I24" t="s" s="41">
        <v>120</v>
      </c>
      <c r="J24" s="52">
        <f>G11*9.81</f>
        <v>7946.1</v>
      </c>
      <c r="K24" s="6"/>
    </row>
    <row r="25" ht="13.2" customHeight="1">
      <c r="A25" s="3"/>
      <c r="B25" t="s" s="19">
        <v>121</v>
      </c>
      <c r="C25" t="s" s="21">
        <v>122</v>
      </c>
      <c r="D25" s="86">
        <v>0.45</v>
      </c>
      <c r="E25" t="s" s="21">
        <v>123</v>
      </c>
      <c r="F25" t="s" s="21">
        <v>124</v>
      </c>
      <c r="G25" s="54">
        <f>D26-G23-D27</f>
        <v>-0.1161290322580645</v>
      </c>
      <c r="H25" s="37"/>
      <c r="I25" s="37"/>
      <c r="J25" s="55"/>
      <c r="K25" s="6"/>
    </row>
    <row r="26" ht="13.8" customHeight="1">
      <c r="A26" s="3"/>
      <c r="B26" t="s" s="19">
        <v>125</v>
      </c>
      <c r="C26" t="s" s="41">
        <v>126</v>
      </c>
      <c r="D26" s="5"/>
      <c r="E26" s="56"/>
      <c r="F26" s="57"/>
      <c r="G26" s="58"/>
      <c r="H26" s="37"/>
      <c r="I26" s="37"/>
      <c r="J26" s="59"/>
      <c r="K26" s="6"/>
    </row>
    <row r="27" ht="13.8" customHeight="1">
      <c r="A27" s="3"/>
      <c r="B27" t="s" s="19">
        <v>127</v>
      </c>
      <c r="C27" t="s" s="21">
        <v>128</v>
      </c>
      <c r="D27" s="82">
        <v>0.06</v>
      </c>
      <c r="E27" t="s" s="21">
        <v>129</v>
      </c>
      <c r="F27" t="s" s="61">
        <v>130</v>
      </c>
      <c r="G27" s="62">
        <f>(G17+G18)/2</f>
        <v>28.0864711033275</v>
      </c>
      <c r="H27" t="s" s="21">
        <v>131</v>
      </c>
      <c r="I27" t="s" s="41">
        <v>132</v>
      </c>
      <c r="J27" s="42">
        <f>G11*D1*D25/AVERAGE(D20:D21)</f>
        <v>1974.882943143813</v>
      </c>
      <c r="K27" s="6"/>
    </row>
    <row r="28" ht="13.8" customHeight="1">
      <c r="A28" s="3"/>
      <c r="B28" t="s" s="63">
        <v>133</v>
      </c>
      <c r="C28" t="s" s="64">
        <v>134</v>
      </c>
      <c r="D28" s="87">
        <v>0.17</v>
      </c>
      <c r="E28" t="s" s="64">
        <v>135</v>
      </c>
      <c r="F28" t="s" s="65">
        <v>136</v>
      </c>
      <c r="G28" s="113">
        <f>(G19+G20)/2</f>
        <v>24.54290718038528</v>
      </c>
      <c r="H28" s="67"/>
      <c r="I28" s="67"/>
      <c r="J28" s="68"/>
      <c r="K28" s="6"/>
    </row>
    <row r="29" ht="13.8" customHeight="1">
      <c r="A29" s="2"/>
      <c r="B29" t="s" s="69">
        <v>137</v>
      </c>
      <c r="C29" t="s" s="69">
        <v>138</v>
      </c>
      <c r="D29" s="114">
        <f>J19-J20</f>
        <v>-253.699159860829</v>
      </c>
      <c r="E29" s="71"/>
      <c r="F29" s="2"/>
      <c r="G29" s="71"/>
      <c r="H29" s="71"/>
      <c r="I29" s="71"/>
      <c r="J29" s="71"/>
      <c r="K29" s="2"/>
    </row>
    <row r="30" ht="14.4" customHeight="1">
      <c r="A30" s="2"/>
      <c r="B30" t="s" s="72">
        <v>139</v>
      </c>
      <c r="C30" t="s" s="72">
        <v>140</v>
      </c>
      <c r="D30" s="115">
        <f>J21-J22</f>
        <v>228.7809243390918</v>
      </c>
      <c r="E30" s="74"/>
      <c r="F30" s="2"/>
      <c r="G30" s="75"/>
      <c r="H30" s="75"/>
      <c r="I30" s="75"/>
      <c r="J30" s="2"/>
      <c r="K30" s="2"/>
    </row>
    <row r="31" ht="15" customHeight="1">
      <c r="A31" s="2"/>
      <c r="B31" t="s" s="72">
        <v>141</v>
      </c>
      <c r="C31" t="s" s="72">
        <v>141</v>
      </c>
      <c r="D31" s="116">
        <f>D29-D30</f>
        <v>-482.4800841999208</v>
      </c>
      <c r="E31" s="2"/>
      <c r="F31" s="2"/>
      <c r="G31" s="75"/>
      <c r="H31" s="77"/>
      <c r="I31" s="75"/>
      <c r="J31" s="2"/>
      <c r="K31" s="2"/>
    </row>
    <row r="32" ht="18" customHeight="1">
      <c r="A32" s="2"/>
      <c r="B32" t="s" s="72">
        <v>142</v>
      </c>
      <c r="C32" t="s" s="72">
        <v>143</v>
      </c>
      <c r="D32" s="78">
        <f>J27/100</f>
        <v>19.74882943143813</v>
      </c>
      <c r="E32" s="2"/>
      <c r="F32" s="2"/>
      <c r="G32" s="2">
        <f>J4-G27</f>
        <v>30317.941232486864</v>
      </c>
      <c r="H32" s="2"/>
      <c r="I32" s="2"/>
      <c r="J32" s="2"/>
      <c r="K32" s="2"/>
    </row>
    <row r="33" ht="14.4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ht="13.2" customHeight="1">
      <c r="A34" s="2"/>
      <c r="B34" s="94"/>
      <c r="C34" s="2"/>
      <c r="D34" s="2"/>
      <c r="E34" s="2"/>
      <c r="F34" s="2"/>
      <c r="G34" s="2"/>
      <c r="H34" s="2"/>
      <c r="I34" s="2"/>
      <c r="J34" s="2"/>
      <c r="K34" s="2"/>
    </row>
    <row r="35" ht="13.2" customHeight="1">
      <c r="A35" s="95"/>
      <c r="B35" t="s" s="96">
        <v>150</v>
      </c>
      <c r="C35" t="s" s="117">
        <v>151</v>
      </c>
      <c r="D35" s="2"/>
      <c r="E35" s="2"/>
      <c r="F35" s="2"/>
      <c r="G35" s="2"/>
      <c r="H35" s="2"/>
      <c r="I35" s="2"/>
      <c r="J35" s="2"/>
      <c r="K35" s="2"/>
    </row>
    <row r="36" ht="13.2" customHeight="1">
      <c r="A36" s="95"/>
      <c r="B36" t="s" s="96">
        <v>152</v>
      </c>
      <c r="C36" t="s" s="96">
        <v>153</v>
      </c>
      <c r="D36" s="74"/>
      <c r="E36" s="2"/>
      <c r="F36" s="2">
        <f>AVERAGE(G13,G14)</f>
        <v>39.4045534150613</v>
      </c>
      <c r="G36" s="2"/>
      <c r="H36" s="2"/>
      <c r="I36" s="2"/>
      <c r="J36" s="2"/>
      <c r="K36" s="2"/>
    </row>
    <row r="37" ht="13.2" customHeight="1">
      <c r="A37" s="2"/>
      <c r="B37" s="98"/>
      <c r="C37" s="98"/>
      <c r="D37" s="2"/>
      <c r="E37" s="2"/>
      <c r="F37" s="2">
        <f>AVERAGE(G17,G18)</f>
        <v>28.0864711033275</v>
      </c>
      <c r="G37" s="2"/>
      <c r="H37" s="2"/>
      <c r="I37" s="2"/>
      <c r="J37" s="2"/>
      <c r="K37" s="2"/>
    </row>
    <row r="38" ht="13.2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ht="13.2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dimension ref="A1:K39"/>
  <sheetViews>
    <sheetView workbookViewId="0" showGridLines="0" defaultGridColor="1"/>
  </sheetViews>
  <sheetFormatPr defaultColWidth="8.83333" defaultRowHeight="13.2" customHeight="1" outlineLevelRow="0" outlineLevelCol="0"/>
  <cols>
    <col min="1" max="2" width="8.85156" style="118" customWidth="1"/>
    <col min="3" max="3" width="51.8516" style="118" customWidth="1"/>
    <col min="4" max="5" width="8.85156" style="118" customWidth="1"/>
    <col min="6" max="6" width="41.6719" style="118" customWidth="1"/>
    <col min="7" max="7" width="13.6719" style="118" customWidth="1"/>
    <col min="8" max="8" width="8.85156" style="118" customWidth="1"/>
    <col min="9" max="9" width="53.5" style="118" customWidth="1"/>
    <col min="10" max="10" width="12.1719" style="118" customWidth="1"/>
    <col min="11" max="11" width="10.1797" style="118" customWidth="1"/>
    <col min="12" max="256" width="8.85156" style="118" customWidth="1"/>
  </cols>
  <sheetData>
    <row r="1" ht="18" customHeight="1">
      <c r="A1" s="2"/>
      <c r="B1" s="3"/>
      <c r="C1" t="s" s="4">
        <v>0</v>
      </c>
      <c r="D1" s="89">
        <v>8.1</v>
      </c>
      <c r="E1" s="6"/>
      <c r="F1" s="2"/>
      <c r="G1" s="2"/>
      <c r="H1" s="2"/>
      <c r="I1" s="2"/>
      <c r="J1" s="2"/>
      <c r="K1" s="2"/>
    </row>
    <row r="2" ht="13.8" customHeight="1">
      <c r="A2" s="2"/>
      <c r="B2" s="7"/>
      <c r="C2" s="8"/>
      <c r="D2" s="8"/>
      <c r="E2" s="7"/>
      <c r="F2" s="7"/>
      <c r="G2" s="7"/>
      <c r="H2" s="7"/>
      <c r="I2" s="7"/>
      <c r="J2" s="7"/>
      <c r="K2" s="2"/>
    </row>
    <row r="3" ht="16.2" customHeight="1">
      <c r="A3" s="3"/>
      <c r="B3" t="s" s="9">
        <v>1</v>
      </c>
      <c r="C3" s="10"/>
      <c r="D3" s="10"/>
      <c r="E3" t="s" s="11">
        <v>2</v>
      </c>
      <c r="F3" s="10"/>
      <c r="G3" s="10"/>
      <c r="H3" t="s" s="11">
        <v>3</v>
      </c>
      <c r="I3" s="10"/>
      <c r="J3" s="12"/>
      <c r="K3" s="6"/>
    </row>
    <row r="4" ht="14.4" customHeight="1">
      <c r="A4" s="3"/>
      <c r="B4" t="s" s="13">
        <v>4</v>
      </c>
      <c r="C4" t="s" s="14">
        <v>5</v>
      </c>
      <c r="D4" s="82">
        <v>0.87</v>
      </c>
      <c r="E4" t="s" s="16">
        <v>6</v>
      </c>
      <c r="F4" t="s" s="16">
        <v>7</v>
      </c>
      <c r="G4" s="17">
        <f>D8-D12</f>
        <v>156.8</v>
      </c>
      <c r="H4" t="s" s="16">
        <v>8</v>
      </c>
      <c r="I4" t="s" s="16">
        <v>9</v>
      </c>
      <c r="J4" s="18">
        <f>D20^2*G27/2*1000</f>
        <v>30346.027703590193</v>
      </c>
      <c r="K4" s="6"/>
    </row>
    <row r="5" ht="12" customHeight="1">
      <c r="A5" s="3"/>
      <c r="B5" t="s" s="19">
        <v>10</v>
      </c>
      <c r="C5" t="s" s="14">
        <v>11</v>
      </c>
      <c r="D5" s="83">
        <v>0.82</v>
      </c>
      <c r="E5" t="s" s="21">
        <v>12</v>
      </c>
      <c r="F5" t="s" s="21">
        <v>13</v>
      </c>
      <c r="G5" s="22">
        <f>D9-D13</f>
        <v>177.2</v>
      </c>
      <c r="H5" t="s" s="84">
        <v>14</v>
      </c>
      <c r="I5" t="s" s="84">
        <v>15</v>
      </c>
      <c r="J5" s="85">
        <f>D21^2*G28/2*1000</f>
        <v>28351.966374781081</v>
      </c>
      <c r="K5" s="6"/>
    </row>
    <row r="6" ht="16.5" customHeight="1">
      <c r="A6" s="3"/>
      <c r="B6" t="s" s="19">
        <v>16</v>
      </c>
      <c r="C6" t="s" s="14">
        <v>17</v>
      </c>
      <c r="D6" s="83">
        <v>0.7</v>
      </c>
      <c r="E6" t="s" s="21">
        <v>18</v>
      </c>
      <c r="F6" t="s" s="21">
        <v>19</v>
      </c>
      <c r="G6" s="22">
        <f>D10-D14</f>
        <v>163.8</v>
      </c>
      <c r="H6" t="s" s="84">
        <v>20</v>
      </c>
      <c r="I6" t="s" s="84">
        <v>21</v>
      </c>
      <c r="J6" s="85">
        <f>J4+J5</f>
        <v>58697.994078371274</v>
      </c>
      <c r="K6" s="6"/>
    </row>
    <row r="7" ht="13.2" customHeight="1">
      <c r="A7" s="3"/>
      <c r="B7" t="s" s="19">
        <v>22</v>
      </c>
      <c r="C7" t="s" s="16">
        <v>23</v>
      </c>
      <c r="D7" s="83">
        <v>0.7</v>
      </c>
      <c r="E7" t="s" s="21">
        <v>24</v>
      </c>
      <c r="F7" t="s" s="21">
        <v>25</v>
      </c>
      <c r="G7" s="22">
        <f>D11-D15</f>
        <v>184.2</v>
      </c>
      <c r="H7" t="s" s="21">
        <v>26</v>
      </c>
      <c r="I7" t="s" s="21">
        <v>27</v>
      </c>
      <c r="J7" s="23">
        <f>G10*G25*D1+D20</f>
        <v>-640.0499999999998</v>
      </c>
      <c r="K7" s="24"/>
    </row>
    <row r="8" ht="13.8" customHeight="1">
      <c r="A8" s="3"/>
      <c r="B8" t="s" s="19">
        <v>28</v>
      </c>
      <c r="C8" t="s" s="21">
        <v>29</v>
      </c>
      <c r="D8" s="44">
        <v>185.8</v>
      </c>
      <c r="E8" t="s" s="21">
        <v>30</v>
      </c>
      <c r="F8" t="s" s="21">
        <v>31</v>
      </c>
      <c r="G8" s="22">
        <f>G4+G5</f>
        <v>334</v>
      </c>
      <c r="H8" t="s" s="100">
        <v>32</v>
      </c>
      <c r="I8" t="s" s="84">
        <v>33</v>
      </c>
      <c r="J8" s="101">
        <f>J7/J6</f>
        <v>-0.01090412049082001</v>
      </c>
      <c r="K8" s="27">
        <f>J8*180/3.142</f>
        <v>-0.6246790860431579</v>
      </c>
    </row>
    <row r="9" ht="13.8" customHeight="1">
      <c r="A9" s="3"/>
      <c r="B9" t="s" s="19">
        <v>34</v>
      </c>
      <c r="C9" t="s" s="21">
        <v>35</v>
      </c>
      <c r="D9" s="44">
        <v>206.2</v>
      </c>
      <c r="E9" t="s" s="21">
        <v>36</v>
      </c>
      <c r="F9" t="s" s="21">
        <v>37</v>
      </c>
      <c r="G9" s="22">
        <f>G6+G7</f>
        <v>348</v>
      </c>
      <c r="H9" t="s" s="84">
        <v>38</v>
      </c>
      <c r="I9" t="s" s="84">
        <v>39</v>
      </c>
      <c r="J9" s="85">
        <f>J8*AVERAGE(G17,G18)*D20*1000/2</f>
        <v>-225.0998248283738</v>
      </c>
      <c r="K9" s="29"/>
    </row>
    <row r="10" ht="13.8" customHeight="1">
      <c r="A10" s="3"/>
      <c r="B10" t="s" s="19">
        <v>40</v>
      </c>
      <c r="C10" t="s" s="21">
        <v>41</v>
      </c>
      <c r="D10" s="44">
        <v>198.8</v>
      </c>
      <c r="E10" t="s" s="21">
        <v>42</v>
      </c>
      <c r="F10" t="s" s="21">
        <v>43</v>
      </c>
      <c r="G10" s="22">
        <f>G8+G9</f>
        <v>682</v>
      </c>
      <c r="H10" t="s" s="102">
        <v>44</v>
      </c>
      <c r="I10" t="s" s="84">
        <v>45</v>
      </c>
      <c r="J10" s="85">
        <f>(J8*G28*D21)/2*1000</f>
        <v>-203.3903009883489</v>
      </c>
      <c r="K10" s="6"/>
    </row>
    <row r="11" ht="13.8" customHeight="1">
      <c r="A11" s="3"/>
      <c r="B11" t="s" s="19">
        <v>46</v>
      </c>
      <c r="C11" t="s" s="21">
        <v>47</v>
      </c>
      <c r="D11" s="44">
        <v>219.2</v>
      </c>
      <c r="E11" t="s" s="21">
        <v>48</v>
      </c>
      <c r="F11" t="s" s="21">
        <v>49</v>
      </c>
      <c r="G11" s="31">
        <f>D8+D9+D10+D11</f>
        <v>810</v>
      </c>
      <c r="H11" s="32"/>
      <c r="I11" s="32"/>
      <c r="J11" s="33"/>
      <c r="K11" s="34"/>
    </row>
    <row r="12" ht="13.8" customHeight="1">
      <c r="A12" s="3"/>
      <c r="B12" t="s" s="19">
        <v>50</v>
      </c>
      <c r="C12" t="s" s="21">
        <v>51</v>
      </c>
      <c r="D12" s="20">
        <v>29</v>
      </c>
      <c r="E12" t="s" s="21">
        <v>52</v>
      </c>
      <c r="F12" t="s" s="21">
        <v>53</v>
      </c>
      <c r="G12" s="31">
        <f>D12+D13+D14+D15</f>
        <v>128</v>
      </c>
      <c r="H12" t="s" s="21">
        <v>54</v>
      </c>
      <c r="I12" t="s" s="21">
        <v>55</v>
      </c>
      <c r="J12" s="35">
        <f>(G8*D1*D27/D20)</f>
        <v>110.4244897959184</v>
      </c>
      <c r="K12" s="6"/>
    </row>
    <row r="13" ht="13.2" customHeight="1">
      <c r="A13" s="3"/>
      <c r="B13" t="s" s="19">
        <v>56</v>
      </c>
      <c r="C13" t="s" s="21">
        <v>57</v>
      </c>
      <c r="D13" s="20">
        <v>29</v>
      </c>
      <c r="E13" t="s" s="21">
        <v>58</v>
      </c>
      <c r="F13" t="s" s="21">
        <v>59</v>
      </c>
      <c r="G13" s="90">
        <f>D16/5.71</f>
        <v>37.65323992994746</v>
      </c>
      <c r="H13" t="s" s="21">
        <v>60</v>
      </c>
      <c r="I13" t="s" s="21">
        <v>61</v>
      </c>
      <c r="J13" s="35">
        <f>J11+G9*D1*D28/D21</f>
        <v>315.2605263157894</v>
      </c>
      <c r="K13" s="6"/>
    </row>
    <row r="14" ht="13.2" customHeight="1">
      <c r="A14" s="3"/>
      <c r="B14" t="s" s="19">
        <v>62</v>
      </c>
      <c r="C14" t="s" s="21">
        <v>63</v>
      </c>
      <c r="D14" s="20">
        <v>35</v>
      </c>
      <c r="E14" t="s" s="21">
        <v>64</v>
      </c>
      <c r="F14" t="s" s="21">
        <v>65</v>
      </c>
      <c r="G14" s="90">
        <f>D17/5.71</f>
        <v>41.15586690017513</v>
      </c>
      <c r="H14" t="s" s="21">
        <v>66</v>
      </c>
      <c r="I14" t="s" s="21">
        <v>67</v>
      </c>
      <c r="J14" s="23">
        <f>(D12+D13)*D1*D23/D20</f>
        <v>87.88775510204081</v>
      </c>
      <c r="K14" s="6"/>
    </row>
    <row r="15" ht="13.2" customHeight="1">
      <c r="A15" s="3"/>
      <c r="B15" t="s" s="19">
        <v>68</v>
      </c>
      <c r="C15" t="s" s="21">
        <v>69</v>
      </c>
      <c r="D15" s="20">
        <v>35</v>
      </c>
      <c r="E15" t="s" s="21">
        <v>70</v>
      </c>
      <c r="F15" t="s" s="21">
        <v>71</v>
      </c>
      <c r="G15" s="36">
        <f>D18/5.71</f>
        <v>41.15586690017513</v>
      </c>
      <c r="H15" t="s" s="21">
        <v>72</v>
      </c>
      <c r="I15" t="s" s="21">
        <v>73</v>
      </c>
      <c r="J15" s="23">
        <f>(D14+D15)*D1*D24/D21</f>
        <v>102.5822368421053</v>
      </c>
      <c r="K15" s="6"/>
    </row>
    <row r="16" ht="13.2" customHeight="1">
      <c r="A16" s="3"/>
      <c r="B16" t="s" s="19">
        <v>74</v>
      </c>
      <c r="C16" t="s" s="21">
        <v>75</v>
      </c>
      <c r="D16" s="20">
        <v>215</v>
      </c>
      <c r="E16" t="s" s="21">
        <v>76</v>
      </c>
      <c r="F16" t="s" s="21">
        <v>77</v>
      </c>
      <c r="G16" s="36">
        <f>D19/5.71</f>
        <v>59.01926444833625</v>
      </c>
      <c r="H16" s="37"/>
      <c r="I16" t="s" s="84">
        <v>78</v>
      </c>
      <c r="J16" s="103">
        <f>J9+J12+J14</f>
        <v>-26.78757993041465</v>
      </c>
      <c r="K16" s="6"/>
    </row>
    <row r="17" ht="13.8" customHeight="1">
      <c r="A17" s="3"/>
      <c r="B17" t="s" s="91">
        <v>79</v>
      </c>
      <c r="C17" t="s" s="84">
        <v>80</v>
      </c>
      <c r="D17" s="92">
        <v>235</v>
      </c>
      <c r="E17" t="s" s="21">
        <v>81</v>
      </c>
      <c r="F17" t="s" s="21">
        <v>82</v>
      </c>
      <c r="G17" s="39">
        <f>G13*D4^2</f>
        <v>28.49973730297723</v>
      </c>
      <c r="H17" s="37"/>
      <c r="I17" t="s" s="84">
        <v>83</v>
      </c>
      <c r="J17" s="104">
        <f>J10+J13+J15</f>
        <v>214.4524621695458</v>
      </c>
      <c r="K17" s="6"/>
    </row>
    <row r="18" ht="13.8" customHeight="1">
      <c r="A18" s="3"/>
      <c r="B18" t="s" s="91">
        <v>70</v>
      </c>
      <c r="C18" t="s" s="84">
        <v>84</v>
      </c>
      <c r="D18" s="92">
        <v>235</v>
      </c>
      <c r="E18" t="s" s="21">
        <v>85</v>
      </c>
      <c r="F18" t="s" s="21">
        <v>86</v>
      </c>
      <c r="G18" s="39">
        <f>G14*D5^2</f>
        <v>27.67320490367776</v>
      </c>
      <c r="H18" s="105"/>
      <c r="I18" t="s" s="106">
        <v>87</v>
      </c>
      <c r="J18" s="107">
        <f>J16+J17</f>
        <v>187.6648822391311</v>
      </c>
      <c r="K18" s="6"/>
    </row>
    <row r="19" ht="13.2" customHeight="1">
      <c r="A19" s="3"/>
      <c r="B19" t="s" s="19">
        <v>76</v>
      </c>
      <c r="C19" t="s" s="21">
        <v>88</v>
      </c>
      <c r="D19" s="20">
        <v>337</v>
      </c>
      <c r="E19" t="s" s="21">
        <v>89</v>
      </c>
      <c r="F19" t="s" s="21">
        <v>90</v>
      </c>
      <c r="G19" s="108">
        <f>G15*D6^2</f>
        <v>20.16637478108581</v>
      </c>
      <c r="H19" t="s" s="84">
        <v>91</v>
      </c>
      <c r="I19" t="s" s="84">
        <v>92</v>
      </c>
      <c r="J19" s="109">
        <f>(D8*9.81)+J16</f>
        <v>1795.910420069585</v>
      </c>
      <c r="K19" s="6"/>
    </row>
    <row r="20" ht="13.2" customHeight="1">
      <c r="A20" s="3"/>
      <c r="B20" t="s" s="19">
        <v>93</v>
      </c>
      <c r="C20" t="s" s="21">
        <v>94</v>
      </c>
      <c r="D20" s="83">
        <v>1.47</v>
      </c>
      <c r="E20" t="s" s="84">
        <v>95</v>
      </c>
      <c r="F20" t="s" s="84">
        <v>96</v>
      </c>
      <c r="G20" s="110">
        <f>G16*D7^2</f>
        <v>28.91943957968476</v>
      </c>
      <c r="H20" t="s" s="84">
        <v>97</v>
      </c>
      <c r="I20" t="s" s="84">
        <v>98</v>
      </c>
      <c r="J20" s="111">
        <f>(D9*9.81)-J16</f>
        <v>2049.609579930414</v>
      </c>
      <c r="K20" s="6"/>
    </row>
    <row r="21" ht="13.2" customHeight="1">
      <c r="A21" s="3"/>
      <c r="B21" t="s" s="19">
        <v>99</v>
      </c>
      <c r="C21" t="s" s="21">
        <v>100</v>
      </c>
      <c r="D21" s="83">
        <v>1.52</v>
      </c>
      <c r="E21" t="s" s="21">
        <v>101</v>
      </c>
      <c r="F21" t="s" s="21">
        <v>102</v>
      </c>
      <c r="G21" s="46">
        <f>D22*G9/G10</f>
        <v>1.301173020527859</v>
      </c>
      <c r="H21" t="s" s="84">
        <v>103</v>
      </c>
      <c r="I21" t="s" s="84">
        <v>104</v>
      </c>
      <c r="J21" s="111">
        <f>(D10*9.81)+J17</f>
        <v>2164.680462169546</v>
      </c>
      <c r="K21" s="6"/>
    </row>
    <row r="22" ht="13.8" customHeight="1">
      <c r="A22" s="3"/>
      <c r="B22" t="s" s="19">
        <v>105</v>
      </c>
      <c r="C22" t="s" s="21">
        <v>106</v>
      </c>
      <c r="D22" s="83">
        <v>2.55</v>
      </c>
      <c r="E22" t="s" s="21">
        <v>107</v>
      </c>
      <c r="F22" t="s" s="21">
        <v>108</v>
      </c>
      <c r="G22" s="47">
        <f>D28-D27</f>
        <v>0.11</v>
      </c>
      <c r="H22" t="s" s="84">
        <v>109</v>
      </c>
      <c r="I22" t="s" s="84">
        <v>110</v>
      </c>
      <c r="J22" s="112">
        <f>(D11*9.81)-J17</f>
        <v>1935.899537830454</v>
      </c>
      <c r="K22" s="6"/>
    </row>
    <row r="23" ht="13.2" customHeight="1">
      <c r="A23" s="3"/>
      <c r="B23" t="s" s="19">
        <v>111</v>
      </c>
      <c r="C23" t="s" s="21">
        <v>112</v>
      </c>
      <c r="D23" s="83">
        <v>0.275</v>
      </c>
      <c r="E23" t="s" s="21">
        <v>113</v>
      </c>
      <c r="F23" t="s" s="21">
        <v>114</v>
      </c>
      <c r="G23" s="50">
        <f>G22/D22*G21</f>
        <v>0.05612903225806452</v>
      </c>
      <c r="H23" s="37"/>
      <c r="I23" t="s" s="41">
        <v>115</v>
      </c>
      <c r="J23" s="51">
        <f>SUM(J19:J22)</f>
        <v>7946.099999999999</v>
      </c>
      <c r="K23" s="6"/>
    </row>
    <row r="24" ht="13.8" customHeight="1">
      <c r="A24" s="3"/>
      <c r="B24" t="s" s="19">
        <v>116</v>
      </c>
      <c r="C24" t="s" s="21">
        <v>117</v>
      </c>
      <c r="D24" s="83">
        <v>0.275</v>
      </c>
      <c r="E24" t="s" s="21">
        <v>118</v>
      </c>
      <c r="F24" t="s" s="21">
        <v>119</v>
      </c>
      <c r="G24" s="39">
        <f>G23+D27</f>
        <v>0.1161290322580645</v>
      </c>
      <c r="H24" s="37"/>
      <c r="I24" t="s" s="41">
        <v>120</v>
      </c>
      <c r="J24" s="52">
        <f>G11*9.81</f>
        <v>7946.1</v>
      </c>
      <c r="K24" s="6"/>
    </row>
    <row r="25" ht="13.2" customHeight="1">
      <c r="A25" s="3"/>
      <c r="B25" t="s" s="19">
        <v>121</v>
      </c>
      <c r="C25" t="s" s="21">
        <v>122</v>
      </c>
      <c r="D25" s="86">
        <v>0.45</v>
      </c>
      <c r="E25" t="s" s="21">
        <v>123</v>
      </c>
      <c r="F25" t="s" s="21">
        <v>124</v>
      </c>
      <c r="G25" s="54">
        <f>D26-G23-D27</f>
        <v>-0.1161290322580645</v>
      </c>
      <c r="H25" s="37"/>
      <c r="I25" s="37"/>
      <c r="J25" s="55"/>
      <c r="K25" s="6"/>
    </row>
    <row r="26" ht="13.8" customHeight="1">
      <c r="A26" s="3"/>
      <c r="B26" t="s" s="19">
        <v>125</v>
      </c>
      <c r="C26" t="s" s="41">
        <v>126</v>
      </c>
      <c r="D26" s="5"/>
      <c r="E26" s="56"/>
      <c r="F26" s="57"/>
      <c r="G26" s="58"/>
      <c r="H26" s="37"/>
      <c r="I26" s="37"/>
      <c r="J26" s="59"/>
      <c r="K26" s="6"/>
    </row>
    <row r="27" ht="13.8" customHeight="1">
      <c r="A27" s="3"/>
      <c r="B27" t="s" s="19">
        <v>127</v>
      </c>
      <c r="C27" t="s" s="21">
        <v>128</v>
      </c>
      <c r="D27" s="82">
        <v>0.06</v>
      </c>
      <c r="E27" t="s" s="21">
        <v>129</v>
      </c>
      <c r="F27" t="s" s="61">
        <v>130</v>
      </c>
      <c r="G27" s="62">
        <f>(G17+G18)/2</f>
        <v>28.0864711033275</v>
      </c>
      <c r="H27" t="s" s="21">
        <v>131</v>
      </c>
      <c r="I27" t="s" s="41">
        <v>132</v>
      </c>
      <c r="J27" s="42">
        <f>G11*D1*D25/AVERAGE(D20:D21)</f>
        <v>1974.882943143813</v>
      </c>
      <c r="K27" s="6"/>
    </row>
    <row r="28" ht="13.8" customHeight="1">
      <c r="A28" s="3"/>
      <c r="B28" t="s" s="63">
        <v>133</v>
      </c>
      <c r="C28" t="s" s="64">
        <v>134</v>
      </c>
      <c r="D28" s="87">
        <v>0.17</v>
      </c>
      <c r="E28" t="s" s="64">
        <v>135</v>
      </c>
      <c r="F28" t="s" s="65">
        <v>136</v>
      </c>
      <c r="G28" s="113">
        <f>(G19+G20)/2</f>
        <v>24.54290718038528</v>
      </c>
      <c r="H28" s="67"/>
      <c r="I28" s="67"/>
      <c r="J28" s="68"/>
      <c r="K28" s="6"/>
    </row>
    <row r="29" ht="13.8" customHeight="1">
      <c r="A29" s="2"/>
      <c r="B29" t="s" s="69">
        <v>137</v>
      </c>
      <c r="C29" t="s" s="69">
        <v>138</v>
      </c>
      <c r="D29" s="114">
        <f>J19-J20</f>
        <v>-253.699159860829</v>
      </c>
      <c r="E29" s="71"/>
      <c r="F29" s="2"/>
      <c r="G29" s="71"/>
      <c r="H29" s="71"/>
      <c r="I29" s="71"/>
      <c r="J29" s="71"/>
      <c r="K29" s="2"/>
    </row>
    <row r="30" ht="14.4" customHeight="1">
      <c r="A30" s="2"/>
      <c r="B30" t="s" s="72">
        <v>139</v>
      </c>
      <c r="C30" t="s" s="72">
        <v>140</v>
      </c>
      <c r="D30" s="115">
        <f>J21-J22</f>
        <v>228.7809243390918</v>
      </c>
      <c r="E30" s="74"/>
      <c r="F30" s="2"/>
      <c r="G30" s="75"/>
      <c r="H30" s="75"/>
      <c r="I30" s="75"/>
      <c r="J30" s="2"/>
      <c r="K30" s="2"/>
    </row>
    <row r="31" ht="15" customHeight="1">
      <c r="A31" s="2"/>
      <c r="B31" t="s" s="72">
        <v>141</v>
      </c>
      <c r="C31" t="s" s="72">
        <v>141</v>
      </c>
      <c r="D31" s="116">
        <f>D29-D30</f>
        <v>-482.4800841999208</v>
      </c>
      <c r="E31" s="2"/>
      <c r="F31" s="2"/>
      <c r="G31" s="75"/>
      <c r="H31" s="77"/>
      <c r="I31" s="75"/>
      <c r="J31" s="2"/>
      <c r="K31" s="2"/>
    </row>
    <row r="32" ht="18" customHeight="1">
      <c r="A32" s="2"/>
      <c r="B32" t="s" s="72">
        <v>142</v>
      </c>
      <c r="C32" t="s" s="72">
        <v>143</v>
      </c>
      <c r="D32" s="78">
        <f>J27/100</f>
        <v>19.74882943143813</v>
      </c>
      <c r="E32" s="2"/>
      <c r="F32" s="2"/>
      <c r="G32" s="2">
        <f>J4-G27</f>
        <v>30317.941232486864</v>
      </c>
      <c r="H32" s="2"/>
      <c r="I32" s="2"/>
      <c r="J32" s="2"/>
      <c r="K32" s="2"/>
    </row>
    <row r="33" ht="14.4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ht="13.2" customHeight="1">
      <c r="A34" s="2"/>
      <c r="B34" t="s" s="72">
        <v>154</v>
      </c>
      <c r="C34" t="s" s="72">
        <v>155</v>
      </c>
      <c r="D34" s="2"/>
      <c r="E34" s="2"/>
      <c r="F34" s="2"/>
      <c r="G34" s="2"/>
      <c r="H34" s="2"/>
      <c r="I34" s="2"/>
      <c r="J34" s="2"/>
      <c r="K34" s="2"/>
    </row>
    <row r="35" ht="13.2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ht="13.2" customHeight="1">
      <c r="A36" s="2"/>
      <c r="B36" s="2"/>
      <c r="C36" s="2"/>
      <c r="D36" s="2"/>
      <c r="E36" s="2"/>
      <c r="F36" s="2">
        <f>AVERAGE(G13,G14)</f>
        <v>39.4045534150613</v>
      </c>
      <c r="G36" s="2"/>
      <c r="H36" s="2"/>
      <c r="I36" s="2"/>
      <c r="J36" s="2"/>
      <c r="K36" s="2"/>
    </row>
    <row r="37" ht="13.2" customHeight="1">
      <c r="A37" s="2"/>
      <c r="B37" s="2"/>
      <c r="C37" s="2"/>
      <c r="D37" s="2"/>
      <c r="E37" s="2"/>
      <c r="F37" s="2">
        <f>AVERAGE(G17,G18)</f>
        <v>28.0864711033275</v>
      </c>
      <c r="G37" s="2"/>
      <c r="H37" s="2"/>
      <c r="I37" s="2"/>
      <c r="J37" s="2"/>
      <c r="K37" s="2"/>
    </row>
    <row r="38" ht="13.2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ht="13.2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dimension ref="A1:K39"/>
  <sheetViews>
    <sheetView workbookViewId="0" showGridLines="0" defaultGridColor="1"/>
  </sheetViews>
  <sheetFormatPr defaultColWidth="8.83333" defaultRowHeight="13.2" customHeight="1" outlineLevelRow="0" outlineLevelCol="0"/>
  <cols>
    <col min="1" max="2" width="8.85156" style="119" customWidth="1"/>
    <col min="3" max="3" width="51.8516" style="119" customWidth="1"/>
    <col min="4" max="5" width="8.85156" style="119" customWidth="1"/>
    <col min="6" max="6" width="41.6719" style="119" customWidth="1"/>
    <col min="7" max="7" width="13.6719" style="119" customWidth="1"/>
    <col min="8" max="8" width="8.85156" style="119" customWidth="1"/>
    <col min="9" max="9" width="53.5" style="119" customWidth="1"/>
    <col min="10" max="10" width="12.1719" style="119" customWidth="1"/>
    <col min="11" max="11" width="10.6641" style="119" customWidth="1"/>
    <col min="12" max="256" width="8.85156" style="119" customWidth="1"/>
  </cols>
  <sheetData>
    <row r="1" ht="18" customHeight="1">
      <c r="A1" s="2"/>
      <c r="B1" s="3"/>
      <c r="C1" t="s" s="4">
        <v>0</v>
      </c>
      <c r="D1" s="89">
        <v>8.1</v>
      </c>
      <c r="E1" s="6"/>
      <c r="F1" s="2"/>
      <c r="G1" s="2"/>
      <c r="H1" s="2"/>
      <c r="I1" s="2"/>
      <c r="J1" s="2"/>
      <c r="K1" s="2"/>
    </row>
    <row r="2" ht="13.8" customHeight="1">
      <c r="A2" s="2"/>
      <c r="B2" s="7"/>
      <c r="C2" s="8"/>
      <c r="D2" s="8"/>
      <c r="E2" s="7"/>
      <c r="F2" s="7"/>
      <c r="G2" s="7"/>
      <c r="H2" s="7"/>
      <c r="I2" s="7"/>
      <c r="J2" s="7"/>
      <c r="K2" s="2"/>
    </row>
    <row r="3" ht="16.2" customHeight="1">
      <c r="A3" s="3"/>
      <c r="B3" t="s" s="9">
        <v>1</v>
      </c>
      <c r="C3" s="10"/>
      <c r="D3" s="10"/>
      <c r="E3" t="s" s="11">
        <v>2</v>
      </c>
      <c r="F3" s="10"/>
      <c r="G3" s="10"/>
      <c r="H3" t="s" s="11">
        <v>3</v>
      </c>
      <c r="I3" s="10"/>
      <c r="J3" s="12"/>
      <c r="K3" s="6"/>
    </row>
    <row r="4" ht="14.4" customHeight="1">
      <c r="A4" s="3"/>
      <c r="B4" t="s" s="13">
        <v>4</v>
      </c>
      <c r="C4" t="s" s="14">
        <v>5</v>
      </c>
      <c r="D4" s="82">
        <v>0.87</v>
      </c>
      <c r="E4" t="s" s="16">
        <v>6</v>
      </c>
      <c r="F4" t="s" s="16">
        <v>7</v>
      </c>
      <c r="G4" s="17">
        <f>D8-D12</f>
        <v>181.8</v>
      </c>
      <c r="H4" t="s" s="16">
        <v>8</v>
      </c>
      <c r="I4" t="s" s="16">
        <v>9</v>
      </c>
      <c r="J4" s="18">
        <f>D20^2*G27/2*1000</f>
        <v>30346.027703590193</v>
      </c>
      <c r="K4" s="6"/>
    </row>
    <row r="5" ht="12" customHeight="1">
      <c r="A5" s="3"/>
      <c r="B5" t="s" s="19">
        <v>10</v>
      </c>
      <c r="C5" t="s" s="14">
        <v>11</v>
      </c>
      <c r="D5" s="83">
        <v>0.82</v>
      </c>
      <c r="E5" t="s" s="21">
        <v>12</v>
      </c>
      <c r="F5" t="s" s="21">
        <v>13</v>
      </c>
      <c r="G5" s="22">
        <f>D9-D13</f>
        <v>152.2</v>
      </c>
      <c r="H5" t="s" s="84">
        <v>14</v>
      </c>
      <c r="I5" t="s" s="84">
        <v>15</v>
      </c>
      <c r="J5" s="85">
        <f>D21^2*G28/2*1000</f>
        <v>27261.5061295972</v>
      </c>
      <c r="K5" s="6"/>
    </row>
    <row r="6" ht="16.5" customHeight="1">
      <c r="A6" s="3"/>
      <c r="B6" t="s" s="19">
        <v>16</v>
      </c>
      <c r="C6" t="s" s="14">
        <v>17</v>
      </c>
      <c r="D6" s="83">
        <v>0.7</v>
      </c>
      <c r="E6" t="s" s="21">
        <v>18</v>
      </c>
      <c r="F6" t="s" s="21">
        <v>19</v>
      </c>
      <c r="G6" s="22">
        <f>D10-D14</f>
        <v>138.8</v>
      </c>
      <c r="H6" t="s" s="84">
        <v>20</v>
      </c>
      <c r="I6" t="s" s="84">
        <v>21</v>
      </c>
      <c r="J6" s="85">
        <f>J4+J5</f>
        <v>57607.533833187394</v>
      </c>
      <c r="K6" s="6"/>
    </row>
    <row r="7" ht="13.2" customHeight="1">
      <c r="A7" s="3"/>
      <c r="B7" t="s" s="19">
        <v>22</v>
      </c>
      <c r="C7" t="s" s="16">
        <v>23</v>
      </c>
      <c r="D7" s="83">
        <v>0.7</v>
      </c>
      <c r="E7" t="s" s="21">
        <v>24</v>
      </c>
      <c r="F7" t="s" s="21">
        <v>25</v>
      </c>
      <c r="G7" s="22">
        <f>D11-D15</f>
        <v>209.2</v>
      </c>
      <c r="H7" t="s" s="21">
        <v>26</v>
      </c>
      <c r="I7" t="s" s="21">
        <v>27</v>
      </c>
      <c r="J7" s="23">
        <f>G10*G25*D1+D20</f>
        <v>-640.0499999999998</v>
      </c>
      <c r="K7" s="24"/>
    </row>
    <row r="8" ht="13.8" customHeight="1">
      <c r="A8" s="3"/>
      <c r="B8" t="s" s="19">
        <v>28</v>
      </c>
      <c r="C8" t="s" s="21">
        <v>29</v>
      </c>
      <c r="D8" s="44">
        <v>210.8</v>
      </c>
      <c r="E8" t="s" s="21">
        <v>30</v>
      </c>
      <c r="F8" t="s" s="21">
        <v>31</v>
      </c>
      <c r="G8" s="22">
        <f>G4+G5</f>
        <v>334</v>
      </c>
      <c r="H8" t="s" s="100">
        <v>32</v>
      </c>
      <c r="I8" t="s" s="84">
        <v>33</v>
      </c>
      <c r="J8" s="101">
        <f>J7/J6</f>
        <v>-0.01111052595747937</v>
      </c>
      <c r="K8" s="27">
        <f>J8*180/3.142</f>
        <v>-0.63650371494153</v>
      </c>
    </row>
    <row r="9" ht="13.8" customHeight="1">
      <c r="A9" s="3"/>
      <c r="B9" t="s" s="19">
        <v>34</v>
      </c>
      <c r="C9" t="s" s="21">
        <v>35</v>
      </c>
      <c r="D9" s="44">
        <v>181.2</v>
      </c>
      <c r="E9" t="s" s="21">
        <v>36</v>
      </c>
      <c r="F9" t="s" s="21">
        <v>37</v>
      </c>
      <c r="G9" s="22">
        <f>G6+G7</f>
        <v>348</v>
      </c>
      <c r="H9" t="s" s="84">
        <v>38</v>
      </c>
      <c r="I9" t="s" s="84">
        <v>39</v>
      </c>
      <c r="J9" s="85">
        <f>J8*AVERAGE(G17,G18)*D20*1000/2</f>
        <v>-229.3607676919231</v>
      </c>
      <c r="K9" s="29"/>
    </row>
    <row r="10" ht="13.8" customHeight="1">
      <c r="A10" s="3"/>
      <c r="B10" t="s" s="19">
        <v>40</v>
      </c>
      <c r="C10" t="s" s="21">
        <v>41</v>
      </c>
      <c r="D10" s="44">
        <v>173.8</v>
      </c>
      <c r="E10" t="s" s="21">
        <v>42</v>
      </c>
      <c r="F10" t="s" s="21">
        <v>43</v>
      </c>
      <c r="G10" s="22">
        <f>G8+G9</f>
        <v>682</v>
      </c>
      <c r="H10" t="s" s="102">
        <v>44</v>
      </c>
      <c r="I10" t="s" s="84">
        <v>45</v>
      </c>
      <c r="J10" s="85">
        <f>(J8*G28*D21)/2*1000</f>
        <v>-199.2695207189952</v>
      </c>
      <c r="K10" s="6"/>
    </row>
    <row r="11" ht="13.8" customHeight="1">
      <c r="A11" s="3"/>
      <c r="B11" t="s" s="19">
        <v>46</v>
      </c>
      <c r="C11" t="s" s="21">
        <v>47</v>
      </c>
      <c r="D11" s="44">
        <v>244.2</v>
      </c>
      <c r="E11" t="s" s="21">
        <v>48</v>
      </c>
      <c r="F11" t="s" s="21">
        <v>49</v>
      </c>
      <c r="G11" s="31">
        <f>D8+D9+D10+D11</f>
        <v>810</v>
      </c>
      <c r="H11" s="32"/>
      <c r="I11" s="32"/>
      <c r="J11" s="33"/>
      <c r="K11" s="34"/>
    </row>
    <row r="12" ht="13.8" customHeight="1">
      <c r="A12" s="3"/>
      <c r="B12" t="s" s="19">
        <v>50</v>
      </c>
      <c r="C12" t="s" s="21">
        <v>51</v>
      </c>
      <c r="D12" s="20">
        <v>29</v>
      </c>
      <c r="E12" t="s" s="21">
        <v>52</v>
      </c>
      <c r="F12" t="s" s="21">
        <v>53</v>
      </c>
      <c r="G12" s="31">
        <f>D12+D13+D14+D15</f>
        <v>128</v>
      </c>
      <c r="H12" t="s" s="21">
        <v>54</v>
      </c>
      <c r="I12" t="s" s="21">
        <v>55</v>
      </c>
      <c r="J12" s="35">
        <f>(G8*D1*D27/D20)</f>
        <v>110.4244897959184</v>
      </c>
      <c r="K12" s="6"/>
    </row>
    <row r="13" ht="13.2" customHeight="1">
      <c r="A13" s="3"/>
      <c r="B13" t="s" s="19">
        <v>56</v>
      </c>
      <c r="C13" t="s" s="21">
        <v>57</v>
      </c>
      <c r="D13" s="20">
        <v>29</v>
      </c>
      <c r="E13" t="s" s="21">
        <v>58</v>
      </c>
      <c r="F13" t="s" s="21">
        <v>59</v>
      </c>
      <c r="G13" s="90">
        <f>D16/5.71</f>
        <v>37.65323992994746</v>
      </c>
      <c r="H13" t="s" s="21">
        <v>60</v>
      </c>
      <c r="I13" t="s" s="21">
        <v>61</v>
      </c>
      <c r="J13" s="35">
        <f>J11+G9*D1*D28/D21</f>
        <v>315.2605263157894</v>
      </c>
      <c r="K13" s="6"/>
    </row>
    <row r="14" ht="13.2" customHeight="1">
      <c r="A14" s="3"/>
      <c r="B14" t="s" s="19">
        <v>62</v>
      </c>
      <c r="C14" t="s" s="21">
        <v>63</v>
      </c>
      <c r="D14" s="20">
        <v>35</v>
      </c>
      <c r="E14" t="s" s="21">
        <v>64</v>
      </c>
      <c r="F14" t="s" s="21">
        <v>65</v>
      </c>
      <c r="G14" s="90">
        <f>D17/5.71</f>
        <v>41.15586690017513</v>
      </c>
      <c r="H14" t="s" s="21">
        <v>66</v>
      </c>
      <c r="I14" t="s" s="21">
        <v>67</v>
      </c>
      <c r="J14" s="23">
        <f>(D12+D13)*D1*D23/D20</f>
        <v>87.88775510204081</v>
      </c>
      <c r="K14" s="6"/>
    </row>
    <row r="15" ht="13.2" customHeight="1">
      <c r="A15" s="3"/>
      <c r="B15" t="s" s="19">
        <v>68</v>
      </c>
      <c r="C15" t="s" s="21">
        <v>69</v>
      </c>
      <c r="D15" s="20">
        <v>35</v>
      </c>
      <c r="E15" t="s" s="21">
        <v>70</v>
      </c>
      <c r="F15" t="s" s="21">
        <v>71</v>
      </c>
      <c r="G15" s="36">
        <f>D18/5.71</f>
        <v>48.16112084063047</v>
      </c>
      <c r="H15" t="s" s="21">
        <v>72</v>
      </c>
      <c r="I15" t="s" s="21">
        <v>73</v>
      </c>
      <c r="J15" s="23">
        <f>(D14+D15)*D1*D24/D21</f>
        <v>102.5822368421053</v>
      </c>
      <c r="K15" s="6"/>
    </row>
    <row r="16" ht="13.2" customHeight="1">
      <c r="A16" s="3"/>
      <c r="B16" t="s" s="19">
        <v>74</v>
      </c>
      <c r="C16" t="s" s="21">
        <v>75</v>
      </c>
      <c r="D16" s="20">
        <v>215</v>
      </c>
      <c r="E16" t="s" s="21">
        <v>76</v>
      </c>
      <c r="F16" t="s" s="21">
        <v>77</v>
      </c>
      <c r="G16" s="36">
        <f>D19/5.71</f>
        <v>48.16112084063047</v>
      </c>
      <c r="H16" s="37"/>
      <c r="I16" t="s" s="84">
        <v>78</v>
      </c>
      <c r="J16" s="103">
        <f>J9+J12+J14</f>
        <v>-31.04852279396395</v>
      </c>
      <c r="K16" s="6"/>
    </row>
    <row r="17" ht="13.8" customHeight="1">
      <c r="A17" s="3"/>
      <c r="B17" t="s" s="91">
        <v>79</v>
      </c>
      <c r="C17" t="s" s="84">
        <v>80</v>
      </c>
      <c r="D17" s="92">
        <v>235</v>
      </c>
      <c r="E17" t="s" s="21">
        <v>81</v>
      </c>
      <c r="F17" t="s" s="21">
        <v>82</v>
      </c>
      <c r="G17" s="39">
        <f>G13*D4^2</f>
        <v>28.49973730297723</v>
      </c>
      <c r="H17" s="37"/>
      <c r="I17" t="s" s="84">
        <v>83</v>
      </c>
      <c r="J17" s="104">
        <f>J10+J13+J15</f>
        <v>218.5732424388995</v>
      </c>
      <c r="K17" s="6"/>
    </row>
    <row r="18" ht="13.8" customHeight="1">
      <c r="A18" s="3"/>
      <c r="B18" t="s" s="91">
        <v>70</v>
      </c>
      <c r="C18" t="s" s="84">
        <v>84</v>
      </c>
      <c r="D18" s="92">
        <v>275</v>
      </c>
      <c r="E18" t="s" s="21">
        <v>85</v>
      </c>
      <c r="F18" t="s" s="21">
        <v>86</v>
      </c>
      <c r="G18" s="39">
        <f>G14*D5^2</f>
        <v>27.67320490367776</v>
      </c>
      <c r="H18" s="105"/>
      <c r="I18" t="s" s="106">
        <v>87</v>
      </c>
      <c r="J18" s="107">
        <f>J16+J17</f>
        <v>187.5247196449355</v>
      </c>
      <c r="K18" s="6"/>
    </row>
    <row r="19" ht="13.2" customHeight="1">
      <c r="A19" s="3"/>
      <c r="B19" t="s" s="19">
        <v>76</v>
      </c>
      <c r="C19" t="s" s="21">
        <v>88</v>
      </c>
      <c r="D19" s="20">
        <v>275</v>
      </c>
      <c r="E19" t="s" s="21">
        <v>89</v>
      </c>
      <c r="F19" t="s" s="21">
        <v>90</v>
      </c>
      <c r="G19" s="108">
        <f>G15*D6^2</f>
        <v>23.59894921190893</v>
      </c>
      <c r="H19" t="s" s="84">
        <v>91</v>
      </c>
      <c r="I19" t="s" s="84">
        <v>92</v>
      </c>
      <c r="J19" s="109">
        <f>(D8*9.81)+J16</f>
        <v>2036.899477206036</v>
      </c>
      <c r="K19" s="6"/>
    </row>
    <row r="20" ht="13.2" customHeight="1">
      <c r="A20" s="3"/>
      <c r="B20" t="s" s="19">
        <v>93</v>
      </c>
      <c r="C20" t="s" s="21">
        <v>94</v>
      </c>
      <c r="D20" s="83">
        <v>1.47</v>
      </c>
      <c r="E20" t="s" s="84">
        <v>95</v>
      </c>
      <c r="F20" t="s" s="84">
        <v>96</v>
      </c>
      <c r="G20" s="110">
        <f>G16*D7^2</f>
        <v>23.59894921190893</v>
      </c>
      <c r="H20" t="s" s="84">
        <v>97</v>
      </c>
      <c r="I20" t="s" s="84">
        <v>98</v>
      </c>
      <c r="J20" s="111">
        <f>(D9*9.81)-J16</f>
        <v>1808.620522793964</v>
      </c>
      <c r="K20" s="6"/>
    </row>
    <row r="21" ht="13.2" customHeight="1">
      <c r="A21" s="3"/>
      <c r="B21" t="s" s="19">
        <v>99</v>
      </c>
      <c r="C21" t="s" s="21">
        <v>100</v>
      </c>
      <c r="D21" s="83">
        <v>1.52</v>
      </c>
      <c r="E21" t="s" s="21">
        <v>101</v>
      </c>
      <c r="F21" t="s" s="21">
        <v>102</v>
      </c>
      <c r="G21" s="46">
        <f>D22*G9/G10</f>
        <v>1.301173020527859</v>
      </c>
      <c r="H21" t="s" s="84">
        <v>103</v>
      </c>
      <c r="I21" t="s" s="84">
        <v>104</v>
      </c>
      <c r="J21" s="111">
        <f>(D10*9.81)+J17</f>
        <v>1923.5512424389</v>
      </c>
      <c r="K21" s="6"/>
    </row>
    <row r="22" ht="13.8" customHeight="1">
      <c r="A22" s="3"/>
      <c r="B22" t="s" s="19">
        <v>105</v>
      </c>
      <c r="C22" t="s" s="21">
        <v>106</v>
      </c>
      <c r="D22" s="83">
        <v>2.55</v>
      </c>
      <c r="E22" t="s" s="21">
        <v>107</v>
      </c>
      <c r="F22" t="s" s="21">
        <v>108</v>
      </c>
      <c r="G22" s="47">
        <f>D28-D27</f>
        <v>0.11</v>
      </c>
      <c r="H22" t="s" s="84">
        <v>109</v>
      </c>
      <c r="I22" t="s" s="84">
        <v>110</v>
      </c>
      <c r="J22" s="112">
        <f>(D11*9.81)-J17</f>
        <v>2177.028757561101</v>
      </c>
      <c r="K22" s="6"/>
    </row>
    <row r="23" ht="13.2" customHeight="1">
      <c r="A23" s="3"/>
      <c r="B23" t="s" s="19">
        <v>111</v>
      </c>
      <c r="C23" t="s" s="21">
        <v>112</v>
      </c>
      <c r="D23" s="83">
        <v>0.275</v>
      </c>
      <c r="E23" t="s" s="21">
        <v>113</v>
      </c>
      <c r="F23" t="s" s="21">
        <v>114</v>
      </c>
      <c r="G23" s="50">
        <f>G22/D22*G21</f>
        <v>0.05612903225806452</v>
      </c>
      <c r="H23" s="37"/>
      <c r="I23" t="s" s="41">
        <v>115</v>
      </c>
      <c r="J23" s="51">
        <f>SUM(J19:J22)</f>
        <v>7946.1</v>
      </c>
      <c r="K23" s="6"/>
    </row>
    <row r="24" ht="13.8" customHeight="1">
      <c r="A24" s="3"/>
      <c r="B24" t="s" s="19">
        <v>116</v>
      </c>
      <c r="C24" t="s" s="21">
        <v>117</v>
      </c>
      <c r="D24" s="83">
        <v>0.275</v>
      </c>
      <c r="E24" t="s" s="21">
        <v>118</v>
      </c>
      <c r="F24" t="s" s="21">
        <v>119</v>
      </c>
      <c r="G24" s="39">
        <f>G23+D27</f>
        <v>0.1161290322580645</v>
      </c>
      <c r="H24" s="37"/>
      <c r="I24" t="s" s="41">
        <v>120</v>
      </c>
      <c r="J24" s="52">
        <f>G11*9.81</f>
        <v>7946.1</v>
      </c>
      <c r="K24" s="6"/>
    </row>
    <row r="25" ht="13.2" customHeight="1">
      <c r="A25" s="3"/>
      <c r="B25" t="s" s="19">
        <v>121</v>
      </c>
      <c r="C25" t="s" s="21">
        <v>122</v>
      </c>
      <c r="D25" s="86">
        <v>0.45</v>
      </c>
      <c r="E25" t="s" s="21">
        <v>123</v>
      </c>
      <c r="F25" t="s" s="21">
        <v>124</v>
      </c>
      <c r="G25" s="54">
        <f>D26-G23-D27</f>
        <v>-0.1161290322580645</v>
      </c>
      <c r="H25" s="37"/>
      <c r="I25" s="37"/>
      <c r="J25" s="55"/>
      <c r="K25" s="6"/>
    </row>
    <row r="26" ht="13.8" customHeight="1">
      <c r="A26" s="3"/>
      <c r="B26" t="s" s="19">
        <v>125</v>
      </c>
      <c r="C26" t="s" s="41">
        <v>126</v>
      </c>
      <c r="D26" s="5"/>
      <c r="E26" s="56"/>
      <c r="F26" s="57"/>
      <c r="G26" s="58"/>
      <c r="H26" s="37"/>
      <c r="I26" s="37"/>
      <c r="J26" s="59"/>
      <c r="K26" s="6"/>
    </row>
    <row r="27" ht="13.8" customHeight="1">
      <c r="A27" s="3"/>
      <c r="B27" t="s" s="19">
        <v>127</v>
      </c>
      <c r="C27" t="s" s="21">
        <v>128</v>
      </c>
      <c r="D27" s="82">
        <v>0.06</v>
      </c>
      <c r="E27" t="s" s="21">
        <v>129</v>
      </c>
      <c r="F27" t="s" s="61">
        <v>130</v>
      </c>
      <c r="G27" s="62">
        <f>(G17+G18)/2</f>
        <v>28.0864711033275</v>
      </c>
      <c r="H27" t="s" s="21">
        <v>131</v>
      </c>
      <c r="I27" t="s" s="41">
        <v>132</v>
      </c>
      <c r="J27" s="42">
        <f>G11*D1*D25/AVERAGE(D20:D21)</f>
        <v>1974.882943143813</v>
      </c>
      <c r="K27" s="6"/>
    </row>
    <row r="28" ht="13.8" customHeight="1">
      <c r="A28" s="3"/>
      <c r="B28" t="s" s="63">
        <v>133</v>
      </c>
      <c r="C28" t="s" s="64">
        <v>134</v>
      </c>
      <c r="D28" s="87">
        <v>0.17</v>
      </c>
      <c r="E28" t="s" s="64">
        <v>135</v>
      </c>
      <c r="F28" t="s" s="65">
        <v>136</v>
      </c>
      <c r="G28" s="113">
        <f>(G19+G20)/2</f>
        <v>23.59894921190893</v>
      </c>
      <c r="H28" s="67"/>
      <c r="I28" s="67"/>
      <c r="J28" s="68"/>
      <c r="K28" s="6"/>
    </row>
    <row r="29" ht="13.8" customHeight="1">
      <c r="A29" s="2"/>
      <c r="B29" t="s" s="69">
        <v>137</v>
      </c>
      <c r="C29" t="s" s="69">
        <v>138</v>
      </c>
      <c r="D29" s="114">
        <f>J19-J20</f>
        <v>228.2789544120726</v>
      </c>
      <c r="E29" s="71"/>
      <c r="F29" s="2"/>
      <c r="G29" s="71"/>
      <c r="H29" s="71"/>
      <c r="I29" s="71"/>
      <c r="J29" s="71"/>
      <c r="K29" s="2"/>
    </row>
    <row r="30" ht="14.4" customHeight="1">
      <c r="A30" s="2"/>
      <c r="B30" t="s" s="72">
        <v>139</v>
      </c>
      <c r="C30" t="s" s="72">
        <v>140</v>
      </c>
      <c r="D30" s="115">
        <f>J21-J22</f>
        <v>-253.4775151222007</v>
      </c>
      <c r="E30" s="74"/>
      <c r="F30" s="2"/>
      <c r="G30" s="75"/>
      <c r="H30" s="75"/>
      <c r="I30" s="75"/>
      <c r="J30" s="2"/>
      <c r="K30" s="2"/>
    </row>
    <row r="31" ht="15" customHeight="1">
      <c r="A31" s="2"/>
      <c r="B31" t="s" s="72">
        <v>141</v>
      </c>
      <c r="C31" t="s" s="72">
        <v>141</v>
      </c>
      <c r="D31" s="116">
        <f>D29-D30</f>
        <v>481.7564695342733</v>
      </c>
      <c r="E31" s="2"/>
      <c r="F31" s="2"/>
      <c r="G31" s="75"/>
      <c r="H31" s="77"/>
      <c r="I31" s="75"/>
      <c r="J31" s="2"/>
      <c r="K31" s="2"/>
    </row>
    <row r="32" ht="18" customHeight="1">
      <c r="A32" s="2"/>
      <c r="B32" t="s" s="72">
        <v>142</v>
      </c>
      <c r="C32" t="s" s="72">
        <v>143</v>
      </c>
      <c r="D32" s="78">
        <f>J27/100</f>
        <v>19.74882943143813</v>
      </c>
      <c r="E32" s="2"/>
      <c r="F32" s="2"/>
      <c r="G32" s="2">
        <f>J4-G27</f>
        <v>30317.941232486864</v>
      </c>
      <c r="H32" s="2"/>
      <c r="I32" s="2"/>
      <c r="J32" s="2"/>
      <c r="K32" s="2"/>
    </row>
    <row r="33" ht="14.4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ht="13.2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ht="13.2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ht="13.2" customHeight="1">
      <c r="A36" s="2"/>
      <c r="B36" s="2"/>
      <c r="C36" s="2"/>
      <c r="D36" s="2"/>
      <c r="E36" s="2"/>
      <c r="F36" s="2">
        <f>AVERAGE(G13,G14)</f>
        <v>39.4045534150613</v>
      </c>
      <c r="G36" s="2"/>
      <c r="H36" s="2"/>
      <c r="I36" s="2"/>
      <c r="J36" s="2"/>
      <c r="K36" s="2"/>
    </row>
    <row r="37" ht="13.2" customHeight="1">
      <c r="A37" s="2"/>
      <c r="B37" s="2"/>
      <c r="C37" s="2"/>
      <c r="D37" s="2"/>
      <c r="E37" s="2"/>
      <c r="F37" s="2">
        <f>AVERAGE(G17,G18)</f>
        <v>28.0864711033275</v>
      </c>
      <c r="G37" s="2"/>
      <c r="H37" s="2"/>
      <c r="I37" s="2"/>
      <c r="J37" s="2"/>
      <c r="K37" s="2"/>
    </row>
    <row r="38" ht="13.2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ht="13.2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