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FM Final Assignment\"/>
    </mc:Choice>
  </mc:AlternateContent>
  <xr:revisionPtr revIDLastSave="0" documentId="13_ncr:1_{F7A244F8-D07F-4B00-B6AB-AFE55BE3DE0C}" xr6:coauthVersionLast="47" xr6:coauthVersionMax="47" xr10:uidLastSave="{00000000-0000-0000-0000-000000000000}"/>
  <bookViews>
    <workbookView xWindow="-120" yWindow="-120" windowWidth="21840" windowHeight="13140" xr2:uid="{B97F9ED7-22E8-497D-BBB6-3BA6172875AC}"/>
  </bookViews>
  <sheets>
    <sheet name=" Conservative Sales Estimate" sheetId="2" r:id="rId1"/>
    <sheet name="Expected Sales Estimate" sheetId="3" r:id="rId2"/>
    <sheet name="Sheet3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5" i="3" l="1"/>
  <c r="E65" i="3"/>
  <c r="D65" i="3"/>
  <c r="C65" i="3"/>
  <c r="F64" i="3"/>
  <c r="E64" i="3"/>
  <c r="D64" i="3"/>
  <c r="C64" i="3"/>
  <c r="F63" i="3"/>
  <c r="E63" i="3"/>
  <c r="D63" i="3"/>
  <c r="C63" i="3"/>
  <c r="E62" i="3"/>
  <c r="D62" i="3"/>
  <c r="C62" i="3"/>
  <c r="F61" i="3"/>
  <c r="E61" i="3"/>
  <c r="D61" i="3"/>
  <c r="C61" i="3"/>
  <c r="F60" i="3"/>
  <c r="E60" i="3"/>
  <c r="D60" i="3"/>
  <c r="C60" i="3"/>
  <c r="C59" i="3"/>
  <c r="C37" i="3"/>
  <c r="C34" i="3"/>
  <c r="B21" i="3"/>
  <c r="C18" i="3"/>
  <c r="F16" i="3"/>
  <c r="B16" i="3"/>
  <c r="E16" i="3" s="1"/>
  <c r="H11" i="3"/>
  <c r="G11" i="3"/>
  <c r="F11" i="3"/>
  <c r="E11" i="3"/>
  <c r="J11" i="3" s="1"/>
  <c r="D11" i="3"/>
  <c r="C10" i="3"/>
  <c r="H9" i="3"/>
  <c r="G9" i="3"/>
  <c r="F9" i="3"/>
  <c r="E9" i="3"/>
  <c r="D8" i="3"/>
  <c r="H7" i="3"/>
  <c r="H8" i="3" s="1"/>
  <c r="H10" i="3" s="1"/>
  <c r="G7" i="3"/>
  <c r="G8" i="3" s="1"/>
  <c r="F7" i="3"/>
  <c r="F8" i="3" s="1"/>
  <c r="F10" i="3" s="1"/>
  <c r="E7" i="3"/>
  <c r="E8" i="3" s="1"/>
  <c r="E10" i="3" s="1"/>
  <c r="J6" i="3"/>
  <c r="J5" i="3"/>
  <c r="J3" i="3"/>
  <c r="F65" i="1"/>
  <c r="F64" i="1"/>
  <c r="F63" i="1"/>
  <c r="F61" i="1"/>
  <c r="F60" i="1"/>
  <c r="F65" i="2"/>
  <c r="F64" i="2"/>
  <c r="F63" i="2"/>
  <c r="F61" i="2"/>
  <c r="F60" i="2"/>
  <c r="E65" i="1"/>
  <c r="D65" i="1"/>
  <c r="C65" i="1"/>
  <c r="E64" i="1"/>
  <c r="D64" i="1"/>
  <c r="C64" i="1"/>
  <c r="E63" i="1"/>
  <c r="D63" i="1"/>
  <c r="C63" i="1"/>
  <c r="E62" i="1"/>
  <c r="D62" i="1"/>
  <c r="C62" i="1"/>
  <c r="E61" i="1"/>
  <c r="D61" i="1"/>
  <c r="C61" i="1"/>
  <c r="E60" i="1"/>
  <c r="D60" i="1"/>
  <c r="C60" i="1"/>
  <c r="C59" i="1"/>
  <c r="C37" i="1"/>
  <c r="C34" i="1"/>
  <c r="B21" i="1"/>
  <c r="C18" i="1"/>
  <c r="B16" i="1"/>
  <c r="H16" i="1" s="1"/>
  <c r="H11" i="1"/>
  <c r="G11" i="1"/>
  <c r="F11" i="1"/>
  <c r="E11" i="1"/>
  <c r="D11" i="1"/>
  <c r="C10" i="1"/>
  <c r="H9" i="1"/>
  <c r="G9" i="1"/>
  <c r="F9" i="1"/>
  <c r="E9" i="1"/>
  <c r="D8" i="1"/>
  <c r="H7" i="1"/>
  <c r="H8" i="1" s="1"/>
  <c r="G7" i="1"/>
  <c r="G8" i="1" s="1"/>
  <c r="F7" i="1"/>
  <c r="F8" i="1" s="1"/>
  <c r="F10" i="1" s="1"/>
  <c r="E7" i="1"/>
  <c r="E8" i="1" s="1"/>
  <c r="J6" i="1"/>
  <c r="J5" i="1"/>
  <c r="J3" i="1"/>
  <c r="C62" i="2"/>
  <c r="C61" i="2"/>
  <c r="C59" i="2"/>
  <c r="E65" i="2"/>
  <c r="D65" i="2"/>
  <c r="C65" i="2"/>
  <c r="E64" i="2"/>
  <c r="D64" i="2"/>
  <c r="C64" i="2"/>
  <c r="E63" i="2"/>
  <c r="D63" i="2"/>
  <c r="C63" i="2"/>
  <c r="E62" i="2"/>
  <c r="D62" i="2"/>
  <c r="E61" i="2"/>
  <c r="D61" i="2"/>
  <c r="E60" i="2"/>
  <c r="C60" i="2"/>
  <c r="D60" i="2"/>
  <c r="J3" i="2"/>
  <c r="J5" i="2"/>
  <c r="J6" i="2"/>
  <c r="E7" i="2"/>
  <c r="E8" i="2" s="1"/>
  <c r="F7" i="2"/>
  <c r="F8" i="2" s="1"/>
  <c r="G7" i="2"/>
  <c r="G8" i="2" s="1"/>
  <c r="H7" i="2"/>
  <c r="H8" i="2" s="1"/>
  <c r="D8" i="2"/>
  <c r="D10" i="2" s="1"/>
  <c r="E9" i="2"/>
  <c r="F9" i="2"/>
  <c r="G9" i="2"/>
  <c r="H9" i="2"/>
  <c r="C10" i="2"/>
  <c r="D11" i="2"/>
  <c r="E11" i="2"/>
  <c r="F11" i="2"/>
  <c r="G11" i="2"/>
  <c r="H11" i="2"/>
  <c r="B16" i="2"/>
  <c r="E16" i="2" s="1"/>
  <c r="C18" i="2"/>
  <c r="C37" i="2"/>
  <c r="C34" i="2"/>
  <c r="B21" i="2"/>
  <c r="J9" i="3" l="1"/>
  <c r="G10" i="3"/>
  <c r="J8" i="3"/>
  <c r="E12" i="3"/>
  <c r="E18" i="3"/>
  <c r="F12" i="3"/>
  <c r="F18" i="3"/>
  <c r="G12" i="3"/>
  <c r="H12" i="3"/>
  <c r="J7" i="3"/>
  <c r="D10" i="3"/>
  <c r="B24" i="3" s="1"/>
  <c r="G16" i="3"/>
  <c r="G18" i="3" s="1"/>
  <c r="D16" i="3"/>
  <c r="H16" i="3"/>
  <c r="H18" i="3" s="1"/>
  <c r="E10" i="1"/>
  <c r="E12" i="1" s="1"/>
  <c r="E16" i="1"/>
  <c r="E18" i="1" s="1"/>
  <c r="F16" i="1"/>
  <c r="F18" i="1" s="1"/>
  <c r="J11" i="1"/>
  <c r="G10" i="1"/>
  <c r="H10" i="1"/>
  <c r="H12" i="1" s="1"/>
  <c r="J9" i="1"/>
  <c r="J8" i="1"/>
  <c r="F12" i="1"/>
  <c r="J7" i="1"/>
  <c r="D10" i="1"/>
  <c r="G16" i="1"/>
  <c r="D16" i="1"/>
  <c r="H16" i="2"/>
  <c r="G16" i="2"/>
  <c r="G10" i="2"/>
  <c r="G12" i="2" s="1"/>
  <c r="F10" i="2"/>
  <c r="F12" i="2" s="1"/>
  <c r="J7" i="2"/>
  <c r="J11" i="2"/>
  <c r="D12" i="2"/>
  <c r="J9" i="2"/>
  <c r="E10" i="2"/>
  <c r="E12" i="2" s="1"/>
  <c r="J8" i="2"/>
  <c r="D16" i="2"/>
  <c r="D18" i="2" s="1"/>
  <c r="H10" i="2"/>
  <c r="H12" i="2" s="1"/>
  <c r="F16" i="2"/>
  <c r="B20" i="3" l="1"/>
  <c r="B22" i="3" s="1"/>
  <c r="J10" i="3"/>
  <c r="J12" i="3" s="1"/>
  <c r="L12" i="3" s="1"/>
  <c r="P12" i="3" s="1"/>
  <c r="D12" i="3"/>
  <c r="D18" i="3"/>
  <c r="J18" i="3" s="1"/>
  <c r="B24" i="1"/>
  <c r="H18" i="1"/>
  <c r="G18" i="1"/>
  <c r="G12" i="1"/>
  <c r="B20" i="1"/>
  <c r="B22" i="1" s="1"/>
  <c r="J10" i="1"/>
  <c r="J12" i="1" s="1"/>
  <c r="L12" i="1" s="1"/>
  <c r="P12" i="1" s="1"/>
  <c r="D12" i="1"/>
  <c r="D18" i="1"/>
  <c r="G18" i="2"/>
  <c r="F18" i="2"/>
  <c r="H18" i="2"/>
  <c r="E18" i="2"/>
  <c r="J10" i="2"/>
  <c r="J12" i="2" s="1"/>
  <c r="B20" i="2"/>
  <c r="B22" i="2" s="1"/>
  <c r="B24" i="2"/>
  <c r="C33" i="3" l="1"/>
  <c r="D33" i="3" s="1"/>
  <c r="C36" i="3"/>
  <c r="D36" i="3" s="1"/>
  <c r="J18" i="1"/>
  <c r="C36" i="1" s="1"/>
  <c r="D36" i="1" s="1"/>
  <c r="J18" i="2"/>
  <c r="C36" i="2" s="1"/>
  <c r="D36" i="2" s="1"/>
  <c r="C33" i="1" l="1"/>
  <c r="D33" i="1" s="1"/>
  <c r="C33" i="2"/>
  <c r="D33" i="2" s="1"/>
  <c r="L12" i="2" l="1"/>
  <c r="P12" i="2" s="1"/>
</calcChain>
</file>

<file path=xl/sharedStrings.xml><?xml version="1.0" encoding="utf-8"?>
<sst xmlns="http://schemas.openxmlformats.org/spreadsheetml/2006/main" count="282" uniqueCount="65">
  <si>
    <t>Year 1</t>
  </si>
  <si>
    <t>Year 2</t>
  </si>
  <si>
    <t>Year 0</t>
  </si>
  <si>
    <t>Year 3</t>
  </si>
  <si>
    <t>Year 4</t>
  </si>
  <si>
    <t>Year 5</t>
  </si>
  <si>
    <t>NPV</t>
  </si>
  <si>
    <t>Opportunity cost - year 1 contribution foregone</t>
  </si>
  <si>
    <t>Capital Expenditure</t>
  </si>
  <si>
    <t>R&amp;D Materials and Overheads</t>
  </si>
  <si>
    <t>Sales Forecast</t>
  </si>
  <si>
    <t>Trading overheads (% of Sales)</t>
  </si>
  <si>
    <t xml:space="preserve">Cost of Sales (% of Sales) </t>
  </si>
  <si>
    <t>-</t>
  </si>
  <si>
    <t>Operating Cash Flows</t>
  </si>
  <si>
    <t>Depreciation of R&amp;D Capital Expenditure</t>
  </si>
  <si>
    <t>AVAWT Project Cashflows &amp; Profit</t>
  </si>
  <si>
    <t>Discount Rate (Cost of Capital)</t>
  </si>
  <si>
    <t>Discount Factor</t>
  </si>
  <si>
    <t>Discounted Operating Cash Flows = NPV</t>
  </si>
  <si>
    <t>Total</t>
  </si>
  <si>
    <t>Less initial Investment in Capital Equipment</t>
  </si>
  <si>
    <t>NPV using Excel (matches our calculation)</t>
  </si>
  <si>
    <t>Excel NPV Formula for Years 1-6 Operating Cash Flows</t>
  </si>
  <si>
    <t xml:space="preserve">Excel IRR Formula </t>
  </si>
  <si>
    <t>Average Annual Profit</t>
  </si>
  <si>
    <t>NOTES</t>
  </si>
  <si>
    <t>The initial capital expenditure relates to equipment which will be needed for the R&amp;D work</t>
  </si>
  <si>
    <t>Profitability Index (PI) = GPV of future cash flows/Initial Investment =</t>
  </si>
  <si>
    <t>Benefit-Cost Ratio (BCR) = NPV of future cash flows/Initial Investment =</t>
  </si>
  <si>
    <t>PI</t>
  </si>
  <si>
    <t>BCR</t>
  </si>
  <si>
    <t>PI &amp; BCR are useful for ranking projects when capital is to be rationed and when projects are divisible, they help to optimise overall returns</t>
  </si>
  <si>
    <t>Substituting 45.61% in our spreadsheet calculation NPV =</t>
  </si>
  <si>
    <r>
      <t>Gross Profit/</t>
    </r>
    <r>
      <rPr>
        <sz val="11"/>
        <color rgb="FFFF0000"/>
        <rFont val="Arial"/>
        <family val="2"/>
      </rPr>
      <t>(loss)</t>
    </r>
  </si>
  <si>
    <r>
      <t>Profit/</t>
    </r>
    <r>
      <rPr>
        <sz val="11"/>
        <color rgb="FFFF0000"/>
        <rFont val="Arial"/>
        <family val="2"/>
      </rPr>
      <t>(loss)</t>
    </r>
    <r>
      <rPr>
        <sz val="11"/>
        <color theme="1"/>
        <rFont val="Arial"/>
        <family val="2"/>
      </rPr>
      <t xml:space="preserve"> after Depreciation</t>
    </r>
  </si>
  <si>
    <t xml:space="preserve">    Conservative Sales</t>
  </si>
  <si>
    <t>CoS %</t>
  </si>
  <si>
    <t>CoC%</t>
  </si>
  <si>
    <t xml:space="preserve">    Initial Investment</t>
  </si>
  <si>
    <t>= ARR</t>
  </si>
  <si>
    <t>The R&amp;D Project is expected to be concluded within 12 months from the commencement date (Year 1)</t>
  </si>
  <si>
    <t>The R&amp;D expenditure in Year 1 is treated as a pre-production trading loss for the pupose of calculating the ARR</t>
  </si>
  <si>
    <t xml:space="preserve">  Conservative Sales</t>
  </si>
  <si>
    <t>Cost of Sales %</t>
  </si>
  <si>
    <t>Trading Overheads %</t>
  </si>
  <si>
    <t>Discount Rate %</t>
  </si>
  <si>
    <t>Sales Level Year 2</t>
  </si>
  <si>
    <t>Sales Level Year 3</t>
  </si>
  <si>
    <t>Sales Level Year 4</t>
  </si>
  <si>
    <t>Sales Level Year 5</t>
  </si>
  <si>
    <t>Capital Expenditure Year 0</t>
  </si>
  <si>
    <t xml:space="preserve">Opportunity Cost Year 1 </t>
  </si>
  <si>
    <t>R&amp;D Materials and Overheads Year 1</t>
  </si>
  <si>
    <t>Control</t>
  </si>
  <si>
    <t>Net Present Value (NPV)</t>
  </si>
  <si>
    <t>Internal Rate of Return (IRR)</t>
  </si>
  <si>
    <t>Accounting Rate of Return</t>
  </si>
  <si>
    <t>Profitability Index</t>
  </si>
  <si>
    <t>Benefit Cost Ratio</t>
  </si>
  <si>
    <t>Scenario 1</t>
  </si>
  <si>
    <t>Scenario 5</t>
  </si>
  <si>
    <t>Scenario 3</t>
  </si>
  <si>
    <t>Scenario 2</t>
  </si>
  <si>
    <t>Scenario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</si>
</sst>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£&quot;#,##0;[Red]\-&quot;£&quot;#,##0"/>
    <numFmt numFmtId="8" formatCode="&quot;£&quot;#,##0.00;[Red]\-&quot;£&quot;#,##0.00"/>
    <numFmt numFmtId="166" formatCode="&quot;£&quot;#,##0"/>
    <numFmt numFmtId="167" formatCode="0.000%"/>
    <numFmt numFmtId="168" formatCode="&quot;£&quot;#,##0;[Red]&quot;£&quot;#,##0"/>
    <numFmt numFmtId="169" formatCode="&quot;£&quot;#,##0.0000;[Red]&quot;£&quot;#,##0.0000"/>
    <numFmt numFmtId="170" formatCode="[$£-452]#,##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6" fontId="3" fillId="0" borderId="0" xfId="0" applyNumberFormat="1" applyFont="1"/>
    <xf numFmtId="6" fontId="3" fillId="2" borderId="5" xfId="0" applyNumberFormat="1" applyFont="1" applyFill="1" applyBorder="1"/>
    <xf numFmtId="6" fontId="3" fillId="0" borderId="5" xfId="0" applyNumberFormat="1" applyFont="1" applyBorder="1" applyAlignment="1">
      <alignment horizontal="center"/>
    </xf>
    <xf numFmtId="6" fontId="3" fillId="2" borderId="0" xfId="0" applyNumberFormat="1" applyFont="1" applyFill="1"/>
    <xf numFmtId="6" fontId="3" fillId="0" borderId="20" xfId="0" applyNumberFormat="1" applyFont="1" applyBorder="1" applyAlignment="1">
      <alignment horizontal="right"/>
    </xf>
    <xf numFmtId="168" fontId="3" fillId="0" borderId="2" xfId="0" applyNumberFormat="1" applyFont="1" applyBorder="1"/>
    <xf numFmtId="168" fontId="3" fillId="0" borderId="0" xfId="0" applyNumberFormat="1" applyFont="1"/>
    <xf numFmtId="6" fontId="3" fillId="0" borderId="6" xfId="0" applyNumberFormat="1" applyFont="1" applyBorder="1" applyAlignment="1">
      <alignment horizontal="center"/>
    </xf>
    <xf numFmtId="6" fontId="3" fillId="0" borderId="20" xfId="0" applyNumberFormat="1" applyFont="1" applyBorder="1"/>
    <xf numFmtId="169" fontId="3" fillId="0" borderId="0" xfId="0" applyNumberFormat="1" applyFont="1"/>
    <xf numFmtId="0" fontId="3" fillId="0" borderId="8" xfId="0" applyFont="1" applyBorder="1" applyAlignment="1">
      <alignment horizontal="center"/>
    </xf>
    <xf numFmtId="6" fontId="3" fillId="0" borderId="0" xfId="0" applyNumberFormat="1" applyFont="1" applyAlignment="1">
      <alignment horizontal="right"/>
    </xf>
    <xf numFmtId="6" fontId="3" fillId="0" borderId="9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6" fontId="3" fillId="0" borderId="10" xfId="0" applyNumberFormat="1" applyFont="1" applyBorder="1"/>
    <xf numFmtId="168" fontId="3" fillId="0" borderId="3" xfId="0" applyNumberFormat="1" applyFont="1" applyBorder="1"/>
    <xf numFmtId="6" fontId="3" fillId="0" borderId="3" xfId="0" applyNumberFormat="1" applyFont="1" applyBorder="1"/>
    <xf numFmtId="10" fontId="3" fillId="0" borderId="0" xfId="0" applyNumberFormat="1" applyFont="1"/>
    <xf numFmtId="10" fontId="3" fillId="2" borderId="0" xfId="0" applyNumberFormat="1" applyFont="1" applyFill="1" applyAlignment="1">
      <alignment horizontal="center"/>
    </xf>
    <xf numFmtId="9" fontId="3" fillId="0" borderId="0" xfId="0" applyNumberFormat="1" applyFont="1" applyAlignment="1">
      <alignment horizontal="center"/>
    </xf>
    <xf numFmtId="6" fontId="3" fillId="0" borderId="11" xfId="0" applyNumberFormat="1" applyFont="1" applyBorder="1"/>
    <xf numFmtId="8" fontId="3" fillId="3" borderId="12" xfId="0" applyNumberFormat="1" applyFont="1" applyFill="1" applyBorder="1"/>
    <xf numFmtId="6" fontId="3" fillId="3" borderId="13" xfId="0" applyNumberFormat="1" applyFont="1" applyFill="1" applyBorder="1" applyAlignment="1">
      <alignment horizontal="center"/>
    </xf>
    <xf numFmtId="0" fontId="3" fillId="3" borderId="14" xfId="0" applyFont="1" applyFill="1" applyBorder="1"/>
    <xf numFmtId="6" fontId="3" fillId="3" borderId="15" xfId="0" applyNumberFormat="1" applyFont="1" applyFill="1" applyBorder="1" applyAlignment="1">
      <alignment horizontal="center"/>
    </xf>
    <xf numFmtId="0" fontId="3" fillId="3" borderId="16" xfId="0" applyFont="1" applyFill="1" applyBorder="1"/>
    <xf numFmtId="6" fontId="3" fillId="3" borderId="17" xfId="0" applyNumberFormat="1" applyFont="1" applyFill="1" applyBorder="1" applyAlignment="1">
      <alignment horizontal="center"/>
    </xf>
    <xf numFmtId="2" fontId="3" fillId="3" borderId="18" xfId="0" applyNumberFormat="1" applyFont="1" applyFill="1" applyBorder="1"/>
    <xf numFmtId="10" fontId="3" fillId="3" borderId="19" xfId="0" applyNumberFormat="1" applyFont="1" applyFill="1" applyBorder="1" applyAlignment="1">
      <alignment horizontal="center"/>
    </xf>
    <xf numFmtId="0" fontId="3" fillId="0" borderId="18" xfId="0" applyFont="1" applyBorder="1"/>
    <xf numFmtId="6" fontId="3" fillId="0" borderId="19" xfId="0" applyNumberFormat="1" applyFont="1" applyBorder="1" applyAlignment="1">
      <alignment horizontal="center"/>
    </xf>
    <xf numFmtId="2" fontId="3" fillId="0" borderId="0" xfId="0" applyNumberFormat="1" applyFont="1"/>
    <xf numFmtId="6" fontId="3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3" fillId="0" borderId="0" xfId="0" quotePrefix="1" applyFont="1"/>
    <xf numFmtId="0" fontId="4" fillId="0" borderId="0" xfId="0" applyFont="1"/>
    <xf numFmtId="0" fontId="6" fillId="0" borderId="0" xfId="0" applyFont="1"/>
    <xf numFmtId="9" fontId="3" fillId="0" borderId="1" xfId="0" applyNumberFormat="1" applyFont="1" applyBorder="1" applyAlignment="1">
      <alignment horizontal="center"/>
    </xf>
    <xf numFmtId="6" fontId="3" fillId="0" borderId="1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0" fontId="3" fillId="4" borderId="0" xfId="0" applyFont="1" applyFill="1"/>
    <xf numFmtId="0" fontId="3" fillId="4" borderId="0" xfId="0" applyFont="1" applyFill="1" applyAlignment="1">
      <alignment horizontal="center"/>
    </xf>
    <xf numFmtId="6" fontId="3" fillId="4" borderId="9" xfId="0" applyNumberFormat="1" applyFont="1" applyFill="1" applyBorder="1"/>
    <xf numFmtId="2" fontId="3" fillId="4" borderId="0" xfId="0" applyNumberFormat="1" applyFont="1" applyFill="1"/>
    <xf numFmtId="6" fontId="3" fillId="4" borderId="0" xfId="0" applyNumberFormat="1" applyFont="1" applyFill="1"/>
    <xf numFmtId="0" fontId="3" fillId="5" borderId="0" xfId="0" applyFont="1" applyFill="1"/>
    <xf numFmtId="0" fontId="3" fillId="5" borderId="0" xfId="0" applyFont="1" applyFill="1" applyAlignment="1">
      <alignment horizontal="center"/>
    </xf>
    <xf numFmtId="6" fontId="3" fillId="5" borderId="9" xfId="0" applyNumberFormat="1" applyFont="1" applyFill="1" applyBorder="1"/>
    <xf numFmtId="2" fontId="3" fillId="5" borderId="0" xfId="0" applyNumberFormat="1" applyFont="1" applyFill="1"/>
    <xf numFmtId="6" fontId="3" fillId="5" borderId="0" xfId="0" applyNumberFormat="1" applyFont="1" applyFill="1"/>
    <xf numFmtId="9" fontId="3" fillId="2" borderId="1" xfId="0" applyNumberFormat="1" applyFont="1" applyFill="1" applyBorder="1" applyAlignment="1">
      <alignment horizontal="center"/>
    </xf>
    <xf numFmtId="6" fontId="3" fillId="2" borderId="1" xfId="0" applyNumberFormat="1" applyFont="1" applyFill="1" applyBorder="1" applyAlignment="1">
      <alignment horizontal="center"/>
    </xf>
    <xf numFmtId="10" fontId="3" fillId="2" borderId="1" xfId="0" applyNumberFormat="1" applyFont="1" applyFill="1" applyBorder="1" applyAlignment="1">
      <alignment horizontal="center"/>
    </xf>
    <xf numFmtId="170" fontId="3" fillId="2" borderId="1" xfId="0" applyNumberFormat="1" applyFont="1" applyFill="1" applyBorder="1" applyAlignment="1">
      <alignment horizontal="center"/>
    </xf>
    <xf numFmtId="6" fontId="3" fillId="6" borderId="1" xfId="0" applyNumberFormat="1" applyFont="1" applyFill="1" applyBorder="1" applyAlignment="1">
      <alignment horizontal="center"/>
    </xf>
    <xf numFmtId="6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0" fontId="3" fillId="7" borderId="1" xfId="0" applyNumberFormat="1" applyFont="1" applyFill="1" applyBorder="1" applyAlignment="1">
      <alignment horizontal="center"/>
    </xf>
    <xf numFmtId="9" fontId="3" fillId="7" borderId="1" xfId="0" applyNumberFormat="1" applyFont="1" applyFill="1" applyBorder="1" applyAlignment="1">
      <alignment horizontal="center"/>
    </xf>
    <xf numFmtId="10" fontId="3" fillId="8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NPV &amp;</a:t>
            </a:r>
            <a:r>
              <a:rPr lang="en-US" baseline="0"/>
              <a:t> </a:t>
            </a:r>
            <a:r>
              <a:rPr lang="en-US"/>
              <a:t>CoS%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 Conservative Sales Estimate'!$O$29</c:f>
              <c:strCache>
                <c:ptCount val="1"/>
                <c:pt idx="0">
                  <c:v>CoS 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 Conservative Sales Estimate'!$O$30:$O$35</c:f>
              <c:numCache>
                <c:formatCode>0%</c:formatCode>
                <c:ptCount val="6"/>
                <c:pt idx="0">
                  <c:v>0.54</c:v>
                </c:pt>
                <c:pt idx="1">
                  <c:v>0.57999999999999996</c:v>
                </c:pt>
                <c:pt idx="2">
                  <c:v>0.62</c:v>
                </c:pt>
                <c:pt idx="3">
                  <c:v>0.66</c:v>
                </c:pt>
                <c:pt idx="4">
                  <c:v>0.7</c:v>
                </c:pt>
                <c:pt idx="5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EA-4862-A7F6-B6AEB084F16A}"/>
            </c:ext>
          </c:extLst>
        </c:ser>
        <c:ser>
          <c:idx val="1"/>
          <c:order val="1"/>
          <c:tx>
            <c:strRef>
              <c:f>' Conservative Sales Estimate'!$P$29</c:f>
              <c:strCache>
                <c:ptCount val="1"/>
                <c:pt idx="0">
                  <c:v>NPV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 Conservative Sales Estimate'!$P$30:$P$35</c:f>
              <c:numCache>
                <c:formatCode>"£"#,##0_);[Red]\("£"#,##0\)</c:formatCode>
                <c:ptCount val="6"/>
                <c:pt idx="0">
                  <c:v>88566</c:v>
                </c:pt>
                <c:pt idx="1">
                  <c:v>68457</c:v>
                </c:pt>
                <c:pt idx="2">
                  <c:v>48348</c:v>
                </c:pt>
                <c:pt idx="3">
                  <c:v>28239</c:v>
                </c:pt>
                <c:pt idx="4">
                  <c:v>8131</c:v>
                </c:pt>
                <c:pt idx="5">
                  <c:v>-11978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EA-4862-A7F6-B6AEB084F16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137675487"/>
        <c:axId val="176576975"/>
      </c:lineChart>
      <c:catAx>
        <c:axId val="11376754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576975"/>
        <c:crosses val="autoZero"/>
        <c:auto val="1"/>
        <c:lblAlgn val="ctr"/>
        <c:lblOffset val="100"/>
        <c:noMultiLvlLbl val="0"/>
      </c:catAx>
      <c:valAx>
        <c:axId val="176576975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crossAx val="11376754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NPV v CoC%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 Conservative Sales Estimate'!$L$29</c:f>
              <c:strCache>
                <c:ptCount val="1"/>
                <c:pt idx="0">
                  <c:v>CoC%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 Conservative Sales Estimate'!$L$30:$L$38</c:f>
              <c:numCache>
                <c:formatCode>0%</c:formatCode>
                <c:ptCount val="9"/>
                <c:pt idx="0">
                  <c:v>0.16</c:v>
                </c:pt>
                <c:pt idx="1">
                  <c:v>0.2</c:v>
                </c:pt>
                <c:pt idx="2">
                  <c:v>0.24</c:v>
                </c:pt>
                <c:pt idx="3">
                  <c:v>0.28000000000000003</c:v>
                </c:pt>
                <c:pt idx="4">
                  <c:v>0.32</c:v>
                </c:pt>
                <c:pt idx="5">
                  <c:v>0.36</c:v>
                </c:pt>
                <c:pt idx="6">
                  <c:v>0.4</c:v>
                </c:pt>
                <c:pt idx="7">
                  <c:v>0.44</c:v>
                </c:pt>
                <c:pt idx="8" formatCode="0.000%">
                  <c:v>0.45612999999999998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2B-43B5-B7C2-E7037A35AD4C}"/>
            </c:ext>
          </c:extLst>
        </c:ser>
        <c:ser>
          <c:idx val="1"/>
          <c:order val="1"/>
          <c:tx>
            <c:strRef>
              <c:f>' Conservative Sales Estimate'!$M$29</c:f>
              <c:strCache>
                <c:ptCount val="1"/>
                <c:pt idx="0">
                  <c:v>NPV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 Conservative Sales Estimate'!$M$30:$M$38</c:f>
              <c:numCache>
                <c:formatCode>"£"#,##0_);[Red]\("£"#,##0\)</c:formatCode>
                <c:ptCount val="9"/>
                <c:pt idx="0">
                  <c:v>88566</c:v>
                </c:pt>
                <c:pt idx="1">
                  <c:v>68959</c:v>
                </c:pt>
                <c:pt idx="2">
                  <c:v>52638</c:v>
                </c:pt>
                <c:pt idx="3">
                  <c:v>38978</c:v>
                </c:pt>
                <c:pt idx="4">
                  <c:v>27488</c:v>
                </c:pt>
                <c:pt idx="5">
                  <c:v>17782</c:v>
                </c:pt>
                <c:pt idx="6">
                  <c:v>9544</c:v>
                </c:pt>
                <c:pt idx="7">
                  <c:v>2532</c:v>
                </c:pt>
                <c:pt idx="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2B-43B5-B7C2-E7037A35A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714384"/>
        <c:axId val="144709584"/>
      </c:lineChart>
      <c:catAx>
        <c:axId val="144714384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709584"/>
        <c:crosses val="autoZero"/>
        <c:auto val="1"/>
        <c:lblAlgn val="ctr"/>
        <c:lblOffset val="100"/>
        <c:noMultiLvlLbl val="0"/>
      </c:catAx>
      <c:valAx>
        <c:axId val="14470958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crossAx val="1447143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NPV &amp;</a:t>
            </a:r>
            <a:r>
              <a:rPr lang="en-US" baseline="0"/>
              <a:t> </a:t>
            </a:r>
            <a:r>
              <a:rPr lang="en-US"/>
              <a:t>CoS%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 Conservative Sales Estimate'!$O$29</c:f>
              <c:strCache>
                <c:ptCount val="1"/>
                <c:pt idx="0">
                  <c:v>CoS 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 Conservative Sales Estimate'!$O$30:$O$35</c:f>
              <c:numCache>
                <c:formatCode>0%</c:formatCode>
                <c:ptCount val="6"/>
                <c:pt idx="0">
                  <c:v>0.54</c:v>
                </c:pt>
                <c:pt idx="1">
                  <c:v>0.57999999999999996</c:v>
                </c:pt>
                <c:pt idx="2">
                  <c:v>0.62</c:v>
                </c:pt>
                <c:pt idx="3">
                  <c:v>0.66</c:v>
                </c:pt>
                <c:pt idx="4">
                  <c:v>0.7</c:v>
                </c:pt>
                <c:pt idx="5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C3-44FD-99A9-5085DB03ABB9}"/>
            </c:ext>
          </c:extLst>
        </c:ser>
        <c:ser>
          <c:idx val="1"/>
          <c:order val="1"/>
          <c:tx>
            <c:strRef>
              <c:f>' Conservative Sales Estimate'!$P$29</c:f>
              <c:strCache>
                <c:ptCount val="1"/>
                <c:pt idx="0">
                  <c:v>NPV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 Conservative Sales Estimate'!$P$30:$P$35</c:f>
              <c:numCache>
                <c:formatCode>"£"#,##0_);[Red]\("£"#,##0\)</c:formatCode>
                <c:ptCount val="6"/>
                <c:pt idx="0">
                  <c:v>88566</c:v>
                </c:pt>
                <c:pt idx="1">
                  <c:v>68457</c:v>
                </c:pt>
                <c:pt idx="2">
                  <c:v>48348</c:v>
                </c:pt>
                <c:pt idx="3">
                  <c:v>28239</c:v>
                </c:pt>
                <c:pt idx="4">
                  <c:v>8131</c:v>
                </c:pt>
                <c:pt idx="5">
                  <c:v>-11978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C3-44FD-99A9-5085DB03ABB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137675487"/>
        <c:axId val="176576975"/>
      </c:lineChart>
      <c:catAx>
        <c:axId val="11376754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576975"/>
        <c:crosses val="autoZero"/>
        <c:auto val="1"/>
        <c:lblAlgn val="ctr"/>
        <c:lblOffset val="100"/>
        <c:noMultiLvlLbl val="0"/>
      </c:catAx>
      <c:valAx>
        <c:axId val="176576975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crossAx val="11376754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NPV v CoC%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 Conservative Sales Estimate'!$L$29</c:f>
              <c:strCache>
                <c:ptCount val="1"/>
                <c:pt idx="0">
                  <c:v>CoC%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 Conservative Sales Estimate'!$L$30:$L$38</c:f>
              <c:numCache>
                <c:formatCode>0%</c:formatCode>
                <c:ptCount val="9"/>
                <c:pt idx="0">
                  <c:v>0.16</c:v>
                </c:pt>
                <c:pt idx="1">
                  <c:v>0.2</c:v>
                </c:pt>
                <c:pt idx="2">
                  <c:v>0.24</c:v>
                </c:pt>
                <c:pt idx="3">
                  <c:v>0.28000000000000003</c:v>
                </c:pt>
                <c:pt idx="4">
                  <c:v>0.32</c:v>
                </c:pt>
                <c:pt idx="5">
                  <c:v>0.36</c:v>
                </c:pt>
                <c:pt idx="6">
                  <c:v>0.4</c:v>
                </c:pt>
                <c:pt idx="7">
                  <c:v>0.44</c:v>
                </c:pt>
                <c:pt idx="8" formatCode="0.000%">
                  <c:v>0.45612999999999998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2D-43CD-BF0F-692C7813B68E}"/>
            </c:ext>
          </c:extLst>
        </c:ser>
        <c:ser>
          <c:idx val="1"/>
          <c:order val="1"/>
          <c:tx>
            <c:strRef>
              <c:f>' Conservative Sales Estimate'!$M$29</c:f>
              <c:strCache>
                <c:ptCount val="1"/>
                <c:pt idx="0">
                  <c:v>NPV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 Conservative Sales Estimate'!$M$30:$M$38</c:f>
              <c:numCache>
                <c:formatCode>"£"#,##0_);[Red]\("£"#,##0\)</c:formatCode>
                <c:ptCount val="9"/>
                <c:pt idx="0">
                  <c:v>88566</c:v>
                </c:pt>
                <c:pt idx="1">
                  <c:v>68959</c:v>
                </c:pt>
                <c:pt idx="2">
                  <c:v>52638</c:v>
                </c:pt>
                <c:pt idx="3">
                  <c:v>38978</c:v>
                </c:pt>
                <c:pt idx="4">
                  <c:v>27488</c:v>
                </c:pt>
                <c:pt idx="5">
                  <c:v>17782</c:v>
                </c:pt>
                <c:pt idx="6">
                  <c:v>9544</c:v>
                </c:pt>
                <c:pt idx="7">
                  <c:v>2532</c:v>
                </c:pt>
                <c:pt idx="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2D-43CD-BF0F-692C7813B6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714384"/>
        <c:axId val="144709584"/>
      </c:lineChart>
      <c:catAx>
        <c:axId val="144714384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709584"/>
        <c:crosses val="autoZero"/>
        <c:auto val="1"/>
        <c:lblAlgn val="ctr"/>
        <c:lblOffset val="100"/>
        <c:noMultiLvlLbl val="0"/>
      </c:catAx>
      <c:valAx>
        <c:axId val="14470958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crossAx val="1447143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NPV &amp;</a:t>
            </a:r>
            <a:r>
              <a:rPr lang="en-US" baseline="0"/>
              <a:t> </a:t>
            </a:r>
            <a:r>
              <a:rPr lang="en-US"/>
              <a:t>CoS%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 Conservative Sales Estimate'!$O$29</c:f>
              <c:strCache>
                <c:ptCount val="1"/>
                <c:pt idx="0">
                  <c:v>CoS 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 Conservative Sales Estimate'!$O$30:$O$35</c:f>
              <c:numCache>
                <c:formatCode>0%</c:formatCode>
                <c:ptCount val="6"/>
                <c:pt idx="0">
                  <c:v>0.54</c:v>
                </c:pt>
                <c:pt idx="1">
                  <c:v>0.57999999999999996</c:v>
                </c:pt>
                <c:pt idx="2">
                  <c:v>0.62</c:v>
                </c:pt>
                <c:pt idx="3">
                  <c:v>0.66</c:v>
                </c:pt>
                <c:pt idx="4">
                  <c:v>0.7</c:v>
                </c:pt>
                <c:pt idx="5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87-480D-AA77-42A4E1BE40B2}"/>
            </c:ext>
          </c:extLst>
        </c:ser>
        <c:ser>
          <c:idx val="1"/>
          <c:order val="1"/>
          <c:tx>
            <c:strRef>
              <c:f>' Conservative Sales Estimate'!$P$29</c:f>
              <c:strCache>
                <c:ptCount val="1"/>
                <c:pt idx="0">
                  <c:v>NPV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 Conservative Sales Estimate'!$P$30:$P$35</c:f>
              <c:numCache>
                <c:formatCode>"£"#,##0_);[Red]\("£"#,##0\)</c:formatCode>
                <c:ptCount val="6"/>
                <c:pt idx="0">
                  <c:v>88566</c:v>
                </c:pt>
                <c:pt idx="1">
                  <c:v>68457</c:v>
                </c:pt>
                <c:pt idx="2">
                  <c:v>48348</c:v>
                </c:pt>
                <c:pt idx="3">
                  <c:v>28239</c:v>
                </c:pt>
                <c:pt idx="4">
                  <c:v>8131</c:v>
                </c:pt>
                <c:pt idx="5">
                  <c:v>-11978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87-480D-AA77-42A4E1BE40B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137675487"/>
        <c:axId val="176576975"/>
      </c:lineChart>
      <c:catAx>
        <c:axId val="11376754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576975"/>
        <c:crosses val="autoZero"/>
        <c:auto val="1"/>
        <c:lblAlgn val="ctr"/>
        <c:lblOffset val="100"/>
        <c:noMultiLvlLbl val="0"/>
      </c:catAx>
      <c:valAx>
        <c:axId val="176576975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crossAx val="11376754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NPV v CoC%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 Conservative Sales Estimate'!$L$29</c:f>
              <c:strCache>
                <c:ptCount val="1"/>
                <c:pt idx="0">
                  <c:v>CoC%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 Conservative Sales Estimate'!$L$30:$L$38</c:f>
              <c:numCache>
                <c:formatCode>0%</c:formatCode>
                <c:ptCount val="9"/>
                <c:pt idx="0">
                  <c:v>0.16</c:v>
                </c:pt>
                <c:pt idx="1">
                  <c:v>0.2</c:v>
                </c:pt>
                <c:pt idx="2">
                  <c:v>0.24</c:v>
                </c:pt>
                <c:pt idx="3">
                  <c:v>0.28000000000000003</c:v>
                </c:pt>
                <c:pt idx="4">
                  <c:v>0.32</c:v>
                </c:pt>
                <c:pt idx="5">
                  <c:v>0.36</c:v>
                </c:pt>
                <c:pt idx="6">
                  <c:v>0.4</c:v>
                </c:pt>
                <c:pt idx="7">
                  <c:v>0.44</c:v>
                </c:pt>
                <c:pt idx="8" formatCode="0.000%">
                  <c:v>0.45612999999999998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55-4E3A-9082-3E0956DFA303}"/>
            </c:ext>
          </c:extLst>
        </c:ser>
        <c:ser>
          <c:idx val="1"/>
          <c:order val="1"/>
          <c:tx>
            <c:strRef>
              <c:f>' Conservative Sales Estimate'!$M$29</c:f>
              <c:strCache>
                <c:ptCount val="1"/>
                <c:pt idx="0">
                  <c:v>NPV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 Conservative Sales Estimate'!$M$30:$M$38</c:f>
              <c:numCache>
                <c:formatCode>"£"#,##0_);[Red]\("£"#,##0\)</c:formatCode>
                <c:ptCount val="9"/>
                <c:pt idx="0">
                  <c:v>88566</c:v>
                </c:pt>
                <c:pt idx="1">
                  <c:v>68959</c:v>
                </c:pt>
                <c:pt idx="2">
                  <c:v>52638</c:v>
                </c:pt>
                <c:pt idx="3">
                  <c:v>38978</c:v>
                </c:pt>
                <c:pt idx="4">
                  <c:v>27488</c:v>
                </c:pt>
                <c:pt idx="5">
                  <c:v>17782</c:v>
                </c:pt>
                <c:pt idx="6">
                  <c:v>9544</c:v>
                </c:pt>
                <c:pt idx="7">
                  <c:v>2532</c:v>
                </c:pt>
                <c:pt idx="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55-4E3A-9082-3E0956DFA3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714384"/>
        <c:axId val="144709584"/>
      </c:lineChart>
      <c:catAx>
        <c:axId val="144714384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709584"/>
        <c:crosses val="autoZero"/>
        <c:auto val="1"/>
        <c:lblAlgn val="ctr"/>
        <c:lblOffset val="100"/>
        <c:noMultiLvlLbl val="0"/>
      </c:catAx>
      <c:valAx>
        <c:axId val="14470958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crossAx val="1447143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452437</xdr:colOff>
      <xdr:row>40</xdr:row>
      <xdr:rowOff>57150</xdr:rowOff>
    </xdr:from>
    <xdr:to>
      <xdr:col>2</xdr:col>
      <xdr:colOff>328612</xdr:colOff>
      <xdr:row>55</xdr:row>
      <xdr:rowOff>85725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36C5B108-FE5D-E953-81B6-6F70A5FE2B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40</xdr:row>
      <xdr:rowOff>57150</xdr:rowOff>
    </xdr:from>
    <xdr:to>
      <xdr:col>10</xdr:col>
      <xdr:colOff>85725</xdr:colOff>
      <xdr:row>55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5C12222-0F02-2588-FC5A-42EA7C1E4B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452437</xdr:colOff>
      <xdr:row>40</xdr:row>
      <xdr:rowOff>57150</xdr:rowOff>
    </xdr:from>
    <xdr:to>
      <xdr:col>2</xdr:col>
      <xdr:colOff>328612</xdr:colOff>
      <xdr:row>55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2FF25EC-C5AA-43AA-AE0D-0EF742465F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40</xdr:row>
      <xdr:rowOff>57150</xdr:rowOff>
    </xdr:from>
    <xdr:to>
      <xdr:col>10</xdr:col>
      <xdr:colOff>85725</xdr:colOff>
      <xdr:row>55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4507CED-4036-4CEE-BD7F-54F7823FAA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452437</xdr:colOff>
      <xdr:row>40</xdr:row>
      <xdr:rowOff>57150</xdr:rowOff>
    </xdr:from>
    <xdr:to>
      <xdr:col>2</xdr:col>
      <xdr:colOff>328612</xdr:colOff>
      <xdr:row>55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6633C5-33CC-419E-8B98-4E0ACA01DA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40</xdr:row>
      <xdr:rowOff>57150</xdr:rowOff>
    </xdr:from>
    <xdr:to>
      <xdr:col>10</xdr:col>
      <xdr:colOff>85725</xdr:colOff>
      <xdr:row>55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E6CD6E1-44AD-40A1-ADBD-25CB56737D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76FB-3E6D-43B0-8ED9-B45DC8611916}">
  <dimension ref="A1:P74"/>
  <sheetViews>
    <sheetView tabSelected="1" zoomScaleNormal="100" workbookViewId="0">
      <selection activeCell="E23" sqref="E23"/>
    </sheetView>
  </sheetViews>
  <sheetFormatPr defaultRowHeight="14.25" x14ac:dyDescent="0.2"/>
  <cols>
    <col min="1" max="1" width="57" style="5" customWidth="1"/>
    <col min="2" max="2" width="10.7109375" style="2" customWidth="1"/>
    <col min="3" max="3" width="10.7109375" style="5" bestFit="1" customWidth="1"/>
    <col min="4" max="4" width="11" style="5" bestFit="1" customWidth="1"/>
    <col min="5" max="5" width="10.140625" style="5" bestFit="1" customWidth="1"/>
    <col min="6" max="6" width="10.7109375" style="5" bestFit="1" customWidth="1"/>
    <col min="7" max="8" width="11.42578125" style="5" bestFit="1" customWidth="1"/>
    <col min="9" max="9" width="2.28515625" style="5" customWidth="1"/>
    <col min="10" max="10" width="10.28515625" style="5" bestFit="1" customWidth="1"/>
    <col min="11" max="11" width="2.42578125" style="5" customWidth="1"/>
    <col min="12" max="12" width="9.85546875" style="5" customWidth="1"/>
    <col min="13" max="13" width="12.42578125" style="5" customWidth="1"/>
    <col min="14" max="14" width="9.42578125" style="5" customWidth="1"/>
    <col min="15" max="15" width="8.85546875" style="5" customWidth="1"/>
    <col min="16" max="16" width="11.28515625" style="5" customWidth="1"/>
    <col min="17" max="16384" width="9.140625" style="5"/>
  </cols>
  <sheetData>
    <row r="1" spans="1:16" ht="18" x14ac:dyDescent="0.25">
      <c r="A1" s="1" t="s">
        <v>16</v>
      </c>
      <c r="C1" s="3" t="s">
        <v>2</v>
      </c>
      <c r="D1" s="4" t="s">
        <v>0</v>
      </c>
      <c r="E1" s="4" t="s">
        <v>1</v>
      </c>
      <c r="F1" s="4" t="s">
        <v>3</v>
      </c>
      <c r="G1" s="4" t="s">
        <v>4</v>
      </c>
      <c r="H1" s="4" t="s">
        <v>5</v>
      </c>
      <c r="J1" s="4" t="s">
        <v>20</v>
      </c>
    </row>
    <row r="2" spans="1:16" x14ac:dyDescent="0.2">
      <c r="C2" s="6"/>
    </row>
    <row r="3" spans="1:16" x14ac:dyDescent="0.2">
      <c r="A3" s="5" t="s">
        <v>7</v>
      </c>
      <c r="C3" s="7" t="s">
        <v>13</v>
      </c>
      <c r="D3" s="11">
        <v>-72000</v>
      </c>
      <c r="E3" s="2" t="s">
        <v>13</v>
      </c>
      <c r="F3" s="2" t="s">
        <v>13</v>
      </c>
      <c r="G3" s="2" t="s">
        <v>13</v>
      </c>
      <c r="H3" s="2" t="s">
        <v>13</v>
      </c>
      <c r="J3" s="8">
        <f>SUM(D3:I3)</f>
        <v>-72000</v>
      </c>
    </row>
    <row r="4" spans="1:16" x14ac:dyDescent="0.2">
      <c r="A4" s="5" t="s">
        <v>8</v>
      </c>
      <c r="C4" s="9">
        <v>-20000</v>
      </c>
      <c r="D4" s="2" t="s">
        <v>13</v>
      </c>
      <c r="E4" s="2" t="s">
        <v>13</v>
      </c>
      <c r="F4" s="2" t="s">
        <v>13</v>
      </c>
      <c r="G4" s="2" t="s">
        <v>13</v>
      </c>
      <c r="H4" s="2" t="s">
        <v>13</v>
      </c>
      <c r="J4" s="2" t="s">
        <v>13</v>
      </c>
    </row>
    <row r="5" spans="1:16" x14ac:dyDescent="0.2">
      <c r="A5" s="5" t="s">
        <v>9</v>
      </c>
      <c r="C5" s="10" t="s">
        <v>13</v>
      </c>
      <c r="D5" s="11">
        <v>-12000</v>
      </c>
      <c r="E5" s="2" t="s">
        <v>13</v>
      </c>
      <c r="F5" s="2" t="s">
        <v>13</v>
      </c>
      <c r="G5" s="2" t="s">
        <v>13</v>
      </c>
      <c r="H5" s="2" t="s">
        <v>13</v>
      </c>
      <c r="J5" s="8">
        <f>SUM(D5:I5)</f>
        <v>-12000</v>
      </c>
    </row>
    <row r="6" spans="1:16" x14ac:dyDescent="0.2">
      <c r="A6" s="5" t="s">
        <v>10</v>
      </c>
      <c r="C6" s="7" t="s">
        <v>13</v>
      </c>
      <c r="D6" s="2" t="s">
        <v>13</v>
      </c>
      <c r="E6" s="11">
        <v>90000</v>
      </c>
      <c r="F6" s="11">
        <v>180000</v>
      </c>
      <c r="G6" s="11">
        <v>270000</v>
      </c>
      <c r="H6" s="11">
        <v>360000</v>
      </c>
      <c r="J6" s="8">
        <f t="shared" ref="J6:J7" si="0">SUM(D6:I6)</f>
        <v>900000</v>
      </c>
    </row>
    <row r="7" spans="1:16" x14ac:dyDescent="0.2">
      <c r="A7" s="5" t="s">
        <v>12</v>
      </c>
      <c r="B7" s="26">
        <v>0.54</v>
      </c>
      <c r="C7" s="7" t="s">
        <v>13</v>
      </c>
      <c r="D7" s="2" t="s">
        <v>13</v>
      </c>
      <c r="E7" s="8">
        <f>-E6*$B$7</f>
        <v>-48600</v>
      </c>
      <c r="F7" s="8">
        <f t="shared" ref="F7:H7" si="1">-F6*$B$7</f>
        <v>-97200</v>
      </c>
      <c r="G7" s="8">
        <f t="shared" si="1"/>
        <v>-145800</v>
      </c>
      <c r="H7" s="8">
        <f t="shared" si="1"/>
        <v>-194400</v>
      </c>
      <c r="J7" s="8">
        <f t="shared" si="0"/>
        <v>-486000</v>
      </c>
    </row>
    <row r="8" spans="1:16" x14ac:dyDescent="0.2">
      <c r="A8" s="5" t="s">
        <v>34</v>
      </c>
      <c r="C8" s="7" t="s">
        <v>13</v>
      </c>
      <c r="D8" s="12">
        <f>+D5+D3</f>
        <v>-84000</v>
      </c>
      <c r="E8" s="13">
        <f>+E6+E7</f>
        <v>41400</v>
      </c>
      <c r="F8" s="13">
        <f t="shared" ref="F8:H8" si="2">+F6+F7</f>
        <v>82800</v>
      </c>
      <c r="G8" s="13">
        <f t="shared" si="2"/>
        <v>124200</v>
      </c>
      <c r="H8" s="13">
        <f t="shared" si="2"/>
        <v>165600</v>
      </c>
      <c r="J8" s="13">
        <f>SUM(D8:I8)</f>
        <v>330000</v>
      </c>
      <c r="L8" s="14"/>
    </row>
    <row r="9" spans="1:16" x14ac:dyDescent="0.2">
      <c r="A9" s="5" t="s">
        <v>11</v>
      </c>
      <c r="B9" s="26">
        <v>0.1</v>
      </c>
      <c r="C9" s="7" t="s">
        <v>13</v>
      </c>
      <c r="D9" s="2" t="s">
        <v>13</v>
      </c>
      <c r="E9" s="8">
        <f>-E6*$B$9</f>
        <v>-9000</v>
      </c>
      <c r="F9" s="8">
        <f t="shared" ref="F9:H9" si="3">-F6*$B$9</f>
        <v>-18000</v>
      </c>
      <c r="G9" s="8">
        <f t="shared" si="3"/>
        <v>-27000</v>
      </c>
      <c r="H9" s="8">
        <f t="shared" si="3"/>
        <v>-36000</v>
      </c>
      <c r="J9" s="8">
        <f>SUM(D9:I9)</f>
        <v>-90000</v>
      </c>
      <c r="L9" s="8"/>
    </row>
    <row r="10" spans="1:16" x14ac:dyDescent="0.2">
      <c r="A10" s="5" t="s">
        <v>14</v>
      </c>
      <c r="C10" s="15">
        <f>+C4</f>
        <v>-20000</v>
      </c>
      <c r="D10" s="16">
        <f>+D8</f>
        <v>-84000</v>
      </c>
      <c r="E10" s="13">
        <f>SUM(E8:E9)</f>
        <v>32400</v>
      </c>
      <c r="F10" s="13">
        <f>SUM(F8:F9)</f>
        <v>64800</v>
      </c>
      <c r="G10" s="13">
        <f>SUM(G8:G9)</f>
        <v>97200</v>
      </c>
      <c r="H10" s="13">
        <f>SUM(H8:H9)</f>
        <v>129600</v>
      </c>
      <c r="J10" s="13">
        <f>SUM(D10:I10)</f>
        <v>240000</v>
      </c>
      <c r="L10" s="8"/>
      <c r="M10" s="14"/>
      <c r="N10" s="17"/>
    </row>
    <row r="11" spans="1:16" x14ac:dyDescent="0.2">
      <c r="A11" s="5" t="s">
        <v>15</v>
      </c>
      <c r="C11" s="18" t="s">
        <v>13</v>
      </c>
      <c r="D11" s="19">
        <f>+$C$4/5</f>
        <v>-4000</v>
      </c>
      <c r="E11" s="20">
        <f>+$C$4/5</f>
        <v>-4000</v>
      </c>
      <c r="F11" s="20">
        <f t="shared" ref="F11:H11" si="4">+$C$4/5</f>
        <v>-4000</v>
      </c>
      <c r="G11" s="20">
        <f t="shared" si="4"/>
        <v>-4000</v>
      </c>
      <c r="H11" s="20">
        <f t="shared" si="4"/>
        <v>-4000</v>
      </c>
      <c r="J11" s="8">
        <f>SUM(D11:I11)</f>
        <v>-20000</v>
      </c>
    </row>
    <row r="12" spans="1:16" ht="15" thickBot="1" x14ac:dyDescent="0.25">
      <c r="A12" s="5" t="s">
        <v>35</v>
      </c>
      <c r="C12" s="21" t="s">
        <v>13</v>
      </c>
      <c r="D12" s="22">
        <f>SUM(D10:D11)</f>
        <v>-88000</v>
      </c>
      <c r="E12" s="23">
        <f>SUM(E10:E11)</f>
        <v>28400</v>
      </c>
      <c r="F12" s="23">
        <f>SUM(F10:F11)</f>
        <v>60800</v>
      </c>
      <c r="G12" s="23">
        <f>SUM(G10:G11)</f>
        <v>93200</v>
      </c>
      <c r="H12" s="23">
        <f>SUM(H10:H11)</f>
        <v>125600</v>
      </c>
      <c r="J12" s="24">
        <f>SUM(J10:J11)</f>
        <v>220000</v>
      </c>
      <c r="L12" s="41">
        <f>+J12/5</f>
        <v>44000</v>
      </c>
      <c r="M12" s="43" t="s">
        <v>25</v>
      </c>
      <c r="O12" s="42" t="s">
        <v>40</v>
      </c>
      <c r="P12" s="25">
        <f>+L12/L13</f>
        <v>2.2000000000000002</v>
      </c>
    </row>
    <row r="13" spans="1:16" x14ac:dyDescent="0.2">
      <c r="L13" s="40">
        <v>20000</v>
      </c>
      <c r="M13" s="5" t="s">
        <v>39</v>
      </c>
    </row>
    <row r="14" spans="1:16" x14ac:dyDescent="0.2">
      <c r="A14" s="5" t="s">
        <v>17</v>
      </c>
      <c r="B14" s="26">
        <v>0.16</v>
      </c>
      <c r="H14" s="8"/>
      <c r="J14" s="8"/>
    </row>
    <row r="15" spans="1:16" x14ac:dyDescent="0.2">
      <c r="C15" s="4" t="s">
        <v>2</v>
      </c>
      <c r="D15" s="4" t="s">
        <v>0</v>
      </c>
      <c r="E15" s="4" t="s">
        <v>1</v>
      </c>
      <c r="F15" s="4" t="s">
        <v>3</v>
      </c>
      <c r="G15" s="4" t="s">
        <v>4</v>
      </c>
      <c r="H15" s="4" t="s">
        <v>5</v>
      </c>
    </row>
    <row r="16" spans="1:16" x14ac:dyDescent="0.2">
      <c r="A16" s="5" t="s">
        <v>18</v>
      </c>
      <c r="B16" s="27">
        <f>100%+B14</f>
        <v>1.1599999999999999</v>
      </c>
      <c r="C16" s="2">
        <v>1</v>
      </c>
      <c r="D16" s="5">
        <f>+ROUND(1/$B$16,5)</f>
        <v>0.86207</v>
      </c>
      <c r="E16" s="5">
        <f>+ROUND(1/($B$16*$B$16),5)</f>
        <v>0.74316000000000004</v>
      </c>
      <c r="F16" s="5">
        <f>+ROUND(1/($B$16*$B$16*$B$16),5)</f>
        <v>0.64066000000000001</v>
      </c>
      <c r="G16" s="5">
        <f>+ROUND(1/($B$16*$B$16*$B$16*$B$16),5)</f>
        <v>0.55228999999999995</v>
      </c>
      <c r="H16" s="5">
        <f>+ROUND(1/($B$16*$B$16*$B$16*$B$16*$B$16),5)</f>
        <v>0.47610999999999998</v>
      </c>
    </row>
    <row r="18" spans="1:16" ht="15" thickBot="1" x14ac:dyDescent="0.25">
      <c r="A18" s="5" t="s">
        <v>19</v>
      </c>
      <c r="C18" s="28">
        <f>+C4*C16</f>
        <v>-20000</v>
      </c>
      <c r="D18" s="28">
        <f>+ROUND(D10*D16,0)</f>
        <v>-72414</v>
      </c>
      <c r="E18" s="28">
        <f t="shared" ref="E18:H18" si="5">+ROUND(E10*E16,0)</f>
        <v>24078</v>
      </c>
      <c r="F18" s="28">
        <f t="shared" si="5"/>
        <v>41515</v>
      </c>
      <c r="G18" s="28">
        <f t="shared" si="5"/>
        <v>53683</v>
      </c>
      <c r="H18" s="28">
        <f t="shared" si="5"/>
        <v>61704</v>
      </c>
      <c r="J18" s="28">
        <f>SUM(C18:I18)</f>
        <v>88566</v>
      </c>
    </row>
    <row r="19" spans="1:16" ht="15.75" thickTop="1" thickBot="1" x14ac:dyDescent="0.25"/>
    <row r="20" spans="1:16" x14ac:dyDescent="0.2">
      <c r="A20" s="29" t="s">
        <v>23</v>
      </c>
      <c r="B20" s="30">
        <f>NPV($B$14,D10:H10)</f>
        <v>108566.24365607214</v>
      </c>
    </row>
    <row r="21" spans="1:16" x14ac:dyDescent="0.2">
      <c r="A21" s="31" t="s">
        <v>21</v>
      </c>
      <c r="B21" s="32">
        <f>+C4</f>
        <v>-20000</v>
      </c>
    </row>
    <row r="22" spans="1:16" ht="15" thickBot="1" x14ac:dyDescent="0.25">
      <c r="A22" s="33" t="s">
        <v>22</v>
      </c>
      <c r="B22" s="34">
        <f>+B20+B21</f>
        <v>88566.24365607214</v>
      </c>
    </row>
    <row r="23" spans="1:16" ht="15" thickBot="1" x14ac:dyDescent="0.25"/>
    <row r="24" spans="1:16" ht="15" thickBot="1" x14ac:dyDescent="0.25">
      <c r="A24" s="35" t="s">
        <v>24</v>
      </c>
      <c r="B24" s="36">
        <f>IRR(C10:H10,50%)</f>
        <v>0.45612659385894339</v>
      </c>
    </row>
    <row r="25" spans="1:16" ht="15" thickBot="1" x14ac:dyDescent="0.25"/>
    <row r="26" spans="1:16" ht="15" thickBot="1" x14ac:dyDescent="0.25">
      <c r="A26" s="37" t="s">
        <v>33</v>
      </c>
      <c r="B26" s="38">
        <v>2</v>
      </c>
    </row>
    <row r="28" spans="1:16" ht="15" x14ac:dyDescent="0.25">
      <c r="A28" s="44" t="s">
        <v>26</v>
      </c>
      <c r="L28" s="5" t="s">
        <v>36</v>
      </c>
      <c r="M28" s="8"/>
      <c r="O28" s="5" t="s">
        <v>43</v>
      </c>
    </row>
    <row r="29" spans="1:16" x14ac:dyDescent="0.2">
      <c r="A29" s="5" t="s">
        <v>41</v>
      </c>
      <c r="L29" s="2" t="s">
        <v>38</v>
      </c>
      <c r="M29" s="2" t="s">
        <v>6</v>
      </c>
      <c r="O29" s="2" t="s">
        <v>37</v>
      </c>
      <c r="P29" s="2" t="s">
        <v>6</v>
      </c>
    </row>
    <row r="30" spans="1:16" x14ac:dyDescent="0.2">
      <c r="A30" s="5" t="s">
        <v>42</v>
      </c>
      <c r="L30" s="45">
        <v>0.16</v>
      </c>
      <c r="M30" s="46">
        <v>88566</v>
      </c>
      <c r="O30" s="45">
        <v>0.54</v>
      </c>
      <c r="P30" s="46">
        <v>88566</v>
      </c>
    </row>
    <row r="31" spans="1:16" x14ac:dyDescent="0.2">
      <c r="A31" s="5" t="s">
        <v>27</v>
      </c>
      <c r="L31" s="45">
        <v>0.2</v>
      </c>
      <c r="M31" s="46">
        <v>68959</v>
      </c>
      <c r="O31" s="45">
        <v>0.57999999999999996</v>
      </c>
      <c r="P31" s="46">
        <v>68457</v>
      </c>
    </row>
    <row r="32" spans="1:16" x14ac:dyDescent="0.2">
      <c r="L32" s="45">
        <v>0.24</v>
      </c>
      <c r="M32" s="46">
        <v>52638</v>
      </c>
      <c r="O32" s="45">
        <v>0.62</v>
      </c>
      <c r="P32" s="46">
        <v>48348</v>
      </c>
    </row>
    <row r="33" spans="1:16" x14ac:dyDescent="0.2">
      <c r="A33" s="48" t="s">
        <v>28</v>
      </c>
      <c r="B33" s="49"/>
      <c r="C33" s="50">
        <f>+$J$18-$C$4</f>
        <v>108566</v>
      </c>
      <c r="D33" s="51">
        <f>+C33/C34</f>
        <v>5.4283000000000001</v>
      </c>
      <c r="E33" s="48" t="s">
        <v>30</v>
      </c>
      <c r="L33" s="45">
        <v>0.28000000000000003</v>
      </c>
      <c r="M33" s="46">
        <v>38978</v>
      </c>
      <c r="O33" s="45">
        <v>0.66</v>
      </c>
      <c r="P33" s="46">
        <v>28239</v>
      </c>
    </row>
    <row r="34" spans="1:16" x14ac:dyDescent="0.2">
      <c r="A34" s="48"/>
      <c r="B34" s="49"/>
      <c r="C34" s="52">
        <f>-$C$4</f>
        <v>20000</v>
      </c>
      <c r="D34" s="51"/>
      <c r="E34" s="48"/>
      <c r="L34" s="45">
        <v>0.32</v>
      </c>
      <c r="M34" s="46">
        <v>27488</v>
      </c>
      <c r="O34" s="45">
        <v>0.7</v>
      </c>
      <c r="P34" s="46">
        <v>8131</v>
      </c>
    </row>
    <row r="35" spans="1:16" x14ac:dyDescent="0.2">
      <c r="D35" s="39"/>
      <c r="L35" s="45">
        <v>0.36</v>
      </c>
      <c r="M35" s="46">
        <v>17782</v>
      </c>
      <c r="O35" s="45">
        <v>0.74</v>
      </c>
      <c r="P35" s="46">
        <v>-11978</v>
      </c>
    </row>
    <row r="36" spans="1:16" x14ac:dyDescent="0.2">
      <c r="A36" s="53" t="s">
        <v>29</v>
      </c>
      <c r="B36" s="54"/>
      <c r="C36" s="55">
        <f>+$J$18</f>
        <v>88566</v>
      </c>
      <c r="D36" s="56">
        <f>+C36/C37</f>
        <v>4.4283000000000001</v>
      </c>
      <c r="E36" s="53" t="s">
        <v>31</v>
      </c>
      <c r="L36" s="45">
        <v>0.4</v>
      </c>
      <c r="M36" s="46">
        <v>9544</v>
      </c>
    </row>
    <row r="37" spans="1:16" x14ac:dyDescent="0.2">
      <c r="A37" s="53"/>
      <c r="B37" s="54"/>
      <c r="C37" s="57">
        <f>-$C$4</f>
        <v>20000</v>
      </c>
      <c r="D37" s="53"/>
      <c r="E37" s="53"/>
      <c r="L37" s="45">
        <v>0.44</v>
      </c>
      <c r="M37" s="46">
        <v>2532</v>
      </c>
    </row>
    <row r="38" spans="1:16" x14ac:dyDescent="0.2">
      <c r="L38" s="47">
        <v>0.45612999999999998</v>
      </c>
      <c r="M38" s="46">
        <v>2</v>
      </c>
    </row>
    <row r="39" spans="1:16" x14ac:dyDescent="0.2">
      <c r="A39" s="5" t="s">
        <v>32</v>
      </c>
    </row>
    <row r="58" spans="1:6" x14ac:dyDescent="0.2">
      <c r="B58" s="68" t="s">
        <v>60</v>
      </c>
      <c r="C58" s="68" t="s">
        <v>63</v>
      </c>
      <c r="D58" s="68" t="s">
        <v>62</v>
      </c>
      <c r="E58" s="68" t="s">
        <v>64</v>
      </c>
      <c r="F58" s="68" t="s">
        <v>61</v>
      </c>
    </row>
    <row r="59" spans="1:6" x14ac:dyDescent="0.2">
      <c r="B59" s="2" t="s">
        <v>54</v>
      </c>
      <c r="C59" s="27">
        <f>10%</f>
        <v>0.1</v>
      </c>
      <c r="D59" s="27">
        <v>0.15</v>
      </c>
      <c r="E59" s="27">
        <v>0.2</v>
      </c>
      <c r="F59" s="27">
        <v>0.2</v>
      </c>
    </row>
    <row r="60" spans="1:6" x14ac:dyDescent="0.2">
      <c r="A60" s="5" t="s">
        <v>44</v>
      </c>
      <c r="B60" s="58">
        <v>0.54</v>
      </c>
      <c r="C60" s="60">
        <f>+B60*1.1</f>
        <v>0.59400000000000008</v>
      </c>
      <c r="D60" s="60">
        <f>+B60*1.15</f>
        <v>0.621</v>
      </c>
      <c r="E60" s="60">
        <f>+B60*1.2</f>
        <v>0.64800000000000002</v>
      </c>
      <c r="F60" s="60">
        <f>+B60*1.2</f>
        <v>0.64800000000000002</v>
      </c>
    </row>
    <row r="61" spans="1:6" x14ac:dyDescent="0.2">
      <c r="A61" s="5" t="s">
        <v>45</v>
      </c>
      <c r="B61" s="58">
        <v>0.1</v>
      </c>
      <c r="C61" s="60">
        <f>+B61*1.1</f>
        <v>0.11000000000000001</v>
      </c>
      <c r="D61" s="60">
        <f>+B61*1.15</f>
        <v>0.11499999999999999</v>
      </c>
      <c r="E61" s="60">
        <f>+B61*1.2</f>
        <v>0.12</v>
      </c>
      <c r="F61" s="60">
        <f>+B61*1.2</f>
        <v>0.12</v>
      </c>
    </row>
    <row r="62" spans="1:6" x14ac:dyDescent="0.2">
      <c r="A62" s="5" t="s">
        <v>46</v>
      </c>
      <c r="B62" s="58">
        <v>0.16</v>
      </c>
      <c r="C62" s="60">
        <f>+B62*1.1</f>
        <v>0.17600000000000002</v>
      </c>
      <c r="D62" s="60">
        <f>+B62*1.15</f>
        <v>0.184</v>
      </c>
      <c r="E62" s="60">
        <f>+B62*1.2</f>
        <v>0.192</v>
      </c>
      <c r="F62" s="67">
        <v>0.16</v>
      </c>
    </row>
    <row r="63" spans="1:6" x14ac:dyDescent="0.2">
      <c r="A63" s="5" t="s">
        <v>51</v>
      </c>
      <c r="B63" s="59">
        <v>20000</v>
      </c>
      <c r="C63" s="61">
        <f>+B63*1.1</f>
        <v>22000</v>
      </c>
      <c r="D63" s="61">
        <f>+B63*1.15</f>
        <v>23000</v>
      </c>
      <c r="E63" s="61">
        <f>+B63*1.2</f>
        <v>24000</v>
      </c>
      <c r="F63" s="61">
        <f>+B63*1.2</f>
        <v>24000</v>
      </c>
    </row>
    <row r="64" spans="1:6" x14ac:dyDescent="0.2">
      <c r="A64" s="5" t="s">
        <v>52</v>
      </c>
      <c r="B64" s="59">
        <v>72000</v>
      </c>
      <c r="C64" s="61">
        <f t="shared" ref="C64:C65" si="6">+B64*1.1</f>
        <v>79200</v>
      </c>
      <c r="D64" s="61">
        <f t="shared" ref="D64:D65" si="7">+B64*1.15</f>
        <v>82800</v>
      </c>
      <c r="E64" s="61">
        <f t="shared" ref="E64:E65" si="8">+B64*1.2</f>
        <v>86400</v>
      </c>
      <c r="F64" s="61">
        <f t="shared" ref="F64:F65" si="9">+B64*1.2</f>
        <v>86400</v>
      </c>
    </row>
    <row r="65" spans="1:6" x14ac:dyDescent="0.2">
      <c r="A65" s="5" t="s">
        <v>53</v>
      </c>
      <c r="B65" s="59">
        <v>12000</v>
      </c>
      <c r="C65" s="61">
        <f t="shared" si="6"/>
        <v>13200.000000000002</v>
      </c>
      <c r="D65" s="61">
        <f t="shared" si="7"/>
        <v>13799.999999999998</v>
      </c>
      <c r="E65" s="61">
        <f t="shared" si="8"/>
        <v>14400</v>
      </c>
      <c r="F65" s="61">
        <f t="shared" si="9"/>
        <v>14400</v>
      </c>
    </row>
    <row r="66" spans="1:6" x14ac:dyDescent="0.2">
      <c r="A66" s="5" t="s">
        <v>47</v>
      </c>
      <c r="B66" s="62">
        <v>90000</v>
      </c>
      <c r="C66" s="62">
        <v>90000</v>
      </c>
      <c r="D66" s="62">
        <v>90000</v>
      </c>
      <c r="E66" s="62">
        <v>90000</v>
      </c>
      <c r="F66" s="62">
        <v>90000</v>
      </c>
    </row>
    <row r="67" spans="1:6" x14ac:dyDescent="0.2">
      <c r="A67" s="5" t="s">
        <v>48</v>
      </c>
      <c r="B67" s="62">
        <v>180000</v>
      </c>
      <c r="C67" s="62">
        <v>180000</v>
      </c>
      <c r="D67" s="62">
        <v>180000</v>
      </c>
      <c r="E67" s="62">
        <v>180000</v>
      </c>
      <c r="F67" s="62">
        <v>180000</v>
      </c>
    </row>
    <row r="68" spans="1:6" x14ac:dyDescent="0.2">
      <c r="A68" s="5" t="s">
        <v>49</v>
      </c>
      <c r="B68" s="62">
        <v>270000</v>
      </c>
      <c r="C68" s="62">
        <v>270000</v>
      </c>
      <c r="D68" s="62">
        <v>270000</v>
      </c>
      <c r="E68" s="62">
        <v>270000</v>
      </c>
      <c r="F68" s="62">
        <v>270000</v>
      </c>
    </row>
    <row r="69" spans="1:6" x14ac:dyDescent="0.2">
      <c r="A69" s="5" t="s">
        <v>50</v>
      </c>
      <c r="B69" s="62">
        <v>360000</v>
      </c>
      <c r="C69" s="62">
        <v>360000</v>
      </c>
      <c r="D69" s="62">
        <v>360000</v>
      </c>
      <c r="E69" s="62">
        <v>360000</v>
      </c>
      <c r="F69" s="62">
        <v>360000</v>
      </c>
    </row>
    <row r="70" spans="1:6" x14ac:dyDescent="0.2">
      <c r="A70" s="5" t="s">
        <v>55</v>
      </c>
      <c r="B70" s="63">
        <v>88566</v>
      </c>
      <c r="C70" s="63">
        <v>40613</v>
      </c>
      <c r="D70" s="63">
        <v>18109</v>
      </c>
      <c r="E70" s="63">
        <v>-3479</v>
      </c>
      <c r="F70" s="63">
        <v>5734</v>
      </c>
    </row>
    <row r="71" spans="1:6" x14ac:dyDescent="0.2">
      <c r="A71" s="5" t="s">
        <v>56</v>
      </c>
      <c r="B71" s="65">
        <v>0.45610000000000001</v>
      </c>
      <c r="C71" s="65">
        <v>0.31690000000000002</v>
      </c>
      <c r="D71" s="65">
        <v>0.24829999999999999</v>
      </c>
      <c r="E71" s="65">
        <v>0.17929999999999999</v>
      </c>
      <c r="F71" s="65">
        <v>0.17929999999999999</v>
      </c>
    </row>
    <row r="72" spans="1:6" x14ac:dyDescent="0.2">
      <c r="A72" s="5" t="s">
        <v>57</v>
      </c>
      <c r="B72" s="66">
        <v>2.2000000000000002</v>
      </c>
      <c r="C72" s="66">
        <v>1.52</v>
      </c>
      <c r="D72" s="66">
        <v>1.18</v>
      </c>
      <c r="E72" s="66">
        <v>0.84</v>
      </c>
      <c r="F72" s="66">
        <v>0.84</v>
      </c>
    </row>
    <row r="73" spans="1:6" x14ac:dyDescent="0.2">
      <c r="A73" s="5" t="s">
        <v>58</v>
      </c>
      <c r="B73" s="64">
        <v>5.43</v>
      </c>
      <c r="C73" s="64">
        <v>2.85</v>
      </c>
      <c r="D73" s="64">
        <v>1.79</v>
      </c>
      <c r="E73" s="64">
        <v>0.86</v>
      </c>
      <c r="F73" s="64">
        <v>1.24</v>
      </c>
    </row>
    <row r="74" spans="1:6" x14ac:dyDescent="0.2">
      <c r="A74" s="5" t="s">
        <v>59</v>
      </c>
      <c r="B74" s="64">
        <v>4.43</v>
      </c>
      <c r="C74" s="64">
        <v>1.85</v>
      </c>
      <c r="D74" s="64">
        <v>0.79</v>
      </c>
      <c r="E74" s="64">
        <v>-0.14000000000000001</v>
      </c>
      <c r="F74" s="64">
        <v>0.24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04839-D6A3-49B2-A36C-839B531B6BB8}">
  <dimension ref="A1:P74"/>
  <sheetViews>
    <sheetView zoomScaleNormal="100" workbookViewId="0">
      <selection activeCell="K34" sqref="K34"/>
    </sheetView>
  </sheetViews>
  <sheetFormatPr defaultRowHeight="14.25" x14ac:dyDescent="0.2"/>
  <cols>
    <col min="1" max="1" width="56.42578125" style="5" customWidth="1"/>
    <col min="2" max="2" width="10.7109375" style="2" customWidth="1"/>
    <col min="3" max="3" width="10.7109375" style="5" bestFit="1" customWidth="1"/>
    <col min="4" max="4" width="11" style="5" bestFit="1" customWidth="1"/>
    <col min="5" max="5" width="10.140625" style="5" bestFit="1" customWidth="1"/>
    <col min="6" max="6" width="10.7109375" style="5" bestFit="1" customWidth="1"/>
    <col min="7" max="8" width="11.42578125" style="5" bestFit="1" customWidth="1"/>
    <col min="9" max="9" width="2.28515625" style="5" customWidth="1"/>
    <col min="10" max="10" width="11.28515625" style="5" bestFit="1" customWidth="1"/>
    <col min="11" max="11" width="2.42578125" style="5" customWidth="1"/>
    <col min="12" max="12" width="9.85546875" style="5" customWidth="1"/>
    <col min="13" max="13" width="12.42578125" style="5" customWidth="1"/>
    <col min="14" max="14" width="9.42578125" style="5" customWidth="1"/>
    <col min="15" max="15" width="8.85546875" style="5" customWidth="1"/>
    <col min="16" max="16" width="11.28515625" style="5" customWidth="1"/>
    <col min="17" max="16384" width="9.140625" style="5"/>
  </cols>
  <sheetData>
    <row r="1" spans="1:16" ht="18" x14ac:dyDescent="0.25">
      <c r="A1" s="1" t="s">
        <v>16</v>
      </c>
      <c r="C1" s="3" t="s">
        <v>2</v>
      </c>
      <c r="D1" s="4" t="s">
        <v>0</v>
      </c>
      <c r="E1" s="4" t="s">
        <v>1</v>
      </c>
      <c r="F1" s="4" t="s">
        <v>3</v>
      </c>
      <c r="G1" s="4" t="s">
        <v>4</v>
      </c>
      <c r="H1" s="4" t="s">
        <v>5</v>
      </c>
      <c r="J1" s="4" t="s">
        <v>20</v>
      </c>
    </row>
    <row r="2" spans="1:16" x14ac:dyDescent="0.2">
      <c r="C2" s="6"/>
    </row>
    <row r="3" spans="1:16" x14ac:dyDescent="0.2">
      <c r="A3" s="5" t="s">
        <v>7</v>
      </c>
      <c r="C3" s="7" t="s">
        <v>13</v>
      </c>
      <c r="D3" s="11">
        <v>-72000</v>
      </c>
      <c r="E3" s="2" t="s">
        <v>13</v>
      </c>
      <c r="F3" s="2" t="s">
        <v>13</v>
      </c>
      <c r="G3" s="2" t="s">
        <v>13</v>
      </c>
      <c r="H3" s="2" t="s">
        <v>13</v>
      </c>
      <c r="J3" s="8">
        <f>SUM(D3:I3)</f>
        <v>-72000</v>
      </c>
    </row>
    <row r="4" spans="1:16" x14ac:dyDescent="0.2">
      <c r="A4" s="5" t="s">
        <v>8</v>
      </c>
      <c r="C4" s="9">
        <v>-20000</v>
      </c>
      <c r="D4" s="2" t="s">
        <v>13</v>
      </c>
      <c r="E4" s="2" t="s">
        <v>13</v>
      </c>
      <c r="F4" s="2" t="s">
        <v>13</v>
      </c>
      <c r="G4" s="2" t="s">
        <v>13</v>
      </c>
      <c r="H4" s="2" t="s">
        <v>13</v>
      </c>
      <c r="J4" s="2" t="s">
        <v>13</v>
      </c>
    </row>
    <row r="5" spans="1:16" x14ac:dyDescent="0.2">
      <c r="A5" s="5" t="s">
        <v>9</v>
      </c>
      <c r="C5" s="10" t="s">
        <v>13</v>
      </c>
      <c r="D5" s="11">
        <v>-12000</v>
      </c>
      <c r="E5" s="2" t="s">
        <v>13</v>
      </c>
      <c r="F5" s="2" t="s">
        <v>13</v>
      </c>
      <c r="G5" s="2" t="s">
        <v>13</v>
      </c>
      <c r="H5" s="2" t="s">
        <v>13</v>
      </c>
      <c r="J5" s="8">
        <f>SUM(D5:I5)</f>
        <v>-12000</v>
      </c>
    </row>
    <row r="6" spans="1:16" x14ac:dyDescent="0.2">
      <c r="A6" s="5" t="s">
        <v>10</v>
      </c>
      <c r="C6" s="7" t="s">
        <v>13</v>
      </c>
      <c r="D6" s="2" t="s">
        <v>13</v>
      </c>
      <c r="E6" s="11">
        <v>120000</v>
      </c>
      <c r="F6" s="11">
        <v>240000</v>
      </c>
      <c r="G6" s="11">
        <v>360000</v>
      </c>
      <c r="H6" s="11">
        <v>480000</v>
      </c>
      <c r="J6" s="8">
        <f t="shared" ref="J6:J7" si="0">SUM(D6:I6)</f>
        <v>1200000</v>
      </c>
    </row>
    <row r="7" spans="1:16" x14ac:dyDescent="0.2">
      <c r="A7" s="5" t="s">
        <v>12</v>
      </c>
      <c r="B7" s="26">
        <v>0.54</v>
      </c>
      <c r="C7" s="7" t="s">
        <v>13</v>
      </c>
      <c r="D7" s="2" t="s">
        <v>13</v>
      </c>
      <c r="E7" s="8">
        <f>-E6*$B$7</f>
        <v>-64800.000000000007</v>
      </c>
      <c r="F7" s="8">
        <f t="shared" ref="F7:H7" si="1">-F6*$B$7</f>
        <v>-129600.00000000001</v>
      </c>
      <c r="G7" s="8">
        <f t="shared" si="1"/>
        <v>-194400</v>
      </c>
      <c r="H7" s="8">
        <f t="shared" si="1"/>
        <v>-259200.00000000003</v>
      </c>
      <c r="J7" s="8">
        <f t="shared" si="0"/>
        <v>-648000</v>
      </c>
    </row>
    <row r="8" spans="1:16" x14ac:dyDescent="0.2">
      <c r="A8" s="5" t="s">
        <v>34</v>
      </c>
      <c r="C8" s="7" t="s">
        <v>13</v>
      </c>
      <c r="D8" s="12">
        <f>+D5+D3</f>
        <v>-84000</v>
      </c>
      <c r="E8" s="13">
        <f>+E6+E7</f>
        <v>55199.999999999993</v>
      </c>
      <c r="F8" s="13">
        <f t="shared" ref="F8:H8" si="2">+F6+F7</f>
        <v>110399.99999999999</v>
      </c>
      <c r="G8" s="13">
        <f t="shared" si="2"/>
        <v>165600</v>
      </c>
      <c r="H8" s="13">
        <f t="shared" si="2"/>
        <v>220799.99999999997</v>
      </c>
      <c r="J8" s="13">
        <f>SUM(D8:I8)</f>
        <v>467999.99999999994</v>
      </c>
      <c r="L8" s="14"/>
    </row>
    <row r="9" spans="1:16" x14ac:dyDescent="0.2">
      <c r="A9" s="5" t="s">
        <v>11</v>
      </c>
      <c r="B9" s="26">
        <v>0.1</v>
      </c>
      <c r="C9" s="7" t="s">
        <v>13</v>
      </c>
      <c r="D9" s="2" t="s">
        <v>13</v>
      </c>
      <c r="E9" s="8">
        <f>-E6*$B$9</f>
        <v>-12000</v>
      </c>
      <c r="F9" s="8">
        <f t="shared" ref="F9:H9" si="3">-F6*$B$9</f>
        <v>-24000</v>
      </c>
      <c r="G9" s="8">
        <f t="shared" si="3"/>
        <v>-36000</v>
      </c>
      <c r="H9" s="8">
        <f t="shared" si="3"/>
        <v>-48000</v>
      </c>
      <c r="J9" s="8">
        <f>SUM(D9:I9)</f>
        <v>-120000</v>
      </c>
      <c r="L9" s="8"/>
    </row>
    <row r="10" spans="1:16" x14ac:dyDescent="0.2">
      <c r="A10" s="5" t="s">
        <v>14</v>
      </c>
      <c r="C10" s="15">
        <f>+C4</f>
        <v>-20000</v>
      </c>
      <c r="D10" s="16">
        <f>+D8</f>
        <v>-84000</v>
      </c>
      <c r="E10" s="13">
        <f>SUM(E8:E9)</f>
        <v>43199.999999999993</v>
      </c>
      <c r="F10" s="13">
        <f>SUM(F8:F9)</f>
        <v>86399.999999999985</v>
      </c>
      <c r="G10" s="13">
        <f>SUM(G8:G9)</f>
        <v>129600</v>
      </c>
      <c r="H10" s="13">
        <f>SUM(H8:H9)</f>
        <v>172799.99999999997</v>
      </c>
      <c r="J10" s="13">
        <f>SUM(D10:I10)</f>
        <v>347999.99999999994</v>
      </c>
      <c r="L10" s="8"/>
      <c r="M10" s="14"/>
      <c r="N10" s="17"/>
    </row>
    <row r="11" spans="1:16" x14ac:dyDescent="0.2">
      <c r="A11" s="5" t="s">
        <v>15</v>
      </c>
      <c r="C11" s="18" t="s">
        <v>13</v>
      </c>
      <c r="D11" s="19">
        <f>+$C$4/5</f>
        <v>-4000</v>
      </c>
      <c r="E11" s="20">
        <f>+$C$4/5</f>
        <v>-4000</v>
      </c>
      <c r="F11" s="20">
        <f t="shared" ref="F11:H11" si="4">+$C$4/5</f>
        <v>-4000</v>
      </c>
      <c r="G11" s="20">
        <f t="shared" si="4"/>
        <v>-4000</v>
      </c>
      <c r="H11" s="20">
        <f t="shared" si="4"/>
        <v>-4000</v>
      </c>
      <c r="J11" s="8">
        <f>SUM(D11:I11)</f>
        <v>-20000</v>
      </c>
    </row>
    <row r="12" spans="1:16" ht="15" thickBot="1" x14ac:dyDescent="0.25">
      <c r="A12" s="5" t="s">
        <v>35</v>
      </c>
      <c r="C12" s="21" t="s">
        <v>13</v>
      </c>
      <c r="D12" s="22">
        <f>SUM(D10:D11)</f>
        <v>-88000</v>
      </c>
      <c r="E12" s="23">
        <f>SUM(E10:E11)</f>
        <v>39199.999999999993</v>
      </c>
      <c r="F12" s="23">
        <f>SUM(F10:F11)</f>
        <v>82399.999999999985</v>
      </c>
      <c r="G12" s="23">
        <f>SUM(G10:G11)</f>
        <v>125600</v>
      </c>
      <c r="H12" s="23">
        <f>SUM(H10:H11)</f>
        <v>168799.99999999997</v>
      </c>
      <c r="J12" s="24">
        <f>SUM(J10:J11)</f>
        <v>327999.99999999994</v>
      </c>
      <c r="L12" s="41">
        <f>+J12/5</f>
        <v>65599.999999999985</v>
      </c>
      <c r="M12" s="43" t="s">
        <v>25</v>
      </c>
      <c r="O12" s="42" t="s">
        <v>40</v>
      </c>
      <c r="P12" s="25">
        <f>+L12/L13</f>
        <v>3.2799999999999994</v>
      </c>
    </row>
    <row r="13" spans="1:16" x14ac:dyDescent="0.2">
      <c r="L13" s="40">
        <v>20000</v>
      </c>
      <c r="M13" s="5" t="s">
        <v>39</v>
      </c>
    </row>
    <row r="14" spans="1:16" x14ac:dyDescent="0.2">
      <c r="A14" s="5" t="s">
        <v>17</v>
      </c>
      <c r="B14" s="26">
        <v>0.16</v>
      </c>
      <c r="H14" s="8"/>
      <c r="J14" s="8"/>
    </row>
    <row r="15" spans="1:16" x14ac:dyDescent="0.2">
      <c r="C15" s="4" t="s">
        <v>2</v>
      </c>
      <c r="D15" s="4" t="s">
        <v>0</v>
      </c>
      <c r="E15" s="4" t="s">
        <v>1</v>
      </c>
      <c r="F15" s="4" t="s">
        <v>3</v>
      </c>
      <c r="G15" s="4" t="s">
        <v>4</v>
      </c>
      <c r="H15" s="4" t="s">
        <v>5</v>
      </c>
    </row>
    <row r="16" spans="1:16" x14ac:dyDescent="0.2">
      <c r="A16" s="5" t="s">
        <v>18</v>
      </c>
      <c r="B16" s="27">
        <f>100%+B14</f>
        <v>1.1599999999999999</v>
      </c>
      <c r="C16" s="2">
        <v>1</v>
      </c>
      <c r="D16" s="5">
        <f>+ROUND(1/$B$16,5)</f>
        <v>0.86207</v>
      </c>
      <c r="E16" s="5">
        <f>+ROUND(1/($B$16*$B$16),5)</f>
        <v>0.74316000000000004</v>
      </c>
      <c r="F16" s="5">
        <f>+ROUND(1/($B$16*$B$16*$B$16),5)</f>
        <v>0.64066000000000001</v>
      </c>
      <c r="G16" s="5">
        <f>+ROUND(1/($B$16*$B$16*$B$16*$B$16),5)</f>
        <v>0.55228999999999995</v>
      </c>
      <c r="H16" s="5">
        <f>+ROUND(1/($B$16*$B$16*$B$16*$B$16*$B$16),5)</f>
        <v>0.47610999999999998</v>
      </c>
    </row>
    <row r="18" spans="1:16" ht="15" thickBot="1" x14ac:dyDescent="0.25">
      <c r="A18" s="5" t="s">
        <v>19</v>
      </c>
      <c r="C18" s="28">
        <f>+C4*C16</f>
        <v>-20000</v>
      </c>
      <c r="D18" s="28">
        <f>+ROUND(D10*D16,0)</f>
        <v>-72414</v>
      </c>
      <c r="E18" s="28">
        <f t="shared" ref="E18:H18" si="5">+ROUND(E10*E16,0)</f>
        <v>32105</v>
      </c>
      <c r="F18" s="28">
        <f t="shared" si="5"/>
        <v>55353</v>
      </c>
      <c r="G18" s="28">
        <f t="shared" si="5"/>
        <v>71577</v>
      </c>
      <c r="H18" s="28">
        <f t="shared" si="5"/>
        <v>82272</v>
      </c>
      <c r="J18" s="28">
        <f>SUM(C18:I18)</f>
        <v>148893</v>
      </c>
    </row>
    <row r="19" spans="1:16" ht="15.75" thickTop="1" thickBot="1" x14ac:dyDescent="0.25"/>
    <row r="20" spans="1:16" x14ac:dyDescent="0.2">
      <c r="A20" s="29" t="s">
        <v>23</v>
      </c>
      <c r="B20" s="30">
        <f>NPV($B$14,D10:H10)</f>
        <v>168892.92257591226</v>
      </c>
    </row>
    <row r="21" spans="1:16" x14ac:dyDescent="0.2">
      <c r="A21" s="31" t="s">
        <v>21</v>
      </c>
      <c r="B21" s="32">
        <f>+C4</f>
        <v>-20000</v>
      </c>
    </row>
    <row r="22" spans="1:16" ht="15" thickBot="1" x14ac:dyDescent="0.25">
      <c r="A22" s="33" t="s">
        <v>22</v>
      </c>
      <c r="B22" s="34">
        <f>+B20+B21</f>
        <v>148892.92257591226</v>
      </c>
    </row>
    <row r="23" spans="1:16" ht="15" thickBot="1" x14ac:dyDescent="0.25"/>
    <row r="24" spans="1:16" ht="15" thickBot="1" x14ac:dyDescent="0.25">
      <c r="A24" s="35" t="s">
        <v>24</v>
      </c>
      <c r="B24" s="36">
        <f>IRR(C10:H10,50%)</f>
        <v>0.613704245712684</v>
      </c>
    </row>
    <row r="25" spans="1:16" ht="15" thickBot="1" x14ac:dyDescent="0.25"/>
    <row r="26" spans="1:16" ht="15" thickBot="1" x14ac:dyDescent="0.25">
      <c r="A26" s="37" t="s">
        <v>33</v>
      </c>
      <c r="B26" s="38">
        <v>2</v>
      </c>
    </row>
    <row r="28" spans="1:16" ht="15" x14ac:dyDescent="0.25">
      <c r="A28" s="44" t="s">
        <v>26</v>
      </c>
      <c r="M28" s="8"/>
    </row>
    <row r="29" spans="1:16" x14ac:dyDescent="0.2">
      <c r="A29" s="5" t="s">
        <v>41</v>
      </c>
      <c r="L29" s="2"/>
      <c r="M29" s="2"/>
      <c r="O29" s="2"/>
      <c r="P29" s="2"/>
    </row>
    <row r="30" spans="1:16" x14ac:dyDescent="0.2">
      <c r="A30" s="5" t="s">
        <v>42</v>
      </c>
      <c r="M30" s="8"/>
    </row>
    <row r="31" spans="1:16" x14ac:dyDescent="0.2">
      <c r="A31" s="5" t="s">
        <v>27</v>
      </c>
      <c r="M31" s="8"/>
    </row>
    <row r="32" spans="1:16" x14ac:dyDescent="0.2">
      <c r="M32" s="8"/>
    </row>
    <row r="33" spans="1:13" x14ac:dyDescent="0.2">
      <c r="A33" s="48" t="s">
        <v>28</v>
      </c>
      <c r="B33" s="49"/>
      <c r="C33" s="50">
        <f>+$J$18-$C$4</f>
        <v>168893</v>
      </c>
      <c r="D33" s="51">
        <f>+C33/C34</f>
        <v>8.4446499999999993</v>
      </c>
      <c r="E33" s="48" t="s">
        <v>30</v>
      </c>
      <c r="M33" s="8"/>
    </row>
    <row r="34" spans="1:13" x14ac:dyDescent="0.2">
      <c r="A34" s="48"/>
      <c r="B34" s="49"/>
      <c r="C34" s="52">
        <f>-$C$4</f>
        <v>20000</v>
      </c>
      <c r="D34" s="51"/>
      <c r="E34" s="48"/>
      <c r="M34" s="8"/>
    </row>
    <row r="35" spans="1:13" x14ac:dyDescent="0.2">
      <c r="D35" s="39"/>
      <c r="M35" s="8"/>
    </row>
    <row r="36" spans="1:13" x14ac:dyDescent="0.2">
      <c r="A36" s="53" t="s">
        <v>29</v>
      </c>
      <c r="B36" s="54"/>
      <c r="C36" s="55">
        <f>+$J$18</f>
        <v>148893</v>
      </c>
      <c r="D36" s="56">
        <f>+C36/C37</f>
        <v>7.4446500000000002</v>
      </c>
      <c r="E36" s="53" t="s">
        <v>31</v>
      </c>
      <c r="M36" s="8"/>
    </row>
    <row r="37" spans="1:13" x14ac:dyDescent="0.2">
      <c r="A37" s="53"/>
      <c r="B37" s="54"/>
      <c r="C37" s="57">
        <f>-$C$4</f>
        <v>20000</v>
      </c>
      <c r="D37" s="53"/>
      <c r="E37" s="53"/>
      <c r="M37" s="8"/>
    </row>
    <row r="38" spans="1:13" x14ac:dyDescent="0.2">
      <c r="M38" s="8"/>
    </row>
    <row r="39" spans="1:13" x14ac:dyDescent="0.2">
      <c r="A39" s="5" t="s">
        <v>32</v>
      </c>
      <c r="M39" s="8"/>
    </row>
    <row r="40" spans="1:13" x14ac:dyDescent="0.2">
      <c r="M40" s="8"/>
    </row>
    <row r="41" spans="1:13" x14ac:dyDescent="0.2">
      <c r="M41" s="8"/>
    </row>
    <row r="58" spans="1:6" x14ac:dyDescent="0.2">
      <c r="B58" s="68" t="s">
        <v>60</v>
      </c>
      <c r="C58" s="68" t="s">
        <v>63</v>
      </c>
      <c r="D58" s="68" t="s">
        <v>62</v>
      </c>
      <c r="E58" s="68" t="s">
        <v>64</v>
      </c>
      <c r="F58" s="68" t="s">
        <v>61</v>
      </c>
    </row>
    <row r="59" spans="1:6" x14ac:dyDescent="0.2">
      <c r="B59" s="2" t="s">
        <v>54</v>
      </c>
      <c r="C59" s="27">
        <f>10%</f>
        <v>0.1</v>
      </c>
      <c r="D59" s="27">
        <v>0.15</v>
      </c>
      <c r="E59" s="27">
        <v>0.2</v>
      </c>
      <c r="F59" s="27">
        <v>0.2</v>
      </c>
    </row>
    <row r="60" spans="1:6" x14ac:dyDescent="0.2">
      <c r="A60" s="5" t="s">
        <v>44</v>
      </c>
      <c r="B60" s="58">
        <v>0.54</v>
      </c>
      <c r="C60" s="60">
        <f>+B60*1.1</f>
        <v>0.59400000000000008</v>
      </c>
      <c r="D60" s="60">
        <f>+B60*1.15</f>
        <v>0.621</v>
      </c>
      <c r="E60" s="60">
        <f>+B60*1.2</f>
        <v>0.64800000000000002</v>
      </c>
      <c r="F60" s="60">
        <f>+B60*1.2</f>
        <v>0.64800000000000002</v>
      </c>
    </row>
    <row r="61" spans="1:6" x14ac:dyDescent="0.2">
      <c r="A61" s="5" t="s">
        <v>45</v>
      </c>
      <c r="B61" s="58">
        <v>0.1</v>
      </c>
      <c r="C61" s="60">
        <f>+B61*1.1</f>
        <v>0.11000000000000001</v>
      </c>
      <c r="D61" s="60">
        <f>+B61*1.15</f>
        <v>0.11499999999999999</v>
      </c>
      <c r="E61" s="60">
        <f>+B61*1.2</f>
        <v>0.12</v>
      </c>
      <c r="F61" s="60">
        <f>+B61*1.2</f>
        <v>0.12</v>
      </c>
    </row>
    <row r="62" spans="1:6" x14ac:dyDescent="0.2">
      <c r="A62" s="5" t="s">
        <v>46</v>
      </c>
      <c r="B62" s="58">
        <v>0.16</v>
      </c>
      <c r="C62" s="60">
        <f>+B62*1.1</f>
        <v>0.17600000000000002</v>
      </c>
      <c r="D62" s="60">
        <f>+B62*1.15</f>
        <v>0.184</v>
      </c>
      <c r="E62" s="60">
        <f>+B62*1.2</f>
        <v>0.192</v>
      </c>
      <c r="F62" s="67">
        <v>0.16</v>
      </c>
    </row>
    <row r="63" spans="1:6" x14ac:dyDescent="0.2">
      <c r="A63" s="5" t="s">
        <v>51</v>
      </c>
      <c r="B63" s="59">
        <v>20000</v>
      </c>
      <c r="C63" s="61">
        <f>+B63*1.1</f>
        <v>22000</v>
      </c>
      <c r="D63" s="61">
        <f>+B63*1.15</f>
        <v>23000</v>
      </c>
      <c r="E63" s="61">
        <f>+B63*1.2</f>
        <v>24000</v>
      </c>
      <c r="F63" s="61">
        <f>+B63*1.2</f>
        <v>24000</v>
      </c>
    </row>
    <row r="64" spans="1:6" x14ac:dyDescent="0.2">
      <c r="A64" s="5" t="s">
        <v>52</v>
      </c>
      <c r="B64" s="59">
        <v>72000</v>
      </c>
      <c r="C64" s="61">
        <f t="shared" ref="C64:C65" si="6">+B64*1.1</f>
        <v>79200</v>
      </c>
      <c r="D64" s="61">
        <f t="shared" ref="D64:D65" si="7">+B64*1.15</f>
        <v>82800</v>
      </c>
      <c r="E64" s="61">
        <f t="shared" ref="E64:E65" si="8">+B64*1.2</f>
        <v>86400</v>
      </c>
      <c r="F64" s="61">
        <f t="shared" ref="F64:F65" si="9">+B64*1.2</f>
        <v>86400</v>
      </c>
    </row>
    <row r="65" spans="1:6" x14ac:dyDescent="0.2">
      <c r="A65" s="5" t="s">
        <v>53</v>
      </c>
      <c r="B65" s="59">
        <v>12000</v>
      </c>
      <c r="C65" s="61">
        <f t="shared" si="6"/>
        <v>13200.000000000002</v>
      </c>
      <c r="D65" s="61">
        <f t="shared" si="7"/>
        <v>13799.999999999998</v>
      </c>
      <c r="E65" s="61">
        <f t="shared" si="8"/>
        <v>14400</v>
      </c>
      <c r="F65" s="61">
        <f t="shared" si="9"/>
        <v>14400</v>
      </c>
    </row>
    <row r="66" spans="1:6" x14ac:dyDescent="0.2">
      <c r="A66" s="5" t="s">
        <v>47</v>
      </c>
      <c r="B66" s="62">
        <v>120000</v>
      </c>
      <c r="C66" s="62">
        <v>120000</v>
      </c>
      <c r="D66" s="62">
        <v>120000</v>
      </c>
      <c r="E66" s="62">
        <v>120000</v>
      </c>
      <c r="F66" s="62">
        <v>120000</v>
      </c>
    </row>
    <row r="67" spans="1:6" x14ac:dyDescent="0.2">
      <c r="A67" s="5" t="s">
        <v>48</v>
      </c>
      <c r="B67" s="62">
        <v>240000</v>
      </c>
      <c r="C67" s="62">
        <v>240000</v>
      </c>
      <c r="D67" s="62">
        <v>240000</v>
      </c>
      <c r="E67" s="62">
        <v>240000</v>
      </c>
      <c r="F67" s="62">
        <v>240000</v>
      </c>
    </row>
    <row r="68" spans="1:6" x14ac:dyDescent="0.2">
      <c r="A68" s="5" t="s">
        <v>49</v>
      </c>
      <c r="B68" s="62">
        <v>360000</v>
      </c>
      <c r="C68" s="62">
        <v>360000</v>
      </c>
      <c r="D68" s="62">
        <v>360000</v>
      </c>
      <c r="E68" s="62">
        <v>360000</v>
      </c>
      <c r="F68" s="62">
        <v>360000</v>
      </c>
    </row>
    <row r="69" spans="1:6" x14ac:dyDescent="0.2">
      <c r="A69" s="5" t="s">
        <v>50</v>
      </c>
      <c r="B69" s="62">
        <v>480000</v>
      </c>
      <c r="C69" s="62">
        <v>480000</v>
      </c>
      <c r="D69" s="62">
        <v>480000</v>
      </c>
      <c r="E69" s="62">
        <v>480000</v>
      </c>
      <c r="F69" s="62">
        <v>480000</v>
      </c>
    </row>
    <row r="70" spans="1:6" x14ac:dyDescent="0.2">
      <c r="A70" s="5" t="s">
        <v>55</v>
      </c>
      <c r="B70" s="63">
        <v>148893</v>
      </c>
      <c r="C70" s="63">
        <v>87674</v>
      </c>
      <c r="D70" s="63">
        <v>59008</v>
      </c>
      <c r="E70" s="63">
        <v>31551</v>
      </c>
      <c r="F70" s="63">
        <v>44612</v>
      </c>
    </row>
    <row r="71" spans="1:6" x14ac:dyDescent="0.2">
      <c r="A71" s="5" t="s">
        <v>56</v>
      </c>
      <c r="B71" s="65">
        <v>0.61370000000000002</v>
      </c>
      <c r="C71" s="65">
        <v>0.45440000000000003</v>
      </c>
      <c r="D71" s="65">
        <v>0.37619999999999998</v>
      </c>
      <c r="E71" s="65">
        <v>0.2979</v>
      </c>
      <c r="F71" s="65">
        <v>0.2979</v>
      </c>
    </row>
    <row r="72" spans="1:6" x14ac:dyDescent="0.2">
      <c r="A72" s="5" t="s">
        <v>57</v>
      </c>
      <c r="B72" s="66">
        <v>3.28</v>
      </c>
      <c r="C72" s="66">
        <v>2.4079999999999999</v>
      </c>
      <c r="D72" s="66">
        <v>1.972</v>
      </c>
      <c r="E72" s="66">
        <v>1.536</v>
      </c>
      <c r="F72" s="66">
        <v>1.536</v>
      </c>
    </row>
    <row r="73" spans="1:6" x14ac:dyDescent="0.2">
      <c r="A73" s="5" t="s">
        <v>58</v>
      </c>
      <c r="B73" s="64">
        <v>8.44</v>
      </c>
      <c r="C73" s="64">
        <v>4.99</v>
      </c>
      <c r="D73" s="64">
        <v>3.57</v>
      </c>
      <c r="E73" s="64">
        <v>2.31</v>
      </c>
      <c r="F73" s="64">
        <v>2.86</v>
      </c>
    </row>
    <row r="74" spans="1:6" x14ac:dyDescent="0.2">
      <c r="A74" s="5" t="s">
        <v>59</v>
      </c>
      <c r="B74" s="64">
        <v>7.44</v>
      </c>
      <c r="C74" s="64">
        <v>3.99</v>
      </c>
      <c r="D74" s="64">
        <v>2.57</v>
      </c>
      <c r="E74" s="64">
        <v>1.31</v>
      </c>
      <c r="F74" s="64">
        <v>1.86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808C5-5ECE-42A2-9960-F83F47EC7E4F}">
  <dimension ref="A1:P74"/>
  <sheetViews>
    <sheetView workbookViewId="0">
      <selection activeCell="G26" sqref="G26"/>
    </sheetView>
  </sheetViews>
  <sheetFormatPr defaultRowHeight="14.25" x14ac:dyDescent="0.2"/>
  <cols>
    <col min="1" max="1" width="56.42578125" style="5" customWidth="1"/>
    <col min="2" max="2" width="10.7109375" style="2" customWidth="1"/>
    <col min="3" max="3" width="10.7109375" style="5" bestFit="1" customWidth="1"/>
    <col min="4" max="4" width="11" style="5" bestFit="1" customWidth="1"/>
    <col min="5" max="5" width="10.140625" style="5" bestFit="1" customWidth="1"/>
    <col min="6" max="6" width="10.7109375" style="5" bestFit="1" customWidth="1"/>
    <col min="7" max="8" width="11.42578125" style="5" bestFit="1" customWidth="1"/>
    <col min="9" max="9" width="2.28515625" style="5" customWidth="1"/>
    <col min="10" max="10" width="11.28515625" style="5" bestFit="1" customWidth="1"/>
    <col min="11" max="11" width="2.42578125" style="5" customWidth="1"/>
    <col min="12" max="12" width="9.85546875" style="5" customWidth="1"/>
    <col min="13" max="13" width="12.42578125" style="5" customWidth="1"/>
    <col min="14" max="14" width="9.42578125" style="5" customWidth="1"/>
    <col min="15" max="15" width="8.85546875" style="5" customWidth="1"/>
    <col min="16" max="16" width="11.28515625" style="5" customWidth="1"/>
    <col min="17" max="16384" width="9.140625" style="5"/>
  </cols>
  <sheetData>
    <row r="1" spans="1:16" ht="18" x14ac:dyDescent="0.25">
      <c r="A1" s="1" t="s">
        <v>16</v>
      </c>
      <c r="C1" s="3" t="s">
        <v>2</v>
      </c>
      <c r="D1" s="4" t="s">
        <v>0</v>
      </c>
      <c r="E1" s="4" t="s">
        <v>1</v>
      </c>
      <c r="F1" s="4" t="s">
        <v>3</v>
      </c>
      <c r="G1" s="4" t="s">
        <v>4</v>
      </c>
      <c r="H1" s="4" t="s">
        <v>5</v>
      </c>
      <c r="J1" s="4" t="s">
        <v>20</v>
      </c>
    </row>
    <row r="2" spans="1:16" x14ac:dyDescent="0.2">
      <c r="C2" s="6"/>
    </row>
    <row r="3" spans="1:16" x14ac:dyDescent="0.2">
      <c r="A3" s="5" t="s">
        <v>7</v>
      </c>
      <c r="C3" s="7" t="s">
        <v>13</v>
      </c>
      <c r="D3" s="11">
        <v>-86400</v>
      </c>
      <c r="E3" s="2" t="s">
        <v>13</v>
      </c>
      <c r="F3" s="2" t="s">
        <v>13</v>
      </c>
      <c r="G3" s="2" t="s">
        <v>13</v>
      </c>
      <c r="H3" s="2" t="s">
        <v>13</v>
      </c>
      <c r="J3" s="8">
        <f>SUM(D3:I3)</f>
        <v>-86400</v>
      </c>
    </row>
    <row r="4" spans="1:16" x14ac:dyDescent="0.2">
      <c r="A4" s="5" t="s">
        <v>8</v>
      </c>
      <c r="C4" s="9">
        <v>-24000</v>
      </c>
      <c r="D4" s="2" t="s">
        <v>13</v>
      </c>
      <c r="E4" s="2" t="s">
        <v>13</v>
      </c>
      <c r="F4" s="2" t="s">
        <v>13</v>
      </c>
      <c r="G4" s="2" t="s">
        <v>13</v>
      </c>
      <c r="H4" s="2" t="s">
        <v>13</v>
      </c>
      <c r="J4" s="2" t="s">
        <v>13</v>
      </c>
    </row>
    <row r="5" spans="1:16" x14ac:dyDescent="0.2">
      <c r="A5" s="5" t="s">
        <v>9</v>
      </c>
      <c r="C5" s="10" t="s">
        <v>13</v>
      </c>
      <c r="D5" s="11">
        <v>-14400</v>
      </c>
      <c r="E5" s="2" t="s">
        <v>13</v>
      </c>
      <c r="F5" s="2" t="s">
        <v>13</v>
      </c>
      <c r="G5" s="2" t="s">
        <v>13</v>
      </c>
      <c r="H5" s="2" t="s">
        <v>13</v>
      </c>
      <c r="J5" s="8">
        <f>SUM(D5:I5)</f>
        <v>-14400</v>
      </c>
    </row>
    <row r="6" spans="1:16" x14ac:dyDescent="0.2">
      <c r="A6" s="5" t="s">
        <v>10</v>
      </c>
      <c r="C6" s="7" t="s">
        <v>13</v>
      </c>
      <c r="D6" s="2" t="s">
        <v>13</v>
      </c>
      <c r="E6" s="11">
        <v>120000</v>
      </c>
      <c r="F6" s="11">
        <v>240000</v>
      </c>
      <c r="G6" s="11">
        <v>360000</v>
      </c>
      <c r="H6" s="11">
        <v>480000</v>
      </c>
      <c r="J6" s="8">
        <f t="shared" ref="J6:J7" si="0">SUM(D6:I6)</f>
        <v>1200000</v>
      </c>
    </row>
    <row r="7" spans="1:16" x14ac:dyDescent="0.2">
      <c r="A7" s="5" t="s">
        <v>12</v>
      </c>
      <c r="B7" s="26">
        <v>0.64800000000000002</v>
      </c>
      <c r="C7" s="7" t="s">
        <v>13</v>
      </c>
      <c r="D7" s="2" t="s">
        <v>13</v>
      </c>
      <c r="E7" s="8">
        <f>-E6*$B$7</f>
        <v>-77760</v>
      </c>
      <c r="F7" s="8">
        <f t="shared" ref="F7:H7" si="1">-F6*$B$7</f>
        <v>-155520</v>
      </c>
      <c r="G7" s="8">
        <f t="shared" si="1"/>
        <v>-233280</v>
      </c>
      <c r="H7" s="8">
        <f t="shared" si="1"/>
        <v>-311040</v>
      </c>
      <c r="J7" s="8">
        <f t="shared" si="0"/>
        <v>-777600</v>
      </c>
    </row>
    <row r="8" spans="1:16" x14ac:dyDescent="0.2">
      <c r="A8" s="5" t="s">
        <v>34</v>
      </c>
      <c r="C8" s="7" t="s">
        <v>13</v>
      </c>
      <c r="D8" s="12">
        <f>+D5+D3</f>
        <v>-100800</v>
      </c>
      <c r="E8" s="13">
        <f>+E6+E7</f>
        <v>42240</v>
      </c>
      <c r="F8" s="13">
        <f t="shared" ref="F8:H8" si="2">+F6+F7</f>
        <v>84480</v>
      </c>
      <c r="G8" s="13">
        <f t="shared" si="2"/>
        <v>126720</v>
      </c>
      <c r="H8" s="13">
        <f t="shared" si="2"/>
        <v>168960</v>
      </c>
      <c r="J8" s="13">
        <f>SUM(D8:I8)</f>
        <v>321600</v>
      </c>
      <c r="L8" s="14"/>
    </row>
    <row r="9" spans="1:16" x14ac:dyDescent="0.2">
      <c r="A9" s="5" t="s">
        <v>11</v>
      </c>
      <c r="B9" s="26">
        <v>0.12</v>
      </c>
      <c r="C9" s="7" t="s">
        <v>13</v>
      </c>
      <c r="D9" s="2" t="s">
        <v>13</v>
      </c>
      <c r="E9" s="8">
        <f>-E6*$B$9</f>
        <v>-14400</v>
      </c>
      <c r="F9" s="8">
        <f t="shared" ref="F9:H9" si="3">-F6*$B$9</f>
        <v>-28800</v>
      </c>
      <c r="G9" s="8">
        <f t="shared" si="3"/>
        <v>-43200</v>
      </c>
      <c r="H9" s="8">
        <f t="shared" si="3"/>
        <v>-57600</v>
      </c>
      <c r="J9" s="8">
        <f>SUM(D9:I9)</f>
        <v>-144000</v>
      </c>
      <c r="L9" s="8"/>
    </row>
    <row r="10" spans="1:16" x14ac:dyDescent="0.2">
      <c r="A10" s="5" t="s">
        <v>14</v>
      </c>
      <c r="C10" s="15">
        <f>+C4</f>
        <v>-24000</v>
      </c>
      <c r="D10" s="16">
        <f>+D8</f>
        <v>-100800</v>
      </c>
      <c r="E10" s="13">
        <f>SUM(E8:E9)</f>
        <v>27840</v>
      </c>
      <c r="F10" s="13">
        <f>SUM(F8:F9)</f>
        <v>55680</v>
      </c>
      <c r="G10" s="13">
        <f>SUM(G8:G9)</f>
        <v>83520</v>
      </c>
      <c r="H10" s="13">
        <f>SUM(H8:H9)</f>
        <v>111360</v>
      </c>
      <c r="J10" s="13">
        <f>SUM(D10:I10)</f>
        <v>177600</v>
      </c>
      <c r="L10" s="8"/>
      <c r="M10" s="14"/>
      <c r="N10" s="17"/>
    </row>
    <row r="11" spans="1:16" x14ac:dyDescent="0.2">
      <c r="A11" s="5" t="s">
        <v>15</v>
      </c>
      <c r="C11" s="18" t="s">
        <v>13</v>
      </c>
      <c r="D11" s="19">
        <f>+$C$4/5</f>
        <v>-4800</v>
      </c>
      <c r="E11" s="20">
        <f>+$C$4/5</f>
        <v>-4800</v>
      </c>
      <c r="F11" s="20">
        <f t="shared" ref="F11:H11" si="4">+$C$4/5</f>
        <v>-4800</v>
      </c>
      <c r="G11" s="20">
        <f t="shared" si="4"/>
        <v>-4800</v>
      </c>
      <c r="H11" s="20">
        <f t="shared" si="4"/>
        <v>-4800</v>
      </c>
      <c r="J11" s="8">
        <f>SUM(D11:I11)</f>
        <v>-24000</v>
      </c>
    </row>
    <row r="12" spans="1:16" ht="15" thickBot="1" x14ac:dyDescent="0.25">
      <c r="A12" s="5" t="s">
        <v>35</v>
      </c>
      <c r="C12" s="21" t="s">
        <v>13</v>
      </c>
      <c r="D12" s="22">
        <f>SUM(D10:D11)</f>
        <v>-105600</v>
      </c>
      <c r="E12" s="23">
        <f>SUM(E10:E11)</f>
        <v>23040</v>
      </c>
      <c r="F12" s="23">
        <f>SUM(F10:F11)</f>
        <v>50880</v>
      </c>
      <c r="G12" s="23">
        <f>SUM(G10:G11)</f>
        <v>78720</v>
      </c>
      <c r="H12" s="23">
        <f>SUM(H10:H11)</f>
        <v>106560</v>
      </c>
      <c r="J12" s="24">
        <f>SUM(J10:J11)</f>
        <v>153600</v>
      </c>
      <c r="L12" s="41">
        <f>+J12/5</f>
        <v>30720</v>
      </c>
      <c r="M12" s="43" t="s">
        <v>25</v>
      </c>
      <c r="O12" s="42" t="s">
        <v>40</v>
      </c>
      <c r="P12" s="25">
        <f>+L12/L13</f>
        <v>1.536</v>
      </c>
    </row>
    <row r="13" spans="1:16" x14ac:dyDescent="0.2">
      <c r="L13" s="40">
        <v>20000</v>
      </c>
      <c r="M13" s="5" t="s">
        <v>39</v>
      </c>
    </row>
    <row r="14" spans="1:16" x14ac:dyDescent="0.2">
      <c r="A14" s="5" t="s">
        <v>17</v>
      </c>
      <c r="B14" s="26">
        <v>0.16</v>
      </c>
      <c r="H14" s="8"/>
      <c r="J14" s="8"/>
    </row>
    <row r="15" spans="1:16" x14ac:dyDescent="0.2">
      <c r="C15" s="4" t="s">
        <v>2</v>
      </c>
      <c r="D15" s="4" t="s">
        <v>0</v>
      </c>
      <c r="E15" s="4" t="s">
        <v>1</v>
      </c>
      <c r="F15" s="4" t="s">
        <v>3</v>
      </c>
      <c r="G15" s="4" t="s">
        <v>4</v>
      </c>
      <c r="H15" s="4" t="s">
        <v>5</v>
      </c>
    </row>
    <row r="16" spans="1:16" x14ac:dyDescent="0.2">
      <c r="A16" s="5" t="s">
        <v>18</v>
      </c>
      <c r="B16" s="27">
        <f>100%+B14</f>
        <v>1.1599999999999999</v>
      </c>
      <c r="C16" s="2">
        <v>1</v>
      </c>
      <c r="D16" s="5">
        <f>+ROUND(1/$B$16,5)</f>
        <v>0.86207</v>
      </c>
      <c r="E16" s="5">
        <f>+ROUND(1/($B$16*$B$16),5)</f>
        <v>0.74316000000000004</v>
      </c>
      <c r="F16" s="5">
        <f>+ROUND(1/($B$16*$B$16*$B$16),5)</f>
        <v>0.64066000000000001</v>
      </c>
      <c r="G16" s="5">
        <f>+ROUND(1/($B$16*$B$16*$B$16*$B$16),5)</f>
        <v>0.55228999999999995</v>
      </c>
      <c r="H16" s="5">
        <f>+ROUND(1/($B$16*$B$16*$B$16*$B$16*$B$16),5)</f>
        <v>0.47610999999999998</v>
      </c>
    </row>
    <row r="18" spans="1:16" ht="15" thickBot="1" x14ac:dyDescent="0.25">
      <c r="A18" s="5" t="s">
        <v>19</v>
      </c>
      <c r="C18" s="28">
        <f>+C4*C16</f>
        <v>-24000</v>
      </c>
      <c r="D18" s="28">
        <f>+ROUND(D10*D16,0)</f>
        <v>-86897</v>
      </c>
      <c r="E18" s="28">
        <f t="shared" ref="E18:H18" si="5">+ROUND(E10*E16,0)</f>
        <v>20690</v>
      </c>
      <c r="F18" s="28">
        <f t="shared" si="5"/>
        <v>35672</v>
      </c>
      <c r="G18" s="28">
        <f t="shared" si="5"/>
        <v>46127</v>
      </c>
      <c r="H18" s="28">
        <f t="shared" si="5"/>
        <v>53020</v>
      </c>
      <c r="J18" s="28">
        <f>SUM(C18:I18)</f>
        <v>44612</v>
      </c>
    </row>
    <row r="19" spans="1:16" ht="15.75" thickTop="1" thickBot="1" x14ac:dyDescent="0.25"/>
    <row r="20" spans="1:16" x14ac:dyDescent="0.2">
      <c r="A20" s="29" t="s">
        <v>23</v>
      </c>
      <c r="B20" s="30">
        <f>NPV($B$14,D10:H10)</f>
        <v>68612.220602561094</v>
      </c>
    </row>
    <row r="21" spans="1:16" x14ac:dyDescent="0.2">
      <c r="A21" s="31" t="s">
        <v>21</v>
      </c>
      <c r="B21" s="32">
        <f>+C4</f>
        <v>-24000</v>
      </c>
    </row>
    <row r="22" spans="1:16" ht="15" thickBot="1" x14ac:dyDescent="0.25">
      <c r="A22" s="33" t="s">
        <v>22</v>
      </c>
      <c r="B22" s="34">
        <f>+B20+B21</f>
        <v>44612.220602561094</v>
      </c>
    </row>
    <row r="23" spans="1:16" ht="15" thickBot="1" x14ac:dyDescent="0.25"/>
    <row r="24" spans="1:16" ht="15" thickBot="1" x14ac:dyDescent="0.25">
      <c r="A24" s="35" t="s">
        <v>24</v>
      </c>
      <c r="B24" s="36">
        <f>IRR(C10:H10,50%)</f>
        <v>0.29789126183867354</v>
      </c>
    </row>
    <row r="25" spans="1:16" ht="15" thickBot="1" x14ac:dyDescent="0.25"/>
    <row r="26" spans="1:16" ht="15" thickBot="1" x14ac:dyDescent="0.25">
      <c r="A26" s="37" t="s">
        <v>33</v>
      </c>
      <c r="B26" s="38">
        <v>2</v>
      </c>
    </row>
    <row r="28" spans="1:16" ht="15" x14ac:dyDescent="0.25">
      <c r="A28" s="44" t="s">
        <v>26</v>
      </c>
      <c r="L28" s="5" t="s">
        <v>36</v>
      </c>
      <c r="M28" s="8"/>
      <c r="O28" s="5" t="s">
        <v>43</v>
      </c>
    </row>
    <row r="29" spans="1:16" x14ac:dyDescent="0.2">
      <c r="A29" s="5" t="s">
        <v>41</v>
      </c>
      <c r="L29" s="2" t="s">
        <v>38</v>
      </c>
      <c r="M29" s="2" t="s">
        <v>6</v>
      </c>
      <c r="O29" s="2" t="s">
        <v>37</v>
      </c>
      <c r="P29" s="2" t="s">
        <v>6</v>
      </c>
    </row>
    <row r="30" spans="1:16" x14ac:dyDescent="0.2">
      <c r="A30" s="5" t="s">
        <v>42</v>
      </c>
      <c r="L30" s="45">
        <v>0.16</v>
      </c>
      <c r="M30" s="46">
        <v>88566</v>
      </c>
      <c r="O30" s="45">
        <v>0.54</v>
      </c>
      <c r="P30" s="46">
        <v>88566</v>
      </c>
    </row>
    <row r="31" spans="1:16" x14ac:dyDescent="0.2">
      <c r="A31" s="5" t="s">
        <v>27</v>
      </c>
      <c r="L31" s="45">
        <v>0.2</v>
      </c>
      <c r="M31" s="46">
        <v>68959</v>
      </c>
      <c r="O31" s="45">
        <v>0.57999999999999996</v>
      </c>
      <c r="P31" s="46">
        <v>68457</v>
      </c>
    </row>
    <row r="32" spans="1:16" x14ac:dyDescent="0.2">
      <c r="L32" s="45">
        <v>0.24</v>
      </c>
      <c r="M32" s="46">
        <v>52638</v>
      </c>
      <c r="O32" s="45">
        <v>0.62</v>
      </c>
      <c r="P32" s="46">
        <v>48348</v>
      </c>
    </row>
    <row r="33" spans="1:16" x14ac:dyDescent="0.2">
      <c r="A33" s="48" t="s">
        <v>28</v>
      </c>
      <c r="B33" s="49"/>
      <c r="C33" s="50">
        <f>+$J$18-$C$4</f>
        <v>68612</v>
      </c>
      <c r="D33" s="51">
        <f>+C33/C34</f>
        <v>2.8588333333333331</v>
      </c>
      <c r="E33" s="48" t="s">
        <v>30</v>
      </c>
      <c r="L33" s="45">
        <v>0.28000000000000003</v>
      </c>
      <c r="M33" s="46">
        <v>38978</v>
      </c>
      <c r="O33" s="45">
        <v>0.66</v>
      </c>
      <c r="P33" s="46">
        <v>28239</v>
      </c>
    </row>
    <row r="34" spans="1:16" x14ac:dyDescent="0.2">
      <c r="A34" s="48"/>
      <c r="B34" s="49"/>
      <c r="C34" s="52">
        <f>-$C$4</f>
        <v>24000</v>
      </c>
      <c r="D34" s="51"/>
      <c r="E34" s="48"/>
      <c r="L34" s="45">
        <v>0.32</v>
      </c>
      <c r="M34" s="46">
        <v>27488</v>
      </c>
      <c r="O34" s="45">
        <v>0.7</v>
      </c>
      <c r="P34" s="46">
        <v>8131</v>
      </c>
    </row>
    <row r="35" spans="1:16" x14ac:dyDescent="0.2">
      <c r="D35" s="39"/>
      <c r="L35" s="45">
        <v>0.36</v>
      </c>
      <c r="M35" s="46">
        <v>17782</v>
      </c>
      <c r="O35" s="45">
        <v>0.74</v>
      </c>
      <c r="P35" s="46">
        <v>-11978</v>
      </c>
    </row>
    <row r="36" spans="1:16" x14ac:dyDescent="0.2">
      <c r="A36" s="53" t="s">
        <v>29</v>
      </c>
      <c r="B36" s="54"/>
      <c r="C36" s="55">
        <f>+$J$18</f>
        <v>44612</v>
      </c>
      <c r="D36" s="56">
        <f>+C36/C37</f>
        <v>1.8588333333333333</v>
      </c>
      <c r="E36" s="53" t="s">
        <v>31</v>
      </c>
      <c r="L36" s="45">
        <v>0.4</v>
      </c>
      <c r="M36" s="46">
        <v>9544</v>
      </c>
    </row>
    <row r="37" spans="1:16" x14ac:dyDescent="0.2">
      <c r="A37" s="53"/>
      <c r="B37" s="54"/>
      <c r="C37" s="57">
        <f>-$C$4</f>
        <v>24000</v>
      </c>
      <c r="D37" s="53"/>
      <c r="E37" s="53"/>
      <c r="L37" s="45">
        <v>0.44</v>
      </c>
      <c r="M37" s="46">
        <v>2532</v>
      </c>
    </row>
    <row r="38" spans="1:16" x14ac:dyDescent="0.2">
      <c r="L38" s="47">
        <v>0.45612999999999998</v>
      </c>
      <c r="M38" s="46">
        <v>-3465</v>
      </c>
    </row>
    <row r="39" spans="1:16" x14ac:dyDescent="0.2">
      <c r="A39" s="5" t="s">
        <v>32</v>
      </c>
    </row>
    <row r="58" spans="1:6" x14ac:dyDescent="0.2">
      <c r="B58" s="68" t="s">
        <v>60</v>
      </c>
      <c r="C58" s="68" t="s">
        <v>63</v>
      </c>
      <c r="D58" s="68" t="s">
        <v>62</v>
      </c>
      <c r="E58" s="68" t="s">
        <v>64</v>
      </c>
      <c r="F58" s="68" t="s">
        <v>61</v>
      </c>
    </row>
    <row r="59" spans="1:6" x14ac:dyDescent="0.2">
      <c r="B59" s="2" t="s">
        <v>54</v>
      </c>
      <c r="C59" s="27">
        <f>10%</f>
        <v>0.1</v>
      </c>
      <c r="D59" s="27">
        <v>0.15</v>
      </c>
      <c r="E59" s="27">
        <v>0.2</v>
      </c>
      <c r="F59" s="27">
        <v>0.2</v>
      </c>
    </row>
    <row r="60" spans="1:6" x14ac:dyDescent="0.2">
      <c r="A60" s="5" t="s">
        <v>44</v>
      </c>
      <c r="B60" s="58">
        <v>0.54</v>
      </c>
      <c r="C60" s="60">
        <f>+B60*1.1</f>
        <v>0.59400000000000008</v>
      </c>
      <c r="D60" s="60">
        <f>+B60*1.15</f>
        <v>0.621</v>
      </c>
      <c r="E60" s="60">
        <f>+B60*1.2</f>
        <v>0.64800000000000002</v>
      </c>
      <c r="F60" s="60">
        <f>+B60*1.2</f>
        <v>0.64800000000000002</v>
      </c>
    </row>
    <row r="61" spans="1:6" x14ac:dyDescent="0.2">
      <c r="A61" s="5" t="s">
        <v>45</v>
      </c>
      <c r="B61" s="58">
        <v>0.1</v>
      </c>
      <c r="C61" s="60">
        <f>+B61*1.1</f>
        <v>0.11000000000000001</v>
      </c>
      <c r="D61" s="60">
        <f>+B61*1.15</f>
        <v>0.11499999999999999</v>
      </c>
      <c r="E61" s="60">
        <f>+B61*1.2</f>
        <v>0.12</v>
      </c>
      <c r="F61" s="60">
        <f>+B61*1.2</f>
        <v>0.12</v>
      </c>
    </row>
    <row r="62" spans="1:6" x14ac:dyDescent="0.2">
      <c r="A62" s="5" t="s">
        <v>46</v>
      </c>
      <c r="B62" s="58">
        <v>0.16</v>
      </c>
      <c r="C62" s="60">
        <f>+B62*1.1</f>
        <v>0.17600000000000002</v>
      </c>
      <c r="D62" s="60">
        <f>+B62*1.15</f>
        <v>0.184</v>
      </c>
      <c r="E62" s="60">
        <f>+B62*1.2</f>
        <v>0.192</v>
      </c>
      <c r="F62" s="67">
        <v>0.16</v>
      </c>
    </row>
    <row r="63" spans="1:6" x14ac:dyDescent="0.2">
      <c r="A63" s="5" t="s">
        <v>51</v>
      </c>
      <c r="B63" s="59">
        <v>20000</v>
      </c>
      <c r="C63" s="61">
        <f>+B63*1.1</f>
        <v>22000</v>
      </c>
      <c r="D63" s="61">
        <f>+B63*1.15</f>
        <v>23000</v>
      </c>
      <c r="E63" s="61">
        <f>+B63*1.2</f>
        <v>24000</v>
      </c>
      <c r="F63" s="61">
        <f>+B63*1.2</f>
        <v>24000</v>
      </c>
    </row>
    <row r="64" spans="1:6" x14ac:dyDescent="0.2">
      <c r="A64" s="5" t="s">
        <v>52</v>
      </c>
      <c r="B64" s="59">
        <v>72000</v>
      </c>
      <c r="C64" s="61">
        <f t="shared" ref="C64:C65" si="6">+B64*1.1</f>
        <v>79200</v>
      </c>
      <c r="D64" s="61">
        <f t="shared" ref="D64:D65" si="7">+B64*1.15</f>
        <v>82800</v>
      </c>
      <c r="E64" s="61">
        <f t="shared" ref="E64:F65" si="8">+B64*1.2</f>
        <v>86400</v>
      </c>
      <c r="F64" s="61">
        <f t="shared" ref="F64:F65" si="9">+B64*1.2</f>
        <v>86400</v>
      </c>
    </row>
    <row r="65" spans="1:6" x14ac:dyDescent="0.2">
      <c r="A65" s="5" t="s">
        <v>53</v>
      </c>
      <c r="B65" s="59">
        <v>12000</v>
      </c>
      <c r="C65" s="61">
        <f t="shared" si="6"/>
        <v>13200.000000000002</v>
      </c>
      <c r="D65" s="61">
        <f t="shared" si="7"/>
        <v>13799.999999999998</v>
      </c>
      <c r="E65" s="61">
        <f t="shared" si="8"/>
        <v>14400</v>
      </c>
      <c r="F65" s="61">
        <f t="shared" si="9"/>
        <v>14400</v>
      </c>
    </row>
    <row r="66" spans="1:6" x14ac:dyDescent="0.2">
      <c r="A66" s="5" t="s">
        <v>47</v>
      </c>
      <c r="B66" s="62">
        <v>120000</v>
      </c>
      <c r="C66" s="62">
        <v>120000</v>
      </c>
      <c r="D66" s="62">
        <v>120000</v>
      </c>
      <c r="E66" s="62">
        <v>120000</v>
      </c>
      <c r="F66" s="62">
        <v>120000</v>
      </c>
    </row>
    <row r="67" spans="1:6" x14ac:dyDescent="0.2">
      <c r="A67" s="5" t="s">
        <v>48</v>
      </c>
      <c r="B67" s="62">
        <v>240000</v>
      </c>
      <c r="C67" s="62">
        <v>240000</v>
      </c>
      <c r="D67" s="62">
        <v>240000</v>
      </c>
      <c r="E67" s="62">
        <v>240000</v>
      </c>
      <c r="F67" s="62">
        <v>240000</v>
      </c>
    </row>
    <row r="68" spans="1:6" x14ac:dyDescent="0.2">
      <c r="A68" s="5" t="s">
        <v>49</v>
      </c>
      <c r="B68" s="62">
        <v>360000</v>
      </c>
      <c r="C68" s="62">
        <v>360000</v>
      </c>
      <c r="D68" s="62">
        <v>360000</v>
      </c>
      <c r="E68" s="62">
        <v>360000</v>
      </c>
      <c r="F68" s="62">
        <v>360000</v>
      </c>
    </row>
    <row r="69" spans="1:6" x14ac:dyDescent="0.2">
      <c r="A69" s="5" t="s">
        <v>50</v>
      </c>
      <c r="B69" s="62">
        <v>480000</v>
      </c>
      <c r="C69" s="62">
        <v>480000</v>
      </c>
      <c r="D69" s="62">
        <v>480000</v>
      </c>
      <c r="E69" s="62">
        <v>480000</v>
      </c>
      <c r="F69" s="62">
        <v>480000</v>
      </c>
    </row>
    <row r="70" spans="1:6" x14ac:dyDescent="0.2">
      <c r="A70" s="5" t="s">
        <v>55</v>
      </c>
      <c r="B70" s="63">
        <v>148893</v>
      </c>
      <c r="C70" s="63">
        <v>87674</v>
      </c>
      <c r="D70" s="63">
        <v>59008</v>
      </c>
      <c r="E70" s="63">
        <v>31551</v>
      </c>
      <c r="F70" s="63">
        <v>44612</v>
      </c>
    </row>
    <row r="71" spans="1:6" x14ac:dyDescent="0.2">
      <c r="A71" s="5" t="s">
        <v>56</v>
      </c>
      <c r="B71" s="65">
        <v>0.61370000000000002</v>
      </c>
      <c r="C71" s="65">
        <v>0.45440000000000003</v>
      </c>
      <c r="D71" s="65">
        <v>0.37619999999999998</v>
      </c>
      <c r="E71" s="65">
        <v>0.2979</v>
      </c>
      <c r="F71" s="65">
        <v>0.2979</v>
      </c>
    </row>
    <row r="72" spans="1:6" x14ac:dyDescent="0.2">
      <c r="A72" s="5" t="s">
        <v>57</v>
      </c>
      <c r="B72" s="66">
        <v>3.28</v>
      </c>
      <c r="C72" s="66">
        <v>2.4079999999999999</v>
      </c>
      <c r="D72" s="66">
        <v>1.972</v>
      </c>
      <c r="E72" s="66">
        <v>1.536</v>
      </c>
      <c r="F72" s="66">
        <v>1.536</v>
      </c>
    </row>
    <row r="73" spans="1:6" x14ac:dyDescent="0.2">
      <c r="A73" s="5" t="s">
        <v>58</v>
      </c>
      <c r="B73" s="64">
        <v>8.44</v>
      </c>
      <c r="C73" s="64">
        <v>4.99</v>
      </c>
      <c r="D73" s="64">
        <v>3.57</v>
      </c>
      <c r="E73" s="64">
        <v>2.31</v>
      </c>
      <c r="F73" s="64">
        <v>2.86</v>
      </c>
    </row>
    <row r="74" spans="1:6" x14ac:dyDescent="0.2">
      <c r="A74" s="5" t="s">
        <v>59</v>
      </c>
      <c r="B74" s="64">
        <v>7.44</v>
      </c>
      <c r="C74" s="64">
        <v>3.99</v>
      </c>
      <c r="D74" s="64">
        <v>2.57</v>
      </c>
      <c r="E74" s="64">
        <v>1.31</v>
      </c>
      <c r="F74" s="64">
        <v>1.86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Conservative Sales Estimate</vt:lpstr>
      <vt:lpstr>Expected Sales Estimate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2023-03-27T14:41:58Z</dcterms:created>
  <dcterms:modified xsi:type="dcterms:W3CDTF">2023-05-19T20:11:49Z</dcterms:modified>
</cp:coreProperties>
</file>