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TSD\Financial Management and Planning\Block 2\Assignment 1\"/>
    </mc:Choice>
  </mc:AlternateContent>
  <xr:revisionPtr revIDLastSave="0" documentId="13_ncr:1_{D092040D-7CCB-496E-9E62-E6787AC72B6D}" xr6:coauthVersionLast="47" xr6:coauthVersionMax="47" xr10:uidLastSave="{00000000-0000-0000-0000-000000000000}"/>
  <bookViews>
    <workbookView xWindow="-108" yWindow="-108" windowWidth="23256" windowHeight="12456" xr2:uid="{58862D6F-3C9E-4A3F-B1CF-22AC673550FB}"/>
  </bookViews>
  <sheets>
    <sheet name="Data" sheetId="1" r:id="rId1"/>
    <sheet name="Price per Earnigs Ratio" sheetId="19" r:id="rId2"/>
    <sheet name="Earnings Ordinary Share Ratio" sheetId="18" r:id="rId3"/>
    <sheet name="Interest Coverage Ratio" sheetId="17" r:id="rId4"/>
    <sheet name="Long Term Debt  Equity Ratio" sheetId="16" r:id="rId5"/>
    <sheet name="Debt  Equity Ratio" sheetId="15" r:id="rId6"/>
    <sheet name="Gearing Ratio" sheetId="14" r:id="rId7"/>
    <sheet name="Days Payable Outstanding" sheetId="13" r:id="rId8"/>
    <sheet name="Inventory Turnover" sheetId="12" r:id="rId9"/>
    <sheet name="Days Sales Outstanding" sheetId="11" r:id="rId10"/>
    <sheet name="Cash Ratio" sheetId="10" r:id="rId11"/>
    <sheet name="Quick Ratio" sheetId="9" r:id="rId12"/>
    <sheet name="Current Ratio" sheetId="8" r:id="rId13"/>
    <sheet name="Gross Profit Margin Ratio" sheetId="3" r:id="rId14"/>
    <sheet name="Operati Profit Margin Ratio" sheetId="4" r:id="rId15"/>
    <sheet name="Net Profit Margin Ratio" sheetId="5" r:id="rId16"/>
    <sheet name="Return On Assets Ratio" sheetId="6" r:id="rId17"/>
    <sheet name="Return On Shareholders Equity r" sheetId="7" r:id="rId18"/>
    <sheet name="Graphs" sheetId="2" r:id="rId1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9" l="1"/>
  <c r="H5" i="18"/>
  <c r="H5" i="17"/>
  <c r="H5" i="16"/>
  <c r="H5" i="15"/>
  <c r="H5" i="14" l="1"/>
  <c r="O48" i="1"/>
  <c r="N48" i="1"/>
  <c r="M48" i="1"/>
  <c r="L48" i="1"/>
  <c r="K48" i="1"/>
  <c r="H5" i="13"/>
  <c r="H5" i="12"/>
  <c r="C3" i="10" l="1"/>
  <c r="D3" i="10"/>
  <c r="E3" i="10"/>
  <c r="F3" i="10"/>
  <c r="G3" i="10"/>
  <c r="C4" i="10"/>
  <c r="D4" i="10"/>
  <c r="G4" i="10"/>
  <c r="F4" i="10"/>
  <c r="E4" i="10"/>
  <c r="O16" i="1"/>
  <c r="N16" i="1"/>
  <c r="M16" i="1"/>
  <c r="L16" i="1"/>
  <c r="K16" i="1"/>
  <c r="G13" i="4"/>
  <c r="F13" i="4"/>
  <c r="E13" i="4"/>
  <c r="D13" i="4"/>
  <c r="C13" i="4"/>
  <c r="C12" i="4"/>
  <c r="I5" i="4"/>
  <c r="I5" i="3"/>
  <c r="P16" i="1" l="1"/>
  <c r="N26" i="1"/>
  <c r="M26" i="1"/>
  <c r="L26" i="1"/>
  <c r="K26" i="1"/>
  <c r="G28" i="1"/>
  <c r="O27" i="1" s="1"/>
  <c r="O28" i="1" s="1"/>
  <c r="F28" i="1"/>
  <c r="N27" i="1" s="1"/>
  <c r="N28" i="1" s="1"/>
  <c r="E28" i="1"/>
  <c r="M27" i="1" s="1"/>
  <c r="M28" i="1" s="1"/>
  <c r="D28" i="1"/>
  <c r="L27" i="1" s="1"/>
  <c r="L28" i="1" s="1"/>
  <c r="C28" i="1"/>
  <c r="K27" i="1" s="1"/>
  <c r="K28" i="1" s="1"/>
  <c r="O26" i="1"/>
  <c r="K24" i="1"/>
  <c r="K25" i="1" s="1"/>
  <c r="G27" i="1"/>
  <c r="O24" i="1" s="1"/>
  <c r="O25" i="1" s="1"/>
  <c r="F27" i="1"/>
  <c r="N24" i="1" s="1"/>
  <c r="N25" i="1" s="1"/>
  <c r="E27" i="1"/>
  <c r="M24" i="1" s="1"/>
  <c r="M25" i="1" s="1"/>
  <c r="D27" i="1"/>
  <c r="L24" i="1" s="1"/>
  <c r="L25" i="1" s="1"/>
  <c r="O19" i="1"/>
  <c r="O20" i="1" s="1"/>
  <c r="N19" i="1"/>
  <c r="N20" i="1" s="1"/>
  <c r="M19" i="1"/>
  <c r="M20" i="1" s="1"/>
  <c r="L19" i="1"/>
  <c r="L20" i="1" s="1"/>
  <c r="K19" i="1"/>
  <c r="K20" i="1" s="1"/>
  <c r="P20" i="1" s="1"/>
  <c r="O17" i="1"/>
  <c r="O18" i="1" s="1"/>
  <c r="N17" i="1"/>
  <c r="N18" i="1" s="1"/>
  <c r="M17" i="1"/>
  <c r="M18" i="1" s="1"/>
  <c r="L17" i="1"/>
  <c r="L18" i="1" s="1"/>
  <c r="K17" i="1"/>
  <c r="K18" i="1" s="1"/>
  <c r="P18" i="1" s="1"/>
  <c r="G29" i="1" l="1"/>
  <c r="G32" i="1" s="1"/>
  <c r="O45" i="1" s="1"/>
  <c r="O46" i="1" s="1"/>
  <c r="G23" i="1"/>
  <c r="G20" i="1"/>
  <c r="O10" i="1" s="1"/>
  <c r="G16" i="1"/>
  <c r="G9" i="1"/>
  <c r="O37" i="1" s="1"/>
  <c r="F29" i="1"/>
  <c r="F32" i="1" s="1"/>
  <c r="N45" i="1" s="1"/>
  <c r="N46" i="1" s="1"/>
  <c r="F23" i="1"/>
  <c r="F20" i="1"/>
  <c r="N10" i="1" s="1"/>
  <c r="F16" i="1"/>
  <c r="F9" i="1"/>
  <c r="N37" i="1" s="1"/>
  <c r="E29" i="1"/>
  <c r="E32" i="1" s="1"/>
  <c r="M45" i="1" s="1"/>
  <c r="M46" i="1" s="1"/>
  <c r="E23" i="1"/>
  <c r="E20" i="1"/>
  <c r="M10" i="1" s="1"/>
  <c r="E9" i="1"/>
  <c r="M37" i="1" s="1"/>
  <c r="D29" i="1"/>
  <c r="D32" i="1" s="1"/>
  <c r="L45" i="1" s="1"/>
  <c r="L46" i="1" s="1"/>
  <c r="D23" i="1"/>
  <c r="D20" i="1"/>
  <c r="L10" i="1" s="1"/>
  <c r="D16" i="1"/>
  <c r="D9" i="1"/>
  <c r="K4" i="1"/>
  <c r="C29" i="1"/>
  <c r="C32" i="1" s="1"/>
  <c r="K45" i="1" s="1"/>
  <c r="K46" i="1" s="1"/>
  <c r="C16" i="1"/>
  <c r="C8" i="1"/>
  <c r="O4" i="1"/>
  <c r="N4" i="1"/>
  <c r="M4" i="1"/>
  <c r="L4" i="1"/>
  <c r="L5" i="1" s="1"/>
  <c r="N34" i="1" l="1"/>
  <c r="M6" i="1"/>
  <c r="M7" i="1" s="1"/>
  <c r="G13" i="1"/>
  <c r="G15" i="1" s="1"/>
  <c r="G17" i="1" s="1"/>
  <c r="O40" i="1" s="1"/>
  <c r="O42" i="1" s="1"/>
  <c r="L34" i="1"/>
  <c r="L6" i="1"/>
  <c r="L7" i="1" s="1"/>
  <c r="L37" i="1"/>
  <c r="N12" i="1"/>
  <c r="N35" i="1"/>
  <c r="N33" i="1"/>
  <c r="K12" i="1"/>
  <c r="K35" i="1"/>
  <c r="K33" i="1"/>
  <c r="M34" i="1"/>
  <c r="O12" i="1"/>
  <c r="O35" i="1"/>
  <c r="O33" i="1"/>
  <c r="L12" i="1"/>
  <c r="L35" i="1"/>
  <c r="L33" i="1"/>
  <c r="M12" i="1"/>
  <c r="M35" i="1"/>
  <c r="M33" i="1"/>
  <c r="O34" i="1"/>
  <c r="G24" i="1"/>
  <c r="E24" i="1"/>
  <c r="D24" i="1"/>
  <c r="O8" i="1"/>
  <c r="N6" i="1"/>
  <c r="N7" i="1" s="1"/>
  <c r="F13" i="1"/>
  <c r="F15" i="1" s="1"/>
  <c r="E13" i="1"/>
  <c r="E15" i="1" s="1"/>
  <c r="O6" i="1"/>
  <c r="O7" i="1" s="1"/>
  <c r="D13" i="1"/>
  <c r="D15" i="1" s="1"/>
  <c r="F24" i="1"/>
  <c r="M5" i="1"/>
  <c r="N5" i="1"/>
  <c r="O5" i="1"/>
  <c r="K5" i="1"/>
  <c r="H54" i="2"/>
  <c r="G54" i="2"/>
  <c r="F54" i="2"/>
  <c r="J18" i="2"/>
  <c r="J19" i="2" s="1"/>
  <c r="I18" i="2"/>
  <c r="I19" i="2" s="1"/>
  <c r="H18" i="2"/>
  <c r="H19" i="2" s="1"/>
  <c r="G18" i="2"/>
  <c r="G19" i="2" s="1"/>
  <c r="F18" i="2"/>
  <c r="F19" i="2" s="1"/>
  <c r="C23" i="1"/>
  <c r="K34" i="1" s="1"/>
  <c r="C20" i="1"/>
  <c r="K10" i="1" s="1"/>
  <c r="C9" i="1"/>
  <c r="K37" i="1" s="1"/>
  <c r="O44" i="1" l="1"/>
  <c r="O47" i="1"/>
  <c r="P5" i="1"/>
  <c r="E17" i="1"/>
  <c r="M40" i="1" s="1"/>
  <c r="M42" i="1" s="1"/>
  <c r="M8" i="1"/>
  <c r="N8" i="1"/>
  <c r="F17" i="1"/>
  <c r="N40" i="1" s="1"/>
  <c r="N42" i="1" s="1"/>
  <c r="D17" i="1"/>
  <c r="L40" i="1" s="1"/>
  <c r="L42" i="1" s="1"/>
  <c r="L8" i="1"/>
  <c r="O9" i="1"/>
  <c r="O13" i="1"/>
  <c r="O11" i="1"/>
  <c r="C13" i="1"/>
  <c r="C15" i="1" s="1"/>
  <c r="K6" i="1"/>
  <c r="K7" i="1" s="1"/>
  <c r="P7" i="1" s="1"/>
  <c r="C24" i="1"/>
  <c r="N44" i="1" l="1"/>
  <c r="N47" i="1"/>
  <c r="M44" i="1"/>
  <c r="M47" i="1"/>
  <c r="L44" i="1"/>
  <c r="L47" i="1"/>
  <c r="M9" i="1"/>
  <c r="M13" i="1"/>
  <c r="M11" i="1"/>
  <c r="L13" i="1"/>
  <c r="L11" i="1"/>
  <c r="L9" i="1"/>
  <c r="N9" i="1"/>
  <c r="N11" i="1"/>
  <c r="N13" i="1"/>
  <c r="C17" i="1"/>
  <c r="K40" i="1" s="1"/>
  <c r="K42" i="1" s="1"/>
  <c r="K8" i="1"/>
  <c r="K44" i="1" l="1"/>
  <c r="K47" i="1"/>
  <c r="K9" i="1"/>
  <c r="P9" i="1" s="1"/>
  <c r="K11" i="1"/>
  <c r="P11" i="1" s="1"/>
  <c r="K13" i="1"/>
  <c r="P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tc={12FEC06F-5F01-4E8C-9AA4-1B75694C91AF}</author>
    <author>tc={CC550C88-357A-4F99-9D2F-6CB5E65D58F3}</author>
    <author>tc={ECAD6712-66F4-4DB6-BB17-32B19F7B6E28}</author>
    <author>tc={35F2BB9C-2783-48D3-BDB6-81D7142F091F}</author>
    <author>tc={BC723A9A-34A7-4729-A450-9A4E41000088}</author>
    <author>tc={51545965-0499-4F47-BC88-8DE4E937F07A}</author>
    <author>tc={2839B8CB-CCBC-451D-AFC0-96843294DAAE}</author>
  </authors>
  <commentList>
    <comment ref="C7" authorId="0" shapeId="0" xr:uid="{12FEC06F-5F01-4E8C-9AA4-1B75694C91AF}">
      <text>
        <t>[Threaded comment]
Your version of Excel allows you to read this threaded comment; however, any edits to it will get removed if the file is opened in a newer version of Excel. Learn more: https://go.microsoft.com/fwlink/?linkid=870924
Comment:
    Cost of sales</t>
      </text>
    </comment>
    <comment ref="C14" authorId="1" shapeId="0" xr:uid="{CC550C88-357A-4F99-9D2F-6CB5E65D58F3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Financing expense + Taxation</t>
      </text>
    </comment>
    <comment ref="C24" authorId="2" shapeId="0" xr:uid="{ECAD6712-66F4-4DB6-BB17-32B19F7B6E28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assets</t>
      </text>
    </comment>
    <comment ref="D24" authorId="3" shapeId="0" xr:uid="{35F2BB9C-2783-48D3-BDB6-81D7142F091F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assets</t>
      </text>
    </comment>
    <comment ref="E24" authorId="4" shapeId="0" xr:uid="{BC723A9A-34A7-4729-A450-9A4E41000088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assets</t>
      </text>
    </comment>
    <comment ref="F24" authorId="5" shapeId="0" xr:uid="{51545965-0499-4F47-BC88-8DE4E937F07A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assets</t>
      </text>
    </comment>
    <comment ref="G24" authorId="6" shapeId="0" xr:uid="{2839B8CB-CCBC-451D-AFC0-96843294DAAE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assets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tc={774C1ECB-983C-4CE2-85E7-DDB92AE48CE4}</author>
  </authors>
  <commentList>
    <comment ref="C11" authorId="0" shapeId="0" xr:uid="{774C1ECB-983C-4CE2-85E7-DDB92AE48CE4}">
      <text>
        <t>[Threaded comment]
Your version of Excel allows you to read this threaded comment; however, any edits to it will get removed if the file is opened in a newer version of Excel. Learn more: https://go.microsoft.com/fwlink/?linkid=870924
Comment:
    Cost of sales</t>
      </text>
    </comment>
  </commentList>
</comments>
</file>

<file path=xl/sharedStrings.xml><?xml version="1.0" encoding="utf-8"?>
<sst xmlns="http://schemas.openxmlformats.org/spreadsheetml/2006/main" count="162" uniqueCount="119">
  <si>
    <t>Year</t>
  </si>
  <si>
    <t>Revenue</t>
  </si>
  <si>
    <t>Cost Of Goods Sold (COGS)</t>
  </si>
  <si>
    <t>Selling, General and Administrative expenses (SG&amp;A)</t>
  </si>
  <si>
    <t>Operating Profit</t>
  </si>
  <si>
    <t>Interest &amp; Tax</t>
  </si>
  <si>
    <t>Current Assets</t>
  </si>
  <si>
    <t>Total Assets</t>
  </si>
  <si>
    <t>Current Liabilities</t>
  </si>
  <si>
    <t>Long Term Liabilities</t>
  </si>
  <si>
    <t>Total Liabilities</t>
  </si>
  <si>
    <t>Assets Less Liabilities</t>
  </si>
  <si>
    <t>Ordinary Shares</t>
  </si>
  <si>
    <t>Retained Earnings</t>
  </si>
  <si>
    <t>Other Expense / Income</t>
  </si>
  <si>
    <t>Income (Subsidary)</t>
  </si>
  <si>
    <t>Total comprehensive income</t>
  </si>
  <si>
    <t>Shareholder's Equity</t>
  </si>
  <si>
    <t>Liabilities</t>
  </si>
  <si>
    <t>Adjusted operating profit / loss</t>
  </si>
  <si>
    <t>Ratios</t>
  </si>
  <si>
    <t>Gross Margin</t>
  </si>
  <si>
    <t>Gross Margin %</t>
  </si>
  <si>
    <t>Operating Profit %</t>
  </si>
  <si>
    <t>Resolution £m</t>
  </si>
  <si>
    <t>Finance income</t>
  </si>
  <si>
    <t>Finance expense</t>
  </si>
  <si>
    <t>Loss / Profit</t>
  </si>
  <si>
    <t>Other comprehensive income</t>
  </si>
  <si>
    <t>Non-Current Fixed Assets</t>
  </si>
  <si>
    <t>Non-controlling interests</t>
  </si>
  <si>
    <t>Net income</t>
  </si>
  <si>
    <t>Adjusted operating items</t>
  </si>
  <si>
    <t>Net Income %</t>
  </si>
  <si>
    <t>Total assets</t>
  </si>
  <si>
    <t>Return on assets</t>
  </si>
  <si>
    <t>Shareholder's equity</t>
  </si>
  <si>
    <t>Return on Shareholder's equity</t>
  </si>
  <si>
    <t>Current ratio</t>
  </si>
  <si>
    <t>Liquidity Ratios</t>
  </si>
  <si>
    <t>Quick ration (Acid Test Ratio)</t>
  </si>
  <si>
    <t>Inventries</t>
  </si>
  <si>
    <t>Stock / Inventries</t>
  </si>
  <si>
    <t>Cash and cash equivalents</t>
  </si>
  <si>
    <t>Cash ratio</t>
  </si>
  <si>
    <t>Activity ratios</t>
  </si>
  <si>
    <t>Trade and other recievables</t>
  </si>
  <si>
    <t>Days sales outstanding</t>
  </si>
  <si>
    <t>Inventory turnover</t>
  </si>
  <si>
    <t>Trade and other payables</t>
  </si>
  <si>
    <t>Days payable outstanding</t>
  </si>
  <si>
    <t>Gearing ratio</t>
  </si>
  <si>
    <t>Debt / Equity ratio</t>
  </si>
  <si>
    <t>Long term debt / Equity ratio</t>
  </si>
  <si>
    <t>Intrest coverage</t>
  </si>
  <si>
    <t>Interest paid (no tax)</t>
  </si>
  <si>
    <t>Financial ratios</t>
  </si>
  <si>
    <t>Investor ratios</t>
  </si>
  <si>
    <t>Profit after tax</t>
  </si>
  <si>
    <t>Earnings per ordinary share</t>
  </si>
  <si>
    <t>Number of ordinary shares</t>
  </si>
  <si>
    <t>Dividend per share</t>
  </si>
  <si>
    <t>Divedend cover</t>
  </si>
  <si>
    <t>Market value per share</t>
  </si>
  <si>
    <t>Price per earnings ratio</t>
  </si>
  <si>
    <t>Sharholder's equity</t>
  </si>
  <si>
    <t>Dividend yield ratio</t>
  </si>
  <si>
    <t>Average Ferrari Gross Profit Margin %</t>
  </si>
  <si>
    <t>Aston Martin Gross Profit Margin %</t>
  </si>
  <si>
    <t>Average Mercedes Gross Profit Margin %</t>
  </si>
  <si>
    <t>Average Mercedes Net Profit Margin %</t>
  </si>
  <si>
    <t>Average Ferrari Net Profit Margin %</t>
  </si>
  <si>
    <t>Aston Martin Net Profit Margin %</t>
  </si>
  <si>
    <t>Ferrari Net Profit Margin 2015-2023 | RACE | MacroTrends</t>
  </si>
  <si>
    <t>Mercedes-Benz Group AG Net Profit Margin 2010-2023 | MBGAF | MacroTrends</t>
  </si>
  <si>
    <t>Ferrari Return On Assets Margin %</t>
  </si>
  <si>
    <t>Mercedes Return On Assets Margin %</t>
  </si>
  <si>
    <t>Aston Martin Return On Assets Margin %</t>
  </si>
  <si>
    <t>Mercedes Return On Shareholder's equity %</t>
  </si>
  <si>
    <t>Ferrari Return On Shareholder's equity %</t>
  </si>
  <si>
    <t>Aston Martin Return On Shreholder's equity %</t>
  </si>
  <si>
    <t>Average Mercedes Current Ratio</t>
  </si>
  <si>
    <t>Aston Martin Current Ratio</t>
  </si>
  <si>
    <t>Ferrari Quick Ratio</t>
  </si>
  <si>
    <t>Aston Martin Quick Ratio</t>
  </si>
  <si>
    <t>Ferrari Current Ratio</t>
  </si>
  <si>
    <t>Average Mercedes Quick Ratio</t>
  </si>
  <si>
    <t>Average Mercedes Cash Ratio</t>
  </si>
  <si>
    <t>Ferrari Cash Ratio</t>
  </si>
  <si>
    <t>Aston Martin Cash Ratio</t>
  </si>
  <si>
    <t>Mercedes Days sales Outstanding Ratio</t>
  </si>
  <si>
    <t>Aston Martin Days Sales Outstanding Ratio</t>
  </si>
  <si>
    <t>Average Ferrari Days Sales Outstanding Ratio</t>
  </si>
  <si>
    <t>Aston Martin Inventroy Turnover Ratio</t>
  </si>
  <si>
    <t>Average Ferrari Inventory Turnover Ratio</t>
  </si>
  <si>
    <t>Average Mercedes Inventory Turnover Ratio</t>
  </si>
  <si>
    <t>Average Mercedes Days Payable Oustanding Ratio</t>
  </si>
  <si>
    <t>Average Ferrari Days Payable Outstanding Ratio</t>
  </si>
  <si>
    <t>Aston Martin Days Payable Outstanding Ratio</t>
  </si>
  <si>
    <t>Average Mercedes Gearing Ratio</t>
  </si>
  <si>
    <t>Average Ferrari Gearing Ratio</t>
  </si>
  <si>
    <t>Aston Martin Gearing Ratio</t>
  </si>
  <si>
    <t>No data readily available</t>
  </si>
  <si>
    <t>Average Mercedes Equity / Debt Ratio</t>
  </si>
  <si>
    <t>Average Ferrari Equity / Debt Ratio</t>
  </si>
  <si>
    <t>Aston Martin Equity / Debt Ratio</t>
  </si>
  <si>
    <t>Average Mercedes Long term Debt / Equity Ratio</t>
  </si>
  <si>
    <t>Average ferrari Long term Debt / Equity Ratio</t>
  </si>
  <si>
    <t>Aston Martin Long term Debt / Equity Ratio</t>
  </si>
  <si>
    <t>Average Ferrari Interest Coverage Ratio</t>
  </si>
  <si>
    <t>Aston Martin Interest Coverage Ratio</t>
  </si>
  <si>
    <t>Mercedes Interest Coverage Ratio</t>
  </si>
  <si>
    <t>Mercedes Earnings per Ordinary share Ratio</t>
  </si>
  <si>
    <t>Aston Martin Earnings per Ordinary share Ratio</t>
  </si>
  <si>
    <t>No readily avaiable data</t>
  </si>
  <si>
    <t>Ferrari Earnings per Ordinary Share Ratio</t>
  </si>
  <si>
    <t>Mercedes Price per Earnings Ratio</t>
  </si>
  <si>
    <t>Ferrari Preice per Earnings Ratio</t>
  </si>
  <si>
    <t>Aston Martin Price per Earnings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</si>
</sst>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#,##0.0"/>
    <numFmt numFmtId="165" formatCode="0.0%"/>
    <numFmt numFmtId="166" formatCode="0.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7">
    <xf numFmtId="0" fontId="0" fillId="0" borderId="0" xfId="0"/>
    <xf numFmtId="41" fontId="0" fillId="0" borderId="0" xfId="0" applyNumberFormat="1"/>
    <xf numFmtId="37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4" xfId="0" applyFill="1" applyBorder="1"/>
    <xf numFmtId="164" fontId="0" fillId="0" borderId="5" xfId="0" applyNumberFormat="1" applyBorder="1"/>
    <xf numFmtId="164" fontId="0" fillId="0" borderId="6" xfId="0" applyNumberFormat="1" applyBorder="1"/>
    <xf numFmtId="0" fontId="0" fillId="3" borderId="4" xfId="0" applyFill="1" applyBorder="1" applyAlignment="1">
      <alignment wrapText="1"/>
    </xf>
    <xf numFmtId="0" fontId="0" fillId="2" borderId="4" xfId="0" applyFill="1" applyBorder="1"/>
    <xf numFmtId="0" fontId="0" fillId="2" borderId="7" xfId="0" applyFill="1" applyBorder="1"/>
    <xf numFmtId="164" fontId="0" fillId="0" borderId="8" xfId="0" applyNumberFormat="1" applyBorder="1"/>
    <xf numFmtId="164" fontId="0" fillId="0" borderId="9" xfId="0" applyNumberFormat="1" applyBorder="1"/>
    <xf numFmtId="166" fontId="0" fillId="0" borderId="0" xfId="0" applyNumberFormat="1"/>
    <xf numFmtId="0" fontId="0" fillId="4" borderId="0" xfId="0" applyFill="1"/>
    <xf numFmtId="165" fontId="0" fillId="4" borderId="0" xfId="0" applyNumberFormat="1" applyFill="1"/>
    <xf numFmtId="0" fontId="0" fillId="5" borderId="0" xfId="0" applyFill="1"/>
    <xf numFmtId="2" fontId="0" fillId="5" borderId="0" xfId="0" applyNumberFormat="1" applyFill="1"/>
    <xf numFmtId="0" fontId="0" fillId="6" borderId="0" xfId="0" applyFill="1"/>
    <xf numFmtId="1" fontId="0" fillId="6" borderId="0" xfId="0" applyNumberFormat="1" applyFill="1"/>
    <xf numFmtId="166" fontId="0" fillId="6" borderId="0" xfId="0" applyNumberFormat="1" applyFill="1"/>
    <xf numFmtId="165" fontId="0" fillId="6" borderId="0" xfId="0" applyNumberFormat="1" applyFill="1"/>
    <xf numFmtId="2" fontId="0" fillId="0" borderId="0" xfId="0" applyNumberFormat="1"/>
    <xf numFmtId="0" fontId="0" fillId="7" borderId="0" xfId="0" applyFill="1"/>
    <xf numFmtId="2" fontId="0" fillId="7" borderId="0" xfId="0" applyNumberFormat="1" applyFill="1"/>
    <xf numFmtId="10" fontId="0" fillId="0" borderId="0" xfId="0" applyNumberFormat="1"/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/>
    </xf>
    <xf numFmtId="10" fontId="0" fillId="0" borderId="8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9" fontId="0" fillId="0" borderId="11" xfId="0" applyNumberForma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0" fillId="0" borderId="4" xfId="0" applyBorder="1" applyAlignment="1">
      <alignment horizontal="center" wrapText="1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11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0" fontId="1" fillId="0" borderId="0" xfId="1"/>
    <xf numFmtId="0" fontId="0" fillId="8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0" xfId="0" applyNumberFormat="1"/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'Gross Profit Margin Ratio'!$B$5</c:f>
              <c:strCache>
                <c:ptCount val="1"/>
                <c:pt idx="0">
                  <c:v>Aston Martin Gross Profit Margin %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'Gross Profit Margin Ratio'!$C$2:$G$2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'Gross Profit Margin Ratio'!$C$5:$G$5</c:f>
              <c:numCache>
                <c:formatCode>0.00%</c:formatCode>
                <c:ptCount val="5"/>
                <c:pt idx="0">
                  <c:v>0.39744642042863654</c:v>
                </c:pt>
                <c:pt idx="1">
                  <c:v>0.35556001203248766</c:v>
                </c:pt>
                <c:pt idx="2">
                  <c:v>0.18159529257927423</c:v>
                </c:pt>
                <c:pt idx="3">
                  <c:v>0.31379530722176568</c:v>
                </c:pt>
                <c:pt idx="4">
                  <c:v>0.32623959464350349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76-4617-A128-8584036666DC}"/>
            </c:ext>
          </c:extLst>
        </c:ser>
        <c:ser>
          <c:idx val="1"/>
          <c:order val="1"/>
          <c:tx>
            <c:strRef>
              <c:f>'Gross Profit Margin Ratio'!$B$4</c:f>
              <c:strCache>
                <c:ptCount val="1"/>
                <c:pt idx="0">
                  <c:v>Average Ferrari Gross Profit Margin %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val>
            <c:numRef>
              <c:f>'Gross Profit Margin Ratio'!$C$4:$G$4</c:f>
              <c:numCache>
                <c:formatCode>0%</c:formatCode>
                <c:ptCount val="5"/>
                <c:pt idx="0">
                  <c:v>0.51</c:v>
                </c:pt>
                <c:pt idx="1">
                  <c:v>0.51</c:v>
                </c:pt>
                <c:pt idx="2">
                  <c:v>0.51</c:v>
                </c:pt>
                <c:pt idx="3">
                  <c:v>0.51</c:v>
                </c:pt>
                <c:pt idx="4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76-4617-A128-8584036666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6986352"/>
        <c:axId val="18705904"/>
      </c:lineChart>
      <c:catAx>
        <c:axId val="1836986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05904"/>
        <c:crosses val="autoZero"/>
        <c:auto val="1"/>
        <c:lblAlgn val="ctr"/>
        <c:lblOffset val="100"/>
        <c:noMultiLvlLbl val="0"/>
      </c:catAx>
      <c:valAx>
        <c:axId val="18705904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6986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Aston</a:t>
            </a:r>
            <a:r>
              <a:rPr lang="en-GB" baseline="0"/>
              <a:t> Martin Financial Performance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'Operati Profit Margin Ratio'!$B$8</c:f>
              <c:strCache>
                <c:ptCount val="1"/>
                <c:pt idx="0">
                  <c:v>Revenue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'Operati Profit Margin Ratio'!$C$2:$G$2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'Operati Profit Margin Ratio'!$C$8:$G$8</c:f>
              <c:numCache>
                <c:formatCode>#,##0.0</c:formatCode>
                <c:ptCount val="5"/>
                <c:pt idx="0">
                  <c:v>1096.5</c:v>
                </c:pt>
                <c:pt idx="1">
                  <c:v>997.3</c:v>
                </c:pt>
                <c:pt idx="2">
                  <c:v>611.79999999999995</c:v>
                </c:pt>
                <c:pt idx="3">
                  <c:v>1095.3</c:v>
                </c:pt>
                <c:pt idx="4">
                  <c:v>1381.5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4E-453C-8969-50340030EEBC}"/>
            </c:ext>
          </c:extLst>
        </c:ser>
        <c:ser>
          <c:idx val="1"/>
          <c:order val="1"/>
          <c:tx>
            <c:strRef>
              <c:f>'Operati Profit Margin Ratio'!$B$11</c:f>
              <c:strCache>
                <c:ptCount val="1"/>
                <c:pt idx="0">
                  <c:v>Cost Of Goods Sold (COGS)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'Operati Profit Margin Ratio'!$C$2:$G$2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'Operati Profit Margin Ratio'!$C$11:$G$11</c:f>
              <c:numCache>
                <c:formatCode>#,##0.0</c:formatCode>
                <c:ptCount val="5"/>
                <c:pt idx="0">
                  <c:v>660.7</c:v>
                </c:pt>
                <c:pt idx="1">
                  <c:v>642.70000000000005</c:v>
                </c:pt>
                <c:pt idx="2">
                  <c:v>500.7</c:v>
                </c:pt>
                <c:pt idx="3">
                  <c:v>751.6</c:v>
                </c:pt>
                <c:pt idx="4">
                  <c:v>930.8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E-453C-8969-50340030EEBC}"/>
            </c:ext>
          </c:extLst>
        </c:ser>
        <c:ser>
          <c:idx val="2"/>
          <c:order val="2"/>
          <c:tx>
            <c:strRef>
              <c:f>'Operati Profit Margin Ratio'!$B$12</c:f>
              <c:strCache>
                <c:ptCount val="1"/>
                <c:pt idx="0">
                  <c:v>Selling, General and Administrative expenses (SG&amp;A)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'Operati Profit Margin Ratio'!$C$2:$G$2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'Operati Profit Margin Ratio'!$C$12:$G$12</c:f>
              <c:numCache>
                <c:formatCode>#,##0.0</c:formatCode>
                <c:ptCount val="5"/>
                <c:pt idx="0">
                  <c:v>383</c:v>
                </c:pt>
                <c:pt idx="1">
                  <c:v>330.2</c:v>
                </c:pt>
                <c:pt idx="2">
                  <c:v>336</c:v>
                </c:pt>
                <c:pt idx="3">
                  <c:v>418</c:v>
                </c:pt>
                <c:pt idx="4">
                  <c:v>568.6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4E-453C-8969-50340030EEBC}"/>
            </c:ext>
          </c:extLst>
        </c:ser>
        <c:ser>
          <c:idx val="3"/>
          <c:order val="3"/>
          <c:tx>
            <c:strRef>
              <c:f>'Operati Profit Margin Ratio'!$B$13</c:f>
              <c:strCache>
                <c:ptCount val="1"/>
                <c:pt idx="0">
                  <c:v>Operating Profit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'Operati Profit Margin Ratio'!$C$13:$G$13</c:f>
              <c:numCache>
                <c:formatCode>#,##0.0</c:formatCode>
                <c:ptCount val="5"/>
                <c:pt idx="0">
                  <c:v>72.799999999999955</c:v>
                </c:pt>
                <c:pt idx="1">
                  <c:v>-36.700000000000138</c:v>
                </c:pt>
                <c:pt idx="2">
                  <c:v>-322.90000000000009</c:v>
                </c:pt>
                <c:pt idx="3">
                  <c:v>-76.499999999999957</c:v>
                </c:pt>
                <c:pt idx="4">
                  <c:v>-141.8000000000001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4E-453C-8969-50340030E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53504"/>
        <c:axId val="1835727328"/>
      </c:lineChart>
      <c:catAx>
        <c:axId val="4765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5727328"/>
        <c:crosses val="autoZero"/>
        <c:auto val="1"/>
        <c:lblAlgn val="ctr"/>
        <c:lblOffset val="100"/>
        <c:noMultiLvlLbl val="0"/>
      </c:catAx>
      <c:valAx>
        <c:axId val="1835727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5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Graphs!$A$19</c:f>
              <c:strCache>
                <c:ptCount val="1"/>
                <c:pt idx="0">
                  <c:v>Cost Of Goods Sold (COGS)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Graphs!$F$17:$J$17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Graphs!$F$19:$J$19</c:f>
              <c:numCache>
                <c:formatCode>General</c:formatCode>
                <c:ptCount val="5"/>
                <c:pt idx="0">
                  <c:v>660700</c:v>
                </c:pt>
                <c:pt idx="1">
                  <c:v>642700</c:v>
                </c:pt>
                <c:pt idx="2">
                  <c:v>500700</c:v>
                </c:pt>
                <c:pt idx="3">
                  <c:v>751600</c:v>
                </c:pt>
                <c:pt idx="4">
                  <c:v>930800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D5-4338-903A-F42EB28408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0440528"/>
        <c:axId val="2032819616"/>
      </c:lineChart>
      <c:dateAx>
        <c:axId val="1210440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2819616"/>
        <c:crosses val="autoZero"/>
        <c:auto val="0"/>
        <c:lblOffset val="100"/>
        <c:baseTimeUnit val="days"/>
      </c:dateAx>
      <c:valAx>
        <c:axId val="203281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4405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Data!$B$4</c:f>
              <c:strCache>
                <c:ptCount val="1"/>
                <c:pt idx="0">
                  <c:v>Revenue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Graphs!$F$1:$J$1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Data!$C$4:$G$4</c:f>
              <c:numCache>
                <c:formatCode>#,##0.0</c:formatCode>
                <c:ptCount val="5"/>
                <c:pt idx="0">
                  <c:v>1096.5</c:v>
                </c:pt>
                <c:pt idx="1">
                  <c:v>997.3</c:v>
                </c:pt>
                <c:pt idx="2">
                  <c:v>611.79999999999995</c:v>
                </c:pt>
                <c:pt idx="3">
                  <c:v>1095.3</c:v>
                </c:pt>
                <c:pt idx="4">
                  <c:v>1381.5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F7-403B-BC86-D192CB7ED8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8666927"/>
        <c:axId val="2055000831"/>
      </c:lineChart>
      <c:catAx>
        <c:axId val="20586669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5000831"/>
        <c:crosses val="autoZero"/>
        <c:auto val="1"/>
        <c:lblAlgn val="ctr"/>
        <c:lblOffset val="100"/>
        <c:noMultiLvlLbl val="0"/>
      </c:catAx>
      <c:valAx>
        <c:axId val="205500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86669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Graphs!$A$35</c:f>
              <c:strCache>
                <c:ptCount val="1"/>
                <c:pt idx="0">
                  <c:v>Shareholder's Equity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Graphs!$F$34:$J$34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Data!$C$32:$G$32</c:f>
              <c:numCache>
                <c:formatCode>#,##0.0</c:formatCode>
                <c:ptCount val="5"/>
                <c:pt idx="0">
                  <c:v>449.40000000000003</c:v>
                </c:pt>
                <c:pt idx="1">
                  <c:v>358.90000000000009</c:v>
                </c:pt>
                <c:pt idx="2">
                  <c:v>804.1</c:v>
                </c:pt>
                <c:pt idx="3">
                  <c:v>660.40000000000009</c:v>
                </c:pt>
                <c:pt idx="4">
                  <c:v>772.5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5C-40DA-931A-4815A13B53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6455807"/>
        <c:axId val="2055005151"/>
      </c:lineChart>
      <c:catAx>
        <c:axId val="136645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5005151"/>
        <c:crosses val="autoZero"/>
        <c:auto val="1"/>
        <c:lblAlgn val="ctr"/>
        <c:lblOffset val="100"/>
        <c:noMultiLvlLbl val="0"/>
      </c:catAx>
      <c:valAx>
        <c:axId val="2055005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4558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Liabilities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Graphs!$A$52</c:f>
              <c:strCache>
                <c:ptCount val="1"/>
                <c:pt idx="0">
                  <c:v>Current Liabilities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Graphs!$F$51:$J$51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Data!$C$21:$G$21</c:f>
              <c:numCache>
                <c:formatCode>#,##0.0</c:formatCode>
                <c:ptCount val="5"/>
                <c:pt idx="0">
                  <c:v>-815.4</c:v>
                </c:pt>
                <c:pt idx="1">
                  <c:v>-858.2</c:v>
                </c:pt>
                <c:pt idx="2">
                  <c:v>-808.3</c:v>
                </c:pt>
                <c:pt idx="3">
                  <c:v>-905.2</c:v>
                </c:pt>
                <c:pt idx="4">
                  <c:v>-1041.9000000000001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46-44B0-87CC-9666D6239900}"/>
            </c:ext>
          </c:extLst>
        </c:ser>
        <c:ser>
          <c:idx val="1"/>
          <c:order val="1"/>
          <c:tx>
            <c:strRef>
              <c:f>Graphs!$A$53</c:f>
              <c:strCache>
                <c:ptCount val="1"/>
                <c:pt idx="0">
                  <c:v>Long Term Liabilities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Graphs!$F$51:$J$51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Data!$C$22:$G$22</c:f>
              <c:numCache>
                <c:formatCode>#,##0.0</c:formatCode>
                <c:ptCount val="5"/>
                <c:pt idx="0">
                  <c:v>-796.4</c:v>
                </c:pt>
                <c:pt idx="1">
                  <c:v>-1014</c:v>
                </c:pt>
                <c:pt idx="2">
                  <c:v>-1182.4000000000001</c:v>
                </c:pt>
                <c:pt idx="3">
                  <c:v>-1276.9000000000001</c:v>
                </c:pt>
                <c:pt idx="4">
                  <c:v>-1289.9000000000001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46-44B0-87CC-9666D6239900}"/>
            </c:ext>
          </c:extLst>
        </c:ser>
        <c:ser>
          <c:idx val="2"/>
          <c:order val="2"/>
          <c:tx>
            <c:strRef>
              <c:f>Graphs!$A$54</c:f>
              <c:strCache>
                <c:ptCount val="1"/>
                <c:pt idx="0">
                  <c:v>Total Liabilities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Graphs!$F$51:$J$51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Data!$C$23:$G$23</c:f>
              <c:numCache>
                <c:formatCode>#,##0.0</c:formatCode>
                <c:ptCount val="5"/>
                <c:pt idx="0">
                  <c:v>-1611.8</c:v>
                </c:pt>
                <c:pt idx="1">
                  <c:v>-1872.2</c:v>
                </c:pt>
                <c:pt idx="2">
                  <c:v>-1990.7</c:v>
                </c:pt>
                <c:pt idx="3">
                  <c:v>-2182.1000000000004</c:v>
                </c:pt>
                <c:pt idx="4">
                  <c:v>-2331.8000000000002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46-44B0-87CC-9666D6239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4729551"/>
        <c:axId val="2063239951"/>
      </c:lineChart>
      <c:catAx>
        <c:axId val="2064729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239951"/>
        <c:crosses val="autoZero"/>
        <c:auto val="1"/>
        <c:lblAlgn val="ctr"/>
        <c:lblOffset val="100"/>
        <c:noMultiLvlLbl val="0"/>
      </c:catAx>
      <c:valAx>
        <c:axId val="2063239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4729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5</xdr:row>
      <xdr:rowOff>163830</xdr:rowOff>
    </xdr:from>
    <xdr:to>
      <xdr:col>7</xdr:col>
      <xdr:colOff>510540</xdr:colOff>
      <xdr:row>20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56D760-4E97-2FBB-1009-12054BD195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601980</xdr:colOff>
      <xdr:row>4</xdr:row>
      <xdr:rowOff>476250</xdr:rowOff>
    </xdr:from>
    <xdr:to>
      <xdr:col>15</xdr:col>
      <xdr:colOff>297180</xdr:colOff>
      <xdr:row>16</xdr:row>
      <xdr:rowOff>26670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7B85EAA-C4E2-BE46-6917-9C6B7367DC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16</xdr:row>
      <xdr:rowOff>8573</xdr:rowOff>
    </xdr:from>
    <xdr:to>
      <xdr:col>18</xdr:col>
      <xdr:colOff>352425</xdr:colOff>
      <xdr:row>31</xdr:row>
      <xdr:rowOff>161926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B98E5F2-FC5E-110D-41D9-ECA9F017C7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37147</xdr:colOff>
      <xdr:row>0</xdr:row>
      <xdr:rowOff>92392</xdr:rowOff>
    </xdr:from>
    <xdr:to>
      <xdr:col>18</xdr:col>
      <xdr:colOff>336232</xdr:colOff>
      <xdr:row>15</xdr:row>
      <xdr:rowOff>120967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BF38329-CE8A-95DE-632A-A8BF4A4E7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54292</xdr:colOff>
      <xdr:row>33</xdr:row>
      <xdr:rowOff>18097</xdr:rowOff>
    </xdr:from>
    <xdr:to>
      <xdr:col>18</xdr:col>
      <xdr:colOff>351472</xdr:colOff>
      <xdr:row>49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9D944A9-F1CB-9DBC-DF86-D68D80C548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34290</xdr:colOff>
      <xdr:row>50</xdr:row>
      <xdr:rowOff>35242</xdr:rowOff>
    </xdr:from>
    <xdr:to>
      <xdr:col>18</xdr:col>
      <xdr:colOff>339090</xdr:colOff>
      <xdr:row>66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F98E453-8F16-476B-A8BF-83E642358D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dministrator" id="{5DF8DA81-BCEE-471A-8EEF-2602F908A7D3}" userId="S::117@msofficevip.top::298bb5e9-e656-48f5-9834-a5afc9b2019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7" dT="2023-09-05T05:48:39.83" personId="{5DF8DA81-BCEE-471A-8EEF-2602F908A7D3}" id="{12FEC06F-5F01-4E8C-9AA4-1B75694C91AF}">
    <text>Cost of sales</text>
  </threadedComment>
  <threadedComment ref="C14" dT="2023-09-05T05:47:57.39" personId="{5DF8DA81-BCEE-471A-8EEF-2602F908A7D3}" id="{CC550C88-357A-4F99-9D2F-6CB5E65D58F3}">
    <text>Net Financing expense + Taxation</text>
  </threadedComment>
  <threadedComment ref="C24" dT="2023-09-05T05:53:32.07" personId="{5DF8DA81-BCEE-471A-8EEF-2602F908A7D3}" id="{ECAD6712-66F4-4DB6-BB17-32B19F7B6E28}">
    <text>Net assets</text>
  </threadedComment>
  <threadedComment ref="D24" dT="2023-09-05T05:53:32.07" personId="{5DF8DA81-BCEE-471A-8EEF-2602F908A7D3}" id="{35F2BB9C-2783-48D3-BDB6-81D7142F091F}">
    <text>Net assets</text>
  </threadedComment>
  <threadedComment ref="E24" dT="2023-09-05T05:53:32.07" personId="{5DF8DA81-BCEE-471A-8EEF-2602F908A7D3}" id="{BC723A9A-34A7-4729-A450-9A4E41000088}">
    <text>Net assets</text>
  </threadedComment>
  <threadedComment ref="F24" dT="2023-09-05T05:53:32.07" personId="{5DF8DA81-BCEE-471A-8EEF-2602F908A7D3}" id="{51545965-0499-4F47-BC88-8DE4E937F07A}">
    <text>Net assets</text>
  </threadedComment>
  <threadedComment ref="G24" dT="2023-09-05T05:53:32.07" personId="{5DF8DA81-BCEE-471A-8EEF-2602F908A7D3}" id="{2839B8CB-CCBC-451D-AFC0-96843294DAAE}">
    <text>Net assets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1" dT="2023-09-05T05:48:39.83" personId="{5DF8DA81-BCEE-471A-8EEF-2602F908A7D3}" id="{774C1ECB-983C-4CE2-85E7-DDB92AE48CE4}">
    <text>Cost of sales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macrotrends.net/stocks/charts/MBGAF/mercedes-benz-group-ag/net-profit-margin" TargetMode="External"/><Relationship Id="rId1" Type="http://schemas.openxmlformats.org/officeDocument/2006/relationships/hyperlink" Target="https://www.macrotrends.net/stocks/charts/RACE/ferrari/net-profit-margin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0DC9B-E524-4F6F-9D8E-CCD2A8196BDD}">
  <dimension ref="B1:P54"/>
  <sheetViews>
    <sheetView tabSelected="1" zoomScale="88" zoomScaleNormal="88" workbookViewId="0">
      <selection activeCell="T7" sqref="T7"/>
    </sheetView>
  </sheetViews>
  <sheetFormatPr defaultRowHeight="14.4" x14ac:dyDescent="0.3"/>
  <cols>
    <col min="2" max="2" width="27.109375" customWidth="1"/>
    <col min="3" max="3" width="12.88671875" bestFit="1" customWidth="1"/>
    <col min="4" max="7" width="11.109375" bestFit="1" customWidth="1"/>
    <col min="10" max="10" width="32.109375" customWidth="1"/>
    <col min="11" max="11" width="11.44140625" bestFit="1" customWidth="1"/>
  </cols>
  <sheetData>
    <row r="1" spans="2:16" ht="15" thickBot="1" x14ac:dyDescent="0.35"/>
    <row r="2" spans="2:16" ht="30" customHeight="1" x14ac:dyDescent="0.3">
      <c r="B2" s="4"/>
      <c r="C2" s="69" t="s">
        <v>24</v>
      </c>
      <c r="D2" s="69"/>
      <c r="E2" s="69"/>
      <c r="F2" s="69"/>
      <c r="G2" s="70"/>
      <c r="K2" s="71" t="s">
        <v>20</v>
      </c>
      <c r="L2" s="71"/>
      <c r="M2" s="71"/>
      <c r="N2" s="71"/>
      <c r="O2" s="71"/>
    </row>
    <row r="3" spans="2:16" ht="30" customHeight="1" x14ac:dyDescent="0.3">
      <c r="B3" s="5" t="s">
        <v>0</v>
      </c>
      <c r="C3" s="6">
        <v>2018</v>
      </c>
      <c r="D3" s="6">
        <v>2019</v>
      </c>
      <c r="E3" s="6">
        <v>2020</v>
      </c>
      <c r="F3" s="6">
        <v>2021</v>
      </c>
      <c r="G3" s="7">
        <v>2022</v>
      </c>
      <c r="J3" t="s">
        <v>0</v>
      </c>
      <c r="K3">
        <v>2018</v>
      </c>
      <c r="L3">
        <v>2019</v>
      </c>
      <c r="M3">
        <v>2020</v>
      </c>
      <c r="N3">
        <v>2021</v>
      </c>
      <c r="O3">
        <v>2022</v>
      </c>
    </row>
    <row r="4" spans="2:16" ht="30" customHeight="1" x14ac:dyDescent="0.3">
      <c r="B4" s="8" t="s">
        <v>1</v>
      </c>
      <c r="C4" s="9">
        <v>1096.5</v>
      </c>
      <c r="D4" s="9">
        <v>997.3</v>
      </c>
      <c r="E4" s="9">
        <v>611.79999999999995</v>
      </c>
      <c r="F4" s="9">
        <v>1095.3</v>
      </c>
      <c r="G4" s="10">
        <v>1381.5</v>
      </c>
      <c r="J4" t="s">
        <v>21</v>
      </c>
      <c r="K4" s="3">
        <f>(C4+C7)</f>
        <v>435.79999999999995</v>
      </c>
      <c r="L4" s="3">
        <f>(D4+D7)</f>
        <v>354.59999999999991</v>
      </c>
      <c r="M4" s="3">
        <f>(E4+E7)</f>
        <v>111.09999999999997</v>
      </c>
      <c r="N4" s="3">
        <f>(F4+F7)</f>
        <v>343.69999999999993</v>
      </c>
      <c r="O4" s="3">
        <f>(G4+G7)</f>
        <v>450.70000000000005</v>
      </c>
    </row>
    <row r="5" spans="2:16" ht="30" customHeight="1" x14ac:dyDescent="0.3">
      <c r="B5" s="8" t="s">
        <v>14</v>
      </c>
      <c r="C5" s="9">
        <v>20</v>
      </c>
      <c r="D5" s="9">
        <v>-19</v>
      </c>
      <c r="E5" s="9"/>
      <c r="F5" s="9"/>
      <c r="G5" s="10"/>
      <c r="J5" s="17" t="s">
        <v>22</v>
      </c>
      <c r="K5" s="18">
        <f>(K4/C4)</f>
        <v>0.39744642042863654</v>
      </c>
      <c r="L5" s="18">
        <f>(L4/D4)</f>
        <v>0.35556001203248766</v>
      </c>
      <c r="M5" s="18">
        <f>(M4/E4)</f>
        <v>0.18159529257927423</v>
      </c>
      <c r="N5" s="18">
        <f>(N4/F4)</f>
        <v>0.31379530722176568</v>
      </c>
      <c r="O5" s="18">
        <f>(O4/G4)</f>
        <v>0.32623959464350349</v>
      </c>
      <c r="P5" s="28">
        <f>AVERAGE(K5:O5)</f>
        <v>0.31492732538113349</v>
      </c>
    </row>
    <row r="6" spans="2:16" ht="30" customHeight="1" x14ac:dyDescent="0.3">
      <c r="B6" s="8" t="s">
        <v>15</v>
      </c>
      <c r="C6" s="9"/>
      <c r="D6" s="9"/>
      <c r="E6" s="9"/>
      <c r="F6" s="9"/>
      <c r="G6" s="10"/>
      <c r="J6" t="s">
        <v>4</v>
      </c>
      <c r="K6" s="3">
        <f>(C9)</f>
        <v>72.799999999999955</v>
      </c>
      <c r="L6" s="3">
        <f>D9+D10</f>
        <v>-36.700000000000081</v>
      </c>
      <c r="M6" s="3">
        <f>E9+E10</f>
        <v>-322.90000000000003</v>
      </c>
      <c r="N6" s="3">
        <f>F9+F10</f>
        <v>-76.500000000000071</v>
      </c>
      <c r="O6" s="3">
        <f>G9+G10</f>
        <v>-141.79999999999998</v>
      </c>
    </row>
    <row r="7" spans="2:16" ht="30" customHeight="1" x14ac:dyDescent="0.3">
      <c r="B7" s="8" t="s">
        <v>2</v>
      </c>
      <c r="C7" s="9">
        <v>-660.7</v>
      </c>
      <c r="D7" s="9">
        <v>-642.70000000000005</v>
      </c>
      <c r="E7" s="9">
        <v>-500.7</v>
      </c>
      <c r="F7" s="9">
        <v>-751.6</v>
      </c>
      <c r="G7" s="10">
        <v>-930.8</v>
      </c>
      <c r="J7" s="17" t="s">
        <v>23</v>
      </c>
      <c r="K7" s="18">
        <f>(K6/C4)</f>
        <v>6.6393068855449114E-2</v>
      </c>
      <c r="L7" s="18">
        <f>(L6/D4)</f>
        <v>-3.6799358267321849E-2</v>
      </c>
      <c r="M7" s="18">
        <f>(M6/E4)</f>
        <v>-0.52778685845047413</v>
      </c>
      <c r="N7" s="18">
        <f>(N6/F4)</f>
        <v>-6.9843878389482403E-2</v>
      </c>
      <c r="O7" s="18">
        <f>(O6/G4)</f>
        <v>-0.10264205573651826</v>
      </c>
      <c r="P7" s="28">
        <f>AVERAGE(K7:O7)</f>
        <v>-0.13413581639766953</v>
      </c>
    </row>
    <row r="8" spans="2:16" ht="30" customHeight="1" x14ac:dyDescent="0.3">
      <c r="B8" s="11" t="s">
        <v>3</v>
      </c>
      <c r="C8" s="9">
        <f>-89.8+-293.2</f>
        <v>-383</v>
      </c>
      <c r="D8" s="9">
        <v>-330.2</v>
      </c>
      <c r="E8" s="9">
        <v>-336</v>
      </c>
      <c r="F8" s="9">
        <v>-418</v>
      </c>
      <c r="G8" s="10">
        <v>-568.6</v>
      </c>
      <c r="J8" t="s">
        <v>31</v>
      </c>
      <c r="K8" s="3">
        <f>(C15)</f>
        <v>-57.10000000000003</v>
      </c>
      <c r="L8" s="3">
        <f>(D15)</f>
        <v>-104.40000000000006</v>
      </c>
      <c r="M8" s="3">
        <f>(E15)</f>
        <v>-410.5</v>
      </c>
      <c r="N8" s="3">
        <f>(F15)</f>
        <v>-189.30000000000007</v>
      </c>
      <c r="O8" s="3">
        <f>(G15)</f>
        <v>-527.70000000000005</v>
      </c>
    </row>
    <row r="9" spans="2:16" ht="30" customHeight="1" x14ac:dyDescent="0.3">
      <c r="B9" s="8" t="s">
        <v>4</v>
      </c>
      <c r="C9" s="9">
        <f>(C4+C5+C7+C8)</f>
        <v>72.799999999999955</v>
      </c>
      <c r="D9" s="9">
        <f>(D4+D5+D7+D8)</f>
        <v>5.3999999999999204</v>
      </c>
      <c r="E9" s="9">
        <f>(E4+E5+E7+E8)</f>
        <v>-224.90000000000003</v>
      </c>
      <c r="F9" s="9">
        <f>(F4+F5+F7+F8)</f>
        <v>-74.300000000000068</v>
      </c>
      <c r="G9" s="10">
        <f>(G4+G5+G7+G8)</f>
        <v>-117.89999999999998</v>
      </c>
      <c r="J9" s="17" t="s">
        <v>33</v>
      </c>
      <c r="K9" s="18">
        <f>(K8/C4)</f>
        <v>-5.2074783401732813E-2</v>
      </c>
      <c r="L9" s="18">
        <f>(L8/D4)</f>
        <v>-0.10468264313646854</v>
      </c>
      <c r="M9" s="18">
        <f>(M8/E4)</f>
        <v>-0.6709709055246813</v>
      </c>
      <c r="N9" s="18">
        <f>(N8/F4)</f>
        <v>-0.17282936181867989</v>
      </c>
      <c r="O9" s="18">
        <f>(O8/G4)</f>
        <v>-0.38197611292073835</v>
      </c>
      <c r="P9" s="28">
        <f>AVERAGE(K9:O9)</f>
        <v>-0.27650676136046021</v>
      </c>
    </row>
    <row r="10" spans="2:16" ht="30" customHeight="1" x14ac:dyDescent="0.3">
      <c r="B10" s="8" t="s">
        <v>32</v>
      </c>
      <c r="C10" s="9"/>
      <c r="D10" s="9">
        <v>-42.1</v>
      </c>
      <c r="E10" s="9">
        <v>-98</v>
      </c>
      <c r="F10" s="9">
        <v>-2.2000000000000002</v>
      </c>
      <c r="G10" s="10">
        <v>-23.9</v>
      </c>
      <c r="J10" t="s">
        <v>34</v>
      </c>
      <c r="K10" s="16">
        <f>(C20)</f>
        <v>2061.1999999999998</v>
      </c>
      <c r="L10" s="16">
        <f>(D20)</f>
        <v>2231.1</v>
      </c>
      <c r="M10" s="16">
        <f>(E20)</f>
        <v>2794.8</v>
      </c>
      <c r="N10" s="16">
        <f>(F20)</f>
        <v>2842.5</v>
      </c>
      <c r="O10" s="16">
        <f>(G20)</f>
        <v>3104.3</v>
      </c>
    </row>
    <row r="11" spans="2:16" ht="30" customHeight="1" x14ac:dyDescent="0.3">
      <c r="B11" s="8" t="s">
        <v>25</v>
      </c>
      <c r="C11" s="9">
        <v>4.2</v>
      </c>
      <c r="D11" s="9"/>
      <c r="E11" s="9"/>
      <c r="F11" s="9"/>
      <c r="G11" s="10"/>
      <c r="J11" s="17" t="s">
        <v>35</v>
      </c>
      <c r="K11" s="18">
        <f>(K8/K10)</f>
        <v>-2.7702309334368347E-2</v>
      </c>
      <c r="L11" s="18">
        <f>(L8/L10)</f>
        <v>-4.6793061718434885E-2</v>
      </c>
      <c r="M11" s="18">
        <f>(M8/M10)</f>
        <v>-0.14687991985115212</v>
      </c>
      <c r="N11" s="18">
        <f>(N8/N10)</f>
        <v>-6.6596306068601605E-2</v>
      </c>
      <c r="O11" s="18">
        <f>(O8/O10)</f>
        <v>-0.16999001385175402</v>
      </c>
      <c r="P11" s="28">
        <f>AVERAGE(K11:O11)</f>
        <v>-9.1592322164862197E-2</v>
      </c>
    </row>
    <row r="12" spans="2:16" ht="30" customHeight="1" x14ac:dyDescent="0.3">
      <c r="B12" s="8" t="s">
        <v>26</v>
      </c>
      <c r="C12" s="9">
        <v>-145.19999999999999</v>
      </c>
      <c r="D12" s="9">
        <v>-67.599999999999994</v>
      </c>
      <c r="E12" s="9">
        <v>-143.1</v>
      </c>
      <c r="F12" s="9">
        <v>-137.30000000000001</v>
      </c>
      <c r="G12" s="10">
        <v>-353.2</v>
      </c>
      <c r="J12" t="s">
        <v>36</v>
      </c>
      <c r="K12" s="3">
        <f>(C32)</f>
        <v>449.40000000000003</v>
      </c>
      <c r="L12" s="3">
        <f>(D32)</f>
        <v>358.90000000000009</v>
      </c>
      <c r="M12" s="3">
        <f>(E32)</f>
        <v>804.1</v>
      </c>
      <c r="N12" s="3">
        <f>(F32)</f>
        <v>660.40000000000009</v>
      </c>
      <c r="O12" s="3">
        <f>(G32)</f>
        <v>772.5</v>
      </c>
    </row>
    <row r="13" spans="2:16" ht="30" customHeight="1" x14ac:dyDescent="0.3">
      <c r="B13" s="8" t="s">
        <v>19</v>
      </c>
      <c r="C13" s="9">
        <f>(C9+C11+C12)</f>
        <v>-68.200000000000031</v>
      </c>
      <c r="D13" s="9">
        <f>(D9+D10+D12)</f>
        <v>-104.30000000000007</v>
      </c>
      <c r="E13" s="9">
        <f>(E9+E10+E12)</f>
        <v>-466</v>
      </c>
      <c r="F13" s="9">
        <f>(F9+F10+F12)</f>
        <v>-213.80000000000007</v>
      </c>
      <c r="G13" s="10">
        <f>(G9+G10+G12)</f>
        <v>-495</v>
      </c>
      <c r="J13" s="17" t="s">
        <v>37</v>
      </c>
      <c r="K13" s="18">
        <f>(K8/K12)</f>
        <v>-0.12705829995549628</v>
      </c>
      <c r="L13" s="18">
        <f>(L8/L12)</f>
        <v>-0.29088882697130131</v>
      </c>
      <c r="M13" s="18">
        <f>(M8/M12)</f>
        <v>-0.51050864320358158</v>
      </c>
      <c r="N13" s="18">
        <f>(N8/N12)</f>
        <v>-0.28664445790430049</v>
      </c>
      <c r="O13" s="18">
        <f>(O8/O12)</f>
        <v>-0.68310679611650493</v>
      </c>
      <c r="P13" s="28">
        <f>AVERAGE(K13:O13)</f>
        <v>-0.37964140483023689</v>
      </c>
    </row>
    <row r="14" spans="2:16" ht="30" customHeight="1" x14ac:dyDescent="0.3">
      <c r="B14" s="8" t="s">
        <v>5</v>
      </c>
      <c r="C14" s="9">
        <v>11.1</v>
      </c>
      <c r="D14" s="9">
        <v>-0.1</v>
      </c>
      <c r="E14" s="9">
        <v>55.5</v>
      </c>
      <c r="F14" s="9">
        <v>24.5</v>
      </c>
      <c r="G14" s="10">
        <v>-32.700000000000003</v>
      </c>
    </row>
    <row r="15" spans="2:16" ht="30" customHeight="1" x14ac:dyDescent="0.3">
      <c r="B15" s="8" t="s">
        <v>27</v>
      </c>
      <c r="C15" s="9">
        <f>C13+C14</f>
        <v>-57.10000000000003</v>
      </c>
      <c r="D15" s="9">
        <f>D13+D14</f>
        <v>-104.40000000000006</v>
      </c>
      <c r="E15" s="9">
        <f>E13+E14</f>
        <v>-410.5</v>
      </c>
      <c r="F15" s="9">
        <f>F13+F14</f>
        <v>-189.30000000000007</v>
      </c>
      <c r="G15" s="10">
        <f>G13+G14</f>
        <v>-527.70000000000005</v>
      </c>
      <c r="J15" t="s">
        <v>39</v>
      </c>
    </row>
    <row r="16" spans="2:16" ht="30" customHeight="1" x14ac:dyDescent="0.3">
      <c r="B16" s="11" t="s">
        <v>28</v>
      </c>
      <c r="C16" s="9">
        <f>(5.4+-0.9+0.7+-23.5)</f>
        <v>-18.3</v>
      </c>
      <c r="D16" s="9">
        <f>(-1.4+0.2+-2.7+9+15.6+-3.4)</f>
        <v>17.3</v>
      </c>
      <c r="E16" s="9">
        <v>-32.799999999999997</v>
      </c>
      <c r="F16" s="9">
        <f>(3.8+-1+6+2.3+-0.3+-4.3+1.2)</f>
        <v>7.7000000000000011</v>
      </c>
      <c r="G16" s="10">
        <f>(6.8+-1.7+3.8+-6.1+2.9+0.8)</f>
        <v>6.4999999999999991</v>
      </c>
      <c r="J16" s="19" t="s">
        <v>38</v>
      </c>
      <c r="K16" s="20">
        <f>(-C19/C21)</f>
        <v>0.67647780230561694</v>
      </c>
      <c r="L16" s="20">
        <f>(-D19/D21)</f>
        <v>0.66126776975064083</v>
      </c>
      <c r="M16" s="20">
        <f>-(E19/E21)</f>
        <v>1.1004577508350861</v>
      </c>
      <c r="N16" s="20">
        <f>-(F19/F21)</f>
        <v>0.95879363676535567</v>
      </c>
      <c r="O16" s="20">
        <f>-(G19/G21)</f>
        <v>1.0801420481812074</v>
      </c>
      <c r="P16" s="25">
        <f>AVERAGE(K16:O16)</f>
        <v>0.89542780156758151</v>
      </c>
    </row>
    <row r="17" spans="2:16" ht="30" customHeight="1" x14ac:dyDescent="0.3">
      <c r="B17" s="11" t="s">
        <v>16</v>
      </c>
      <c r="C17" s="9">
        <f>(C15+C16)</f>
        <v>-75.400000000000034</v>
      </c>
      <c r="D17" s="9">
        <f>(D15+D16)</f>
        <v>-87.100000000000065</v>
      </c>
      <c r="E17" s="9">
        <f>(E15+E16)</f>
        <v>-443.3</v>
      </c>
      <c r="F17" s="9">
        <f>(F15+F16)</f>
        <v>-181.60000000000008</v>
      </c>
      <c r="G17" s="10">
        <f>(G15+G16)</f>
        <v>-521.20000000000005</v>
      </c>
      <c r="J17" t="s">
        <v>42</v>
      </c>
      <c r="K17" s="3">
        <f>(C25)</f>
        <v>165.3</v>
      </c>
      <c r="L17" s="3">
        <f>(D25)</f>
        <v>200.7</v>
      </c>
      <c r="M17" s="3">
        <f>(E25)</f>
        <v>207.4</v>
      </c>
      <c r="N17" s="3">
        <f>(F25)</f>
        <v>196.8</v>
      </c>
      <c r="O17" s="3">
        <f>(G25)</f>
        <v>286.2</v>
      </c>
    </row>
    <row r="18" spans="2:16" ht="30" customHeight="1" x14ac:dyDescent="0.3">
      <c r="B18" s="12" t="s">
        <v>29</v>
      </c>
      <c r="C18" s="9">
        <v>1509.6</v>
      </c>
      <c r="D18" s="9">
        <v>1663.6</v>
      </c>
      <c r="E18" s="9">
        <v>1905.3</v>
      </c>
      <c r="F18" s="9">
        <v>1974.6</v>
      </c>
      <c r="G18" s="10">
        <v>1978.9</v>
      </c>
      <c r="J18" s="19" t="s">
        <v>40</v>
      </c>
      <c r="K18" s="20">
        <f>(C19-K17)/-C21</f>
        <v>0.47375521216580824</v>
      </c>
      <c r="L18" s="20">
        <f>(D19-L17)/-D21</f>
        <v>0.42740619902120719</v>
      </c>
      <c r="M18" s="20">
        <f>(E19-M17)/-E21</f>
        <v>0.84386985030310535</v>
      </c>
      <c r="N18" s="20">
        <f>(F19-N17)/-F21</f>
        <v>0.74138311975254079</v>
      </c>
      <c r="O18" s="20">
        <f>(G19-O17)/-G21</f>
        <v>0.80545157884633845</v>
      </c>
      <c r="P18" s="25">
        <f>AVERAGE(K18:O18)</f>
        <v>0.65837319201779998</v>
      </c>
    </row>
    <row r="19" spans="2:16" ht="30" customHeight="1" x14ac:dyDescent="0.3">
      <c r="B19" s="12" t="s">
        <v>6</v>
      </c>
      <c r="C19" s="9">
        <v>551.6</v>
      </c>
      <c r="D19" s="9">
        <v>567.5</v>
      </c>
      <c r="E19" s="9">
        <v>889.5</v>
      </c>
      <c r="F19" s="9">
        <v>867.9</v>
      </c>
      <c r="G19" s="10">
        <v>1125.4000000000001</v>
      </c>
      <c r="J19" t="s">
        <v>43</v>
      </c>
      <c r="K19" s="3">
        <f>(C26)</f>
        <v>144.6</v>
      </c>
      <c r="L19" s="3">
        <f>(D26)</f>
        <v>107.9</v>
      </c>
      <c r="M19" s="3">
        <f>(E26)</f>
        <v>489.4</v>
      </c>
      <c r="N19" s="3">
        <f>(F26)</f>
        <v>418.9</v>
      </c>
      <c r="O19" s="3">
        <f>(G26)</f>
        <v>583.29999999999995</v>
      </c>
    </row>
    <row r="20" spans="2:16" ht="30" customHeight="1" x14ac:dyDescent="0.3">
      <c r="B20" s="12" t="s">
        <v>7</v>
      </c>
      <c r="C20" s="9">
        <f>(C18+C19)</f>
        <v>2061.1999999999998</v>
      </c>
      <c r="D20" s="9">
        <f>(D18+D19)</f>
        <v>2231.1</v>
      </c>
      <c r="E20" s="9">
        <f>(E18+E19)</f>
        <v>2794.8</v>
      </c>
      <c r="F20" s="9">
        <f>(F18+F19)</f>
        <v>2842.5</v>
      </c>
      <c r="G20" s="10">
        <f>(G18+G19)</f>
        <v>3104.3</v>
      </c>
      <c r="J20" s="19" t="s">
        <v>44</v>
      </c>
      <c r="K20" s="20">
        <f>-(K19/C21)</f>
        <v>0.17733627667402502</v>
      </c>
      <c r="L20" s="20">
        <f>-(L19/D21)</f>
        <v>0.12572826846888838</v>
      </c>
      <c r="M20" s="20">
        <f>(-M19/E21)</f>
        <v>0.60546826673264875</v>
      </c>
      <c r="N20" s="20">
        <f>(-N19/F21)</f>
        <v>0.46277065841802911</v>
      </c>
      <c r="O20" s="20">
        <f>-(O19/G21)</f>
        <v>0.55984259525866198</v>
      </c>
      <c r="P20" s="25">
        <f>AVERAGE(K20:O20)</f>
        <v>0.38622921311045066</v>
      </c>
    </row>
    <row r="21" spans="2:16" ht="30" customHeight="1" x14ac:dyDescent="0.3">
      <c r="B21" s="12" t="s">
        <v>8</v>
      </c>
      <c r="C21" s="9">
        <v>-815.4</v>
      </c>
      <c r="D21" s="9">
        <v>-858.2</v>
      </c>
      <c r="E21" s="9">
        <v>-808.3</v>
      </c>
      <c r="F21" s="9">
        <v>-905.2</v>
      </c>
      <c r="G21" s="10">
        <v>-1041.9000000000001</v>
      </c>
    </row>
    <row r="22" spans="2:16" ht="30" customHeight="1" x14ac:dyDescent="0.3">
      <c r="B22" s="12" t="s">
        <v>9</v>
      </c>
      <c r="C22" s="9">
        <v>-796.4</v>
      </c>
      <c r="D22" s="9">
        <v>-1014</v>
      </c>
      <c r="E22" s="9">
        <v>-1182.4000000000001</v>
      </c>
      <c r="F22" s="9">
        <v>-1276.9000000000001</v>
      </c>
      <c r="G22" s="10">
        <v>-1289.9000000000001</v>
      </c>
    </row>
    <row r="23" spans="2:16" ht="30" customHeight="1" x14ac:dyDescent="0.3">
      <c r="B23" s="12" t="s">
        <v>10</v>
      </c>
      <c r="C23" s="9">
        <f>(C21+C22)</f>
        <v>-1611.8</v>
      </c>
      <c r="D23" s="9">
        <f>(D21+D22)</f>
        <v>-1872.2</v>
      </c>
      <c r="E23" s="9">
        <f>(E21+E22)</f>
        <v>-1990.7</v>
      </c>
      <c r="F23" s="9">
        <f>(F21+F22)</f>
        <v>-2182.1000000000004</v>
      </c>
      <c r="G23" s="10">
        <f>(G21+G22)</f>
        <v>-2331.8000000000002</v>
      </c>
      <c r="J23" t="s">
        <v>45</v>
      </c>
    </row>
    <row r="24" spans="2:16" ht="30" customHeight="1" x14ac:dyDescent="0.3">
      <c r="B24" s="12" t="s">
        <v>11</v>
      </c>
      <c r="C24" s="9">
        <f>(C20+C23)</f>
        <v>449.39999999999986</v>
      </c>
      <c r="D24" s="9">
        <f>(D20+D23)</f>
        <v>358.89999999999986</v>
      </c>
      <c r="E24" s="9">
        <f>(E20+E23)</f>
        <v>804.10000000000014</v>
      </c>
      <c r="F24" s="9">
        <f>(F20+F23)</f>
        <v>660.39999999999964</v>
      </c>
      <c r="G24" s="10">
        <f>(G20+G23)</f>
        <v>772.5</v>
      </c>
      <c r="J24" t="s">
        <v>46</v>
      </c>
      <c r="K24" s="3">
        <f>(C27)</f>
        <v>241.6</v>
      </c>
      <c r="L24" s="3">
        <f>(D27)</f>
        <v>251.5</v>
      </c>
      <c r="M24" s="3">
        <f>(E27)</f>
        <v>178.8</v>
      </c>
      <c r="N24" s="3">
        <f>(F27)</f>
        <v>245.5</v>
      </c>
      <c r="O24" s="3">
        <f>(G27)</f>
        <v>252</v>
      </c>
    </row>
    <row r="25" spans="2:16" ht="30" customHeight="1" x14ac:dyDescent="0.3">
      <c r="B25" s="12" t="s">
        <v>41</v>
      </c>
      <c r="C25" s="9">
        <v>165.3</v>
      </c>
      <c r="D25" s="9">
        <v>200.7</v>
      </c>
      <c r="E25" s="9">
        <v>207.4</v>
      </c>
      <c r="F25" s="9">
        <v>196.8</v>
      </c>
      <c r="G25" s="10">
        <v>286.2</v>
      </c>
      <c r="J25" s="21" t="s">
        <v>47</v>
      </c>
      <c r="K25" s="22">
        <f>K24/(C4/365)</f>
        <v>80.423164614683074</v>
      </c>
      <c r="L25" s="22">
        <f>L24/(D4/365)</f>
        <v>92.046024265516905</v>
      </c>
      <c r="M25" s="22">
        <f>M24/(E4/365)</f>
        <v>106.67211507028442</v>
      </c>
      <c r="N25" s="22">
        <f>N24/(F4/365)</f>
        <v>81.810919382817502</v>
      </c>
      <c r="O25" s="22">
        <f>O24/(G4/365)</f>
        <v>66.579804560260584</v>
      </c>
    </row>
    <row r="26" spans="2:16" ht="30" customHeight="1" x14ac:dyDescent="0.3">
      <c r="B26" s="12" t="s">
        <v>43</v>
      </c>
      <c r="C26" s="9">
        <v>144.6</v>
      </c>
      <c r="D26" s="9">
        <v>107.9</v>
      </c>
      <c r="E26" s="9">
        <v>489.4</v>
      </c>
      <c r="F26" s="9">
        <v>418.9</v>
      </c>
      <c r="G26" s="10">
        <v>583.29999999999995</v>
      </c>
      <c r="J26" s="21" t="s">
        <v>48</v>
      </c>
      <c r="K26" s="23">
        <f>-C7/C25</f>
        <v>3.9969751966122202</v>
      </c>
      <c r="L26" s="23">
        <f>-D7/((D25+C25)/2)</f>
        <v>3.5120218579234974</v>
      </c>
      <c r="M26" s="23">
        <f>-E7/((E25+D25)/2)</f>
        <v>2.4538103406027933</v>
      </c>
      <c r="N26" s="23">
        <f>-F7/((F25+E25)/2)</f>
        <v>3.7189510143493316</v>
      </c>
      <c r="O26" s="23">
        <f>(-G7/G25)</f>
        <v>3.2522711390635917</v>
      </c>
    </row>
    <row r="27" spans="2:16" ht="30" customHeight="1" x14ac:dyDescent="0.3">
      <c r="B27" s="12" t="s">
        <v>46</v>
      </c>
      <c r="C27" s="9">
        <v>241.6</v>
      </c>
      <c r="D27" s="9">
        <f>(1.8+249.7)</f>
        <v>251.5</v>
      </c>
      <c r="E27" s="9">
        <f>(0.9+177.9)</f>
        <v>178.8</v>
      </c>
      <c r="F27" s="9">
        <f>(2.1+243.4)</f>
        <v>245.5</v>
      </c>
      <c r="G27" s="10">
        <f>(6.3+245.7)</f>
        <v>252</v>
      </c>
      <c r="J27" t="s">
        <v>49</v>
      </c>
      <c r="K27" s="3">
        <f>(C28)</f>
        <v>708.30000000000007</v>
      </c>
      <c r="L27" s="3">
        <f>(D28)</f>
        <v>711.5</v>
      </c>
      <c r="M27" s="3">
        <f>(E28)</f>
        <v>586.4</v>
      </c>
      <c r="N27" s="3">
        <f>(F28)</f>
        <v>730.8</v>
      </c>
      <c r="O27" s="3">
        <f>(G28)</f>
        <v>885.4</v>
      </c>
    </row>
    <row r="28" spans="2:16" ht="30" customHeight="1" x14ac:dyDescent="0.3">
      <c r="B28" s="12" t="s">
        <v>49</v>
      </c>
      <c r="C28" s="9">
        <f>(696.1+12.2)</f>
        <v>708.30000000000007</v>
      </c>
      <c r="D28" s="9">
        <f>(702.1+9.4)</f>
        <v>711.5</v>
      </c>
      <c r="E28" s="9">
        <f>(578.9+7.5)</f>
        <v>586.4</v>
      </c>
      <c r="F28" s="9">
        <f>(721+9.8)</f>
        <v>730.8</v>
      </c>
      <c r="G28" s="10">
        <f>(876.3+9.1)</f>
        <v>885.4</v>
      </c>
      <c r="J28" s="21" t="s">
        <v>50</v>
      </c>
      <c r="K28" s="22">
        <f>-K27/(C7/365)</f>
        <v>391.29635235356443</v>
      </c>
      <c r="L28" s="22">
        <f>-L27/(D7/365)</f>
        <v>404.07266220631703</v>
      </c>
      <c r="M28" s="22">
        <f>-M27/(E7/365)</f>
        <v>427.47353704813258</v>
      </c>
      <c r="N28" s="22">
        <f>-N27/(F7/365)</f>
        <v>354.89888238424692</v>
      </c>
      <c r="O28" s="22">
        <f>-O27/(G7/365)</f>
        <v>347.19703480876666</v>
      </c>
    </row>
    <row r="29" spans="2:16" ht="30" customHeight="1" x14ac:dyDescent="0.3">
      <c r="B29" s="12" t="s">
        <v>12</v>
      </c>
      <c r="C29" s="9">
        <f>(2.1+352.3+6.6+2.3+-23.5)</f>
        <v>339.80000000000007</v>
      </c>
      <c r="D29" s="9">
        <f>(2.1+352.3+6.6+-0.4+-2.3)</f>
        <v>358.30000000000007</v>
      </c>
      <c r="E29" s="9">
        <f>(11.5+1108.2+144+9.3+6.6+0.4+10.9)</f>
        <v>1290.9000000000001</v>
      </c>
      <c r="F29" s="9">
        <f>(11.6+1123.4+143.9+9.3+6.6+2.7+6.7)</f>
        <v>1304.2</v>
      </c>
      <c r="G29" s="10">
        <f>(69.9+1697.4+143.9+9.3+6.6+6.5+4.3)</f>
        <v>1937.9</v>
      </c>
    </row>
    <row r="30" spans="2:16" ht="30" customHeight="1" x14ac:dyDescent="0.3">
      <c r="B30" s="12" t="s">
        <v>13</v>
      </c>
      <c r="C30" s="9">
        <v>99.4</v>
      </c>
      <c r="D30" s="9">
        <v>-13.5</v>
      </c>
      <c r="E30" s="9">
        <v>-503.1</v>
      </c>
      <c r="F30" s="9">
        <v>-662.4</v>
      </c>
      <c r="G30" s="10">
        <v>-1184.9000000000001</v>
      </c>
    </row>
    <row r="31" spans="2:16" ht="30" customHeight="1" x14ac:dyDescent="0.3">
      <c r="B31" s="12" t="s">
        <v>30</v>
      </c>
      <c r="C31" s="9">
        <v>10.199999999999999</v>
      </c>
      <c r="D31" s="9">
        <v>14.1</v>
      </c>
      <c r="E31" s="9">
        <v>16.3</v>
      </c>
      <c r="F31" s="9">
        <v>18.600000000000001</v>
      </c>
      <c r="G31" s="10">
        <v>19.5</v>
      </c>
    </row>
    <row r="32" spans="2:16" ht="30" customHeight="1" thickBot="1" x14ac:dyDescent="0.35">
      <c r="B32" s="13" t="s">
        <v>17</v>
      </c>
      <c r="C32" s="14">
        <f>(C29+C30+C31)</f>
        <v>449.40000000000003</v>
      </c>
      <c r="D32" s="14">
        <f>(D29+D30+D31)</f>
        <v>358.90000000000009</v>
      </c>
      <c r="E32" s="14">
        <f>(E29+E30+E31)</f>
        <v>804.1</v>
      </c>
      <c r="F32" s="14">
        <f>(F29+F30+F31)</f>
        <v>660.40000000000009</v>
      </c>
      <c r="G32" s="15">
        <f>(G29+G30+G31)</f>
        <v>772.5</v>
      </c>
      <c r="J32" t="s">
        <v>56</v>
      </c>
    </row>
    <row r="33" spans="3:15" ht="30" customHeight="1" x14ac:dyDescent="0.3">
      <c r="C33" s="3"/>
      <c r="D33" s="3"/>
      <c r="E33" s="3"/>
      <c r="F33" s="3"/>
      <c r="G33" s="3"/>
      <c r="J33" s="21" t="s">
        <v>51</v>
      </c>
      <c r="K33" s="24">
        <f>-C22/(-C22+C32)</f>
        <v>0.63926794027933853</v>
      </c>
      <c r="L33" s="24">
        <f>-D22/(-D22+D32)</f>
        <v>0.73858256245902831</v>
      </c>
      <c r="M33" s="24">
        <f>-E22/(-E22+E32)</f>
        <v>0.5952177196073497</v>
      </c>
      <c r="N33" s="24">
        <f>-F22/(-F22+F32)</f>
        <v>0.65911319878180974</v>
      </c>
      <c r="O33" s="24">
        <f>-G22/(-G22+G32)</f>
        <v>0.62543638479441432</v>
      </c>
    </row>
    <row r="34" spans="3:15" ht="30" customHeight="1" x14ac:dyDescent="0.3">
      <c r="J34" s="21" t="s">
        <v>52</v>
      </c>
      <c r="K34" s="24">
        <f>-C23/C32</f>
        <v>3.5865598575878948</v>
      </c>
      <c r="L34" s="24">
        <f>-D23/D32</f>
        <v>5.216494845360824</v>
      </c>
      <c r="M34" s="24">
        <f>-E23/E32</f>
        <v>2.4756871035940802</v>
      </c>
      <c r="N34" s="24">
        <f>-F23/F32</f>
        <v>3.3042095699576017</v>
      </c>
      <c r="O34" s="24">
        <f>-G23/G32</f>
        <v>3.0185113268608417</v>
      </c>
    </row>
    <row r="35" spans="3:15" ht="30" customHeight="1" x14ac:dyDescent="0.3">
      <c r="J35" s="21" t="s">
        <v>53</v>
      </c>
      <c r="K35" s="24">
        <f>-C22/C32</f>
        <v>1.7721406319537159</v>
      </c>
      <c r="L35" s="24">
        <f>-D22/D32</f>
        <v>2.8252995263304537</v>
      </c>
      <c r="M35" s="24">
        <f>-E22/E32</f>
        <v>1.4704638726526553</v>
      </c>
      <c r="N35" s="24">
        <f>-F22/F32</f>
        <v>1.9335251362810417</v>
      </c>
      <c r="O35" s="24">
        <f>-G22/G32</f>
        <v>1.6697734627831717</v>
      </c>
    </row>
    <row r="36" spans="3:15" ht="30" customHeight="1" x14ac:dyDescent="0.3">
      <c r="J36" t="s">
        <v>55</v>
      </c>
      <c r="K36" s="16">
        <v>42.2</v>
      </c>
      <c r="L36" s="16">
        <v>52</v>
      </c>
      <c r="M36" s="16">
        <v>82.3</v>
      </c>
      <c r="N36" s="16">
        <v>118</v>
      </c>
      <c r="O36" s="16">
        <v>141.19999999999999</v>
      </c>
    </row>
    <row r="37" spans="3:15" ht="30" customHeight="1" x14ac:dyDescent="0.3">
      <c r="J37" s="21" t="s">
        <v>54</v>
      </c>
      <c r="K37" s="24">
        <f>(C9/K36)</f>
        <v>1.725118483412321</v>
      </c>
      <c r="L37" s="24">
        <f>(D9/L36)</f>
        <v>0.10384615384615231</v>
      </c>
      <c r="M37" s="24">
        <f>(-E9/M36)</f>
        <v>2.7326852976913734</v>
      </c>
      <c r="N37" s="24">
        <f>(-F9/N36)</f>
        <v>0.62966101694915311</v>
      </c>
      <c r="O37" s="24">
        <f>(-G9/O36)</f>
        <v>0.83498583569405094</v>
      </c>
    </row>
    <row r="38" spans="3:15" ht="30" customHeight="1" x14ac:dyDescent="0.3"/>
    <row r="39" spans="3:15" ht="30" customHeight="1" x14ac:dyDescent="0.3">
      <c r="J39" t="s">
        <v>57</v>
      </c>
    </row>
    <row r="40" spans="3:15" ht="30" customHeight="1" x14ac:dyDescent="0.3">
      <c r="J40" t="s">
        <v>58</v>
      </c>
      <c r="K40" s="3">
        <f>C17</f>
        <v>-75.400000000000034</v>
      </c>
      <c r="L40" s="3">
        <f>D17</f>
        <v>-87.100000000000065</v>
      </c>
      <c r="M40" s="3">
        <f>E17</f>
        <v>-443.3</v>
      </c>
      <c r="N40" s="3">
        <f>F17</f>
        <v>-181.60000000000008</v>
      </c>
      <c r="O40" s="3">
        <f>G17</f>
        <v>-521.20000000000005</v>
      </c>
    </row>
    <row r="41" spans="3:15" ht="30" customHeight="1" x14ac:dyDescent="0.3">
      <c r="J41" t="s">
        <v>60</v>
      </c>
      <c r="K41" s="3">
        <v>202.1</v>
      </c>
      <c r="L41" s="3">
        <v>228</v>
      </c>
      <c r="M41" s="3">
        <v>77.2</v>
      </c>
      <c r="N41" s="3">
        <v>115.5</v>
      </c>
      <c r="O41" s="3">
        <v>424.7</v>
      </c>
    </row>
    <row r="42" spans="3:15" ht="30" customHeight="1" x14ac:dyDescent="0.3">
      <c r="J42" s="26" t="s">
        <v>59</v>
      </c>
      <c r="K42" s="27">
        <f>(K40/K41)</f>
        <v>-0.37308263236021788</v>
      </c>
      <c r="L42" s="27">
        <f>(L40/L41)</f>
        <v>-0.38201754385964942</v>
      </c>
      <c r="M42" s="27">
        <f>(M40/M41)</f>
        <v>-5.7422279792746114</v>
      </c>
      <c r="N42" s="27">
        <f>(N40/N41)</f>
        <v>-1.572294372294373</v>
      </c>
      <c r="O42" s="27">
        <f>(O40/O41)</f>
        <v>-1.2272192135625148</v>
      </c>
    </row>
    <row r="43" spans="3:15" ht="30" customHeight="1" x14ac:dyDescent="0.3">
      <c r="J43" t="s">
        <v>61</v>
      </c>
      <c r="K43">
        <v>0</v>
      </c>
      <c r="L43">
        <v>0</v>
      </c>
      <c r="M43">
        <v>0</v>
      </c>
      <c r="N43">
        <v>0</v>
      </c>
      <c r="O43">
        <v>0</v>
      </c>
    </row>
    <row r="44" spans="3:15" ht="30" customHeight="1" x14ac:dyDescent="0.3">
      <c r="J44" s="26" t="s">
        <v>62</v>
      </c>
      <c r="K44" s="26">
        <f>K42*K43</f>
        <v>0</v>
      </c>
      <c r="L44" s="26">
        <f t="shared" ref="L44:O44" si="0">L42*L43</f>
        <v>0</v>
      </c>
      <c r="M44" s="26">
        <f t="shared" si="0"/>
        <v>0</v>
      </c>
      <c r="N44" s="26">
        <f t="shared" si="0"/>
        <v>0</v>
      </c>
      <c r="O44" s="26">
        <f t="shared" si="0"/>
        <v>0</v>
      </c>
    </row>
    <row r="45" spans="3:15" ht="30" customHeight="1" x14ac:dyDescent="0.3">
      <c r="J45" t="s">
        <v>65</v>
      </c>
      <c r="K45" s="3">
        <f>C32</f>
        <v>449.40000000000003</v>
      </c>
      <c r="L45" s="3">
        <f>D32</f>
        <v>358.90000000000009</v>
      </c>
      <c r="M45" s="3">
        <f>E32</f>
        <v>804.1</v>
      </c>
      <c r="N45" s="3">
        <f>F32</f>
        <v>660.40000000000009</v>
      </c>
      <c r="O45" s="3">
        <f>G32</f>
        <v>772.5</v>
      </c>
    </row>
    <row r="46" spans="3:15" ht="30" customHeight="1" x14ac:dyDescent="0.3">
      <c r="J46" t="s">
        <v>63</v>
      </c>
      <c r="K46" s="25">
        <f t="shared" ref="K46:O47" si="1">(K45/K41)</f>
        <v>2.2236516575952501</v>
      </c>
      <c r="L46" s="25">
        <f t="shared" si="1"/>
        <v>1.5741228070175444</v>
      </c>
      <c r="M46" s="25">
        <f t="shared" si="1"/>
        <v>10.415803108808291</v>
      </c>
      <c r="N46" s="25">
        <f t="shared" si="1"/>
        <v>5.7177489177489189</v>
      </c>
      <c r="O46" s="25">
        <f t="shared" si="1"/>
        <v>1.818931010124794</v>
      </c>
    </row>
    <row r="47" spans="3:15" ht="30" customHeight="1" x14ac:dyDescent="0.3">
      <c r="J47" s="26" t="s">
        <v>64</v>
      </c>
      <c r="K47" s="27">
        <f t="shared" si="1"/>
        <v>-5.96021220159151</v>
      </c>
      <c r="L47" s="27">
        <f t="shared" si="1"/>
        <v>-4.1205510907003422</v>
      </c>
      <c r="M47" s="27">
        <f t="shared" si="1"/>
        <v>-1.8138957816377173</v>
      </c>
      <c r="N47" s="27">
        <f t="shared" si="1"/>
        <v>-3.6365638766519814</v>
      </c>
      <c r="O47" s="27">
        <f t="shared" si="1"/>
        <v>-1.4821565617805064</v>
      </c>
    </row>
    <row r="48" spans="3:15" ht="30" customHeight="1" x14ac:dyDescent="0.3">
      <c r="J48" s="26" t="s">
        <v>66</v>
      </c>
      <c r="K48" s="26">
        <f>(K43*K46)</f>
        <v>0</v>
      </c>
      <c r="L48" s="26">
        <f t="shared" ref="L48:O48" si="2">(L43*L46)</f>
        <v>0</v>
      </c>
      <c r="M48" s="26">
        <f t="shared" si="2"/>
        <v>0</v>
      </c>
      <c r="N48" s="26">
        <f t="shared" si="2"/>
        <v>0</v>
      </c>
      <c r="O48" s="26">
        <f t="shared" si="2"/>
        <v>0</v>
      </c>
    </row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</sheetData>
  <mergeCells count="2">
    <mergeCell ref="C2:G2"/>
    <mergeCell ref="K2:O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980A-1199-43A3-9532-4DE4264C44E4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5" t="s">
        <v>0</v>
      </c>
      <c r="C2" s="76">
        <v>2018</v>
      </c>
      <c r="D2" s="76">
        <v>2019</v>
      </c>
      <c r="E2" s="76">
        <v>2020</v>
      </c>
      <c r="F2" s="76">
        <v>2021</v>
      </c>
      <c r="G2" s="77">
        <v>2022</v>
      </c>
    </row>
    <row r="3" spans="2:9" ht="49.95" customHeight="1" x14ac:dyDescent="0.3">
      <c r="B3" s="39" t="s">
        <v>116</v>
      </c>
      <c r="C3" s="63">
        <v>6.67</v>
      </c>
      <c r="D3" s="63">
        <v>22.2</v>
      </c>
      <c r="E3" s="63">
        <v>17</v>
      </c>
      <c r="F3" s="63">
        <v>3.14</v>
      </c>
      <c r="G3" s="64">
        <v>5.04</v>
      </c>
      <c r="H3" s="16"/>
      <c r="I3" s="47"/>
    </row>
    <row r="4" spans="2:9" ht="49.95" customHeight="1" x14ac:dyDescent="0.3">
      <c r="B4" s="39" t="s">
        <v>117</v>
      </c>
      <c r="C4" s="63">
        <v>19.72</v>
      </c>
      <c r="D4" s="63">
        <v>38.659999999999997</v>
      </c>
      <c r="E4" s="63">
        <v>59.44</v>
      </c>
      <c r="F4" s="63">
        <v>47.99</v>
      </c>
      <c r="G4" s="64">
        <v>39.53</v>
      </c>
      <c r="H4" s="16"/>
      <c r="I4" s="47"/>
    </row>
    <row r="5" spans="2:9" ht="49.95" customHeight="1" thickBot="1" x14ac:dyDescent="0.35">
      <c r="B5" s="29" t="s">
        <v>118</v>
      </c>
      <c r="C5" s="67">
        <v>-5.96021220159151</v>
      </c>
      <c r="D5" s="67">
        <v>-4.1205510907003422</v>
      </c>
      <c r="E5" s="67">
        <v>-1.8138957816377173</v>
      </c>
      <c r="F5" s="67">
        <v>-3.6365638766519814</v>
      </c>
      <c r="G5" s="68">
        <v>-1.4821565617805064</v>
      </c>
      <c r="H5" s="16">
        <f>AVERAGE(C5:G5)</f>
        <v>-3.4026759024724114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74CE-3610-4EDA-BD2D-1C44932F999D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5" t="s">
        <v>0</v>
      </c>
      <c r="C2" s="76">
        <v>2018</v>
      </c>
      <c r="D2" s="76">
        <v>2019</v>
      </c>
      <c r="E2" s="76">
        <v>2020</v>
      </c>
      <c r="F2" s="76">
        <v>2021</v>
      </c>
      <c r="G2" s="77">
        <v>2022</v>
      </c>
    </row>
    <row r="3" spans="2:9" ht="49.95" customHeight="1" x14ac:dyDescent="0.3">
      <c r="B3" s="39" t="s">
        <v>112</v>
      </c>
      <c r="C3" s="84" t="s">
        <v>114</v>
      </c>
      <c r="D3" s="85"/>
      <c r="E3" s="85"/>
      <c r="F3" s="85"/>
      <c r="G3" s="86"/>
      <c r="H3" s="16"/>
      <c r="I3" s="47"/>
    </row>
    <row r="4" spans="2:9" ht="49.95" customHeight="1" x14ac:dyDescent="0.3">
      <c r="B4" s="39" t="s">
        <v>115</v>
      </c>
      <c r="C4" s="84" t="s">
        <v>114</v>
      </c>
      <c r="D4" s="85"/>
      <c r="E4" s="85"/>
      <c r="F4" s="85"/>
      <c r="G4" s="86"/>
      <c r="H4" s="16"/>
      <c r="I4" s="47"/>
    </row>
    <row r="5" spans="2:9" ht="49.95" customHeight="1" thickBot="1" x14ac:dyDescent="0.35">
      <c r="B5" s="29" t="s">
        <v>113</v>
      </c>
      <c r="C5" s="67">
        <v>-0.37308263236021788</v>
      </c>
      <c r="D5" s="67">
        <v>-0.38201754385964942</v>
      </c>
      <c r="E5" s="67">
        <v>-5.7422279792746114</v>
      </c>
      <c r="F5" s="67">
        <v>-1.572294372294373</v>
      </c>
      <c r="G5" s="68">
        <v>-1.2272192135625148</v>
      </c>
      <c r="H5" s="16">
        <f>AVERAGE(C5:G5)</f>
        <v>-1.8593683482702734</v>
      </c>
    </row>
  </sheetData>
  <mergeCells count="2">
    <mergeCell ref="C3:G3"/>
    <mergeCell ref="C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F0CC8-AB86-4A0B-A3FE-7904FEAD501A}">
  <dimension ref="B1:I5"/>
  <sheetViews>
    <sheetView workbookViewId="0">
      <selection activeCell="M18" sqref="M18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5" t="s">
        <v>0</v>
      </c>
      <c r="C2" s="76">
        <v>2018</v>
      </c>
      <c r="D2" s="76">
        <v>2019</v>
      </c>
      <c r="E2" s="76">
        <v>2020</v>
      </c>
      <c r="F2" s="76">
        <v>2021</v>
      </c>
      <c r="G2" s="77">
        <v>2022</v>
      </c>
    </row>
    <row r="3" spans="2:9" ht="49.95" customHeight="1" x14ac:dyDescent="0.3">
      <c r="B3" s="39" t="s">
        <v>111</v>
      </c>
      <c r="C3" s="63">
        <v>14.4</v>
      </c>
      <c r="D3" s="63">
        <v>3.7</v>
      </c>
      <c r="E3" s="63">
        <v>23.3</v>
      </c>
      <c r="F3" s="63">
        <v>40.9</v>
      </c>
      <c r="G3" s="64">
        <v>48.1</v>
      </c>
      <c r="H3" s="16"/>
      <c r="I3" s="47"/>
    </row>
    <row r="4" spans="2:9" ht="49.95" customHeight="1" x14ac:dyDescent="0.3">
      <c r="B4" s="39" t="s">
        <v>109</v>
      </c>
      <c r="C4" s="63">
        <v>14</v>
      </c>
      <c r="D4" s="63">
        <v>14</v>
      </c>
      <c r="E4" s="63">
        <v>14</v>
      </c>
      <c r="F4" s="63">
        <v>14.4</v>
      </c>
      <c r="G4" s="64">
        <v>14.4</v>
      </c>
      <c r="H4" s="16"/>
      <c r="I4" s="47"/>
    </row>
    <row r="5" spans="2:9" ht="49.95" customHeight="1" thickBot="1" x14ac:dyDescent="0.35">
      <c r="B5" s="29" t="s">
        <v>110</v>
      </c>
      <c r="C5" s="67">
        <v>1.725118483412321</v>
      </c>
      <c r="D5" s="67">
        <v>0.10384615384615231</v>
      </c>
      <c r="E5" s="67">
        <v>2.7326852976913734</v>
      </c>
      <c r="F5" s="67">
        <v>0.62966101694915311</v>
      </c>
      <c r="G5" s="68">
        <v>0.83498583569405094</v>
      </c>
      <c r="H5" s="16">
        <f>AVERAGE(C5:G5)</f>
        <v>1.2052593575186101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F896-5FB3-48DA-9D84-EFF883F8014B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5" t="s">
        <v>0</v>
      </c>
      <c r="C2" s="76">
        <v>2018</v>
      </c>
      <c r="D2" s="76">
        <v>2019</v>
      </c>
      <c r="E2" s="76">
        <v>2020</v>
      </c>
      <c r="F2" s="76">
        <v>2021</v>
      </c>
      <c r="G2" s="77">
        <v>2022</v>
      </c>
    </row>
    <row r="3" spans="2:9" ht="49.95" customHeight="1" x14ac:dyDescent="0.3">
      <c r="B3" s="39" t="s">
        <v>106</v>
      </c>
      <c r="C3" s="81" t="s">
        <v>102</v>
      </c>
      <c r="D3" s="82"/>
      <c r="E3" s="82"/>
      <c r="F3" s="82"/>
      <c r="G3" s="83"/>
      <c r="I3" s="47"/>
    </row>
    <row r="4" spans="2:9" ht="49.95" customHeight="1" x14ac:dyDescent="0.3">
      <c r="B4" s="39" t="s">
        <v>107</v>
      </c>
      <c r="C4" s="81" t="s">
        <v>102</v>
      </c>
      <c r="D4" s="82"/>
      <c r="E4" s="82"/>
      <c r="F4" s="82"/>
      <c r="G4" s="83"/>
      <c r="I4" s="47"/>
    </row>
    <row r="5" spans="2:9" ht="49.95" customHeight="1" thickBot="1" x14ac:dyDescent="0.35">
      <c r="B5" s="29" t="s">
        <v>108</v>
      </c>
      <c r="C5" s="78">
        <v>1.7721406319537159</v>
      </c>
      <c r="D5" s="78">
        <v>2.8252995263304537</v>
      </c>
      <c r="E5" s="78">
        <v>1.4704638726526553</v>
      </c>
      <c r="F5" s="78">
        <v>1.9335251362810417</v>
      </c>
      <c r="G5" s="79">
        <v>1.6697734627831717</v>
      </c>
      <c r="H5" s="80">
        <f>AVERAGE(C5:G5)</f>
        <v>1.9342405260002073</v>
      </c>
    </row>
  </sheetData>
  <mergeCells count="2">
    <mergeCell ref="C3:G3"/>
    <mergeCell ref="C4:G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13242-3343-4D49-AFE3-F44449773AEC}">
  <dimension ref="B1:I5"/>
  <sheetViews>
    <sheetView workbookViewId="0">
      <selection activeCell="F8" sqref="F8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5" t="s">
        <v>0</v>
      </c>
      <c r="C2" s="76">
        <v>2018</v>
      </c>
      <c r="D2" s="76">
        <v>2019</v>
      </c>
      <c r="E2" s="76">
        <v>2020</v>
      </c>
      <c r="F2" s="76">
        <v>2021</v>
      </c>
      <c r="G2" s="77">
        <v>2022</v>
      </c>
    </row>
    <row r="3" spans="2:9" ht="49.95" customHeight="1" x14ac:dyDescent="0.3">
      <c r="B3" s="39" t="s">
        <v>103</v>
      </c>
      <c r="C3" s="81" t="s">
        <v>102</v>
      </c>
      <c r="D3" s="82"/>
      <c r="E3" s="82"/>
      <c r="F3" s="82"/>
      <c r="G3" s="83"/>
      <c r="I3" s="47"/>
    </row>
    <row r="4" spans="2:9" ht="49.95" customHeight="1" x14ac:dyDescent="0.3">
      <c r="B4" s="36" t="s">
        <v>104</v>
      </c>
      <c r="C4" s="81" t="s">
        <v>102</v>
      </c>
      <c r="D4" s="82"/>
      <c r="E4" s="82"/>
      <c r="F4" s="82"/>
      <c r="G4" s="83"/>
      <c r="I4" s="47"/>
    </row>
    <row r="5" spans="2:9" ht="49.95" customHeight="1" thickBot="1" x14ac:dyDescent="0.35">
      <c r="B5" s="29" t="s">
        <v>105</v>
      </c>
      <c r="C5" s="78">
        <v>3.5865598575878948</v>
      </c>
      <c r="D5" s="78">
        <v>5.216494845360824</v>
      </c>
      <c r="E5" s="78">
        <v>2.4756871035940802</v>
      </c>
      <c r="F5" s="78">
        <v>3.3042095699576017</v>
      </c>
      <c r="G5" s="79">
        <v>3.0185113268608417</v>
      </c>
      <c r="H5" s="80">
        <f>AVERAGE(C5:G5)</f>
        <v>3.5202925406722487</v>
      </c>
    </row>
  </sheetData>
  <mergeCells count="2">
    <mergeCell ref="C3:G3"/>
    <mergeCell ref="C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57835-EE90-4737-A6C6-87A76495D308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5" t="s">
        <v>0</v>
      </c>
      <c r="C2" s="76">
        <v>2018</v>
      </c>
      <c r="D2" s="76">
        <v>2019</v>
      </c>
      <c r="E2" s="76">
        <v>2020</v>
      </c>
      <c r="F2" s="76">
        <v>2021</v>
      </c>
      <c r="G2" s="77">
        <v>2022</v>
      </c>
    </row>
    <row r="3" spans="2:9" ht="49.95" customHeight="1" x14ac:dyDescent="0.3">
      <c r="B3" s="39" t="s">
        <v>99</v>
      </c>
      <c r="C3" s="81" t="s">
        <v>102</v>
      </c>
      <c r="D3" s="82"/>
      <c r="E3" s="82"/>
      <c r="F3" s="82"/>
      <c r="G3" s="83"/>
      <c r="I3" s="47"/>
    </row>
    <row r="4" spans="2:9" ht="49.95" customHeight="1" x14ac:dyDescent="0.3">
      <c r="B4" s="36" t="s">
        <v>100</v>
      </c>
      <c r="C4" s="81" t="s">
        <v>102</v>
      </c>
      <c r="D4" s="82"/>
      <c r="E4" s="82"/>
      <c r="F4" s="82"/>
      <c r="G4" s="83"/>
      <c r="I4" s="47"/>
    </row>
    <row r="5" spans="2:9" ht="49.95" customHeight="1" thickBot="1" x14ac:dyDescent="0.35">
      <c r="B5" s="29" t="s">
        <v>101</v>
      </c>
      <c r="C5" s="78">
        <v>0.63926794027933853</v>
      </c>
      <c r="D5" s="78">
        <v>0.73858256245902831</v>
      </c>
      <c r="E5" s="78">
        <v>0.5952177196073497</v>
      </c>
      <c r="F5" s="78">
        <v>0.65911319878180974</v>
      </c>
      <c r="G5" s="79">
        <v>0.62543638479441432</v>
      </c>
      <c r="H5" s="80">
        <f>AVERAGE(C5:G5)</f>
        <v>0.65152356118438814</v>
      </c>
    </row>
  </sheetData>
  <mergeCells count="2">
    <mergeCell ref="C3:G3"/>
    <mergeCell ref="C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5624-52DA-47AE-B079-539D9E9F0ACB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72" t="s">
        <v>0</v>
      </c>
      <c r="C2" s="73">
        <v>2018</v>
      </c>
      <c r="D2" s="73">
        <v>2019</v>
      </c>
      <c r="E2" s="73">
        <v>2020</v>
      </c>
      <c r="F2" s="73">
        <v>2021</v>
      </c>
      <c r="G2" s="74">
        <v>2022</v>
      </c>
    </row>
    <row r="3" spans="2:9" ht="49.95" customHeight="1" x14ac:dyDescent="0.3">
      <c r="B3" s="39" t="s">
        <v>96</v>
      </c>
      <c r="C3" s="57">
        <v>41</v>
      </c>
      <c r="D3" s="57">
        <v>41</v>
      </c>
      <c r="E3" s="57">
        <v>41</v>
      </c>
      <c r="F3" s="57">
        <v>41</v>
      </c>
      <c r="G3" s="58">
        <v>41</v>
      </c>
      <c r="I3" s="47"/>
    </row>
    <row r="4" spans="2:9" ht="49.95" customHeight="1" x14ac:dyDescent="0.3">
      <c r="B4" s="36" t="s">
        <v>97</v>
      </c>
      <c r="C4" s="59">
        <v>144</v>
      </c>
      <c r="D4" s="59">
        <v>144</v>
      </c>
      <c r="E4" s="59">
        <v>144</v>
      </c>
      <c r="F4" s="59">
        <v>144</v>
      </c>
      <c r="G4" s="60">
        <v>144</v>
      </c>
      <c r="I4" s="47"/>
    </row>
    <row r="5" spans="2:9" ht="49.95" customHeight="1" thickBot="1" x14ac:dyDescent="0.35">
      <c r="B5" s="29" t="s">
        <v>98</v>
      </c>
      <c r="C5" s="61">
        <v>391.29635235356443</v>
      </c>
      <c r="D5" s="61">
        <v>404.07266220631703</v>
      </c>
      <c r="E5" s="61">
        <v>427.47353704813258</v>
      </c>
      <c r="F5" s="61">
        <v>354.89888238424692</v>
      </c>
      <c r="G5" s="62">
        <v>347.19703480876666</v>
      </c>
      <c r="H5" s="16">
        <f>AVERAGE(C5:G5)</f>
        <v>384.9876937602055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22DA7-4881-4685-96E3-8A3A6A5535A2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48" t="s">
        <v>0</v>
      </c>
      <c r="C2" s="49">
        <v>2018</v>
      </c>
      <c r="D2" s="49">
        <v>2019</v>
      </c>
      <c r="E2" s="49">
        <v>2020</v>
      </c>
      <c r="F2" s="49">
        <v>2021</v>
      </c>
      <c r="G2" s="50">
        <v>2022</v>
      </c>
    </row>
    <row r="3" spans="2:9" ht="49.95" customHeight="1" x14ac:dyDescent="0.3">
      <c r="B3" s="39" t="s">
        <v>95</v>
      </c>
      <c r="C3" s="63">
        <v>3.8</v>
      </c>
      <c r="D3" s="63">
        <v>3.8</v>
      </c>
      <c r="E3" s="63">
        <v>3.8</v>
      </c>
      <c r="F3" s="63">
        <v>3.8</v>
      </c>
      <c r="G3" s="64">
        <v>3.8</v>
      </c>
      <c r="I3" s="47"/>
    </row>
    <row r="4" spans="2:9" ht="49.95" customHeight="1" x14ac:dyDescent="0.3">
      <c r="B4" s="36" t="s">
        <v>94</v>
      </c>
      <c r="C4" s="65">
        <v>4.2</v>
      </c>
      <c r="D4" s="65">
        <v>4.2</v>
      </c>
      <c r="E4" s="65">
        <v>4.2</v>
      </c>
      <c r="F4" s="65">
        <v>4.2</v>
      </c>
      <c r="G4" s="66">
        <v>4.2</v>
      </c>
      <c r="I4" s="47"/>
    </row>
    <row r="5" spans="2:9" ht="49.95" customHeight="1" thickBot="1" x14ac:dyDescent="0.35">
      <c r="B5" s="29" t="s">
        <v>93</v>
      </c>
      <c r="C5" s="67">
        <v>3.9969751966122202</v>
      </c>
      <c r="D5" s="67">
        <v>3.5120218579234974</v>
      </c>
      <c r="E5" s="67">
        <v>2.4538103406027933</v>
      </c>
      <c r="F5" s="67">
        <v>3.7189510143493316</v>
      </c>
      <c r="G5" s="68">
        <v>3.2522711390635917</v>
      </c>
      <c r="H5" s="16">
        <f>AVERAGE(C5:G5)</f>
        <v>3.3868059097102865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73896-3B26-4934-A561-BCA4CE294A36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48" t="s">
        <v>0</v>
      </c>
      <c r="C2" s="49">
        <v>2018</v>
      </c>
      <c r="D2" s="49">
        <v>2019</v>
      </c>
      <c r="E2" s="49">
        <v>2020</v>
      </c>
      <c r="F2" s="49">
        <v>2021</v>
      </c>
      <c r="G2" s="50">
        <v>2022</v>
      </c>
    </row>
    <row r="3" spans="2:9" ht="49.95" customHeight="1" x14ac:dyDescent="0.3">
      <c r="B3" s="39" t="s">
        <v>90</v>
      </c>
      <c r="C3" s="57">
        <v>22</v>
      </c>
      <c r="D3" s="57">
        <v>23</v>
      </c>
      <c r="E3" s="57">
        <v>31</v>
      </c>
      <c r="F3" s="57">
        <v>23</v>
      </c>
      <c r="G3" s="58">
        <v>17</v>
      </c>
      <c r="I3" s="47"/>
    </row>
    <row r="4" spans="2:9" ht="49.95" customHeight="1" x14ac:dyDescent="0.3">
      <c r="B4" s="36" t="s">
        <v>92</v>
      </c>
      <c r="C4" s="59">
        <v>87</v>
      </c>
      <c r="D4" s="59">
        <v>87</v>
      </c>
      <c r="E4" s="59">
        <v>87</v>
      </c>
      <c r="F4" s="59">
        <v>87</v>
      </c>
      <c r="G4" s="60">
        <v>87</v>
      </c>
      <c r="I4" s="47"/>
    </row>
    <row r="5" spans="2:9" ht="49.95" customHeight="1" thickBot="1" x14ac:dyDescent="0.35">
      <c r="B5" s="29" t="s">
        <v>91</v>
      </c>
      <c r="C5" s="61">
        <v>80.423164614683074</v>
      </c>
      <c r="D5" s="61">
        <v>92.046024265516905</v>
      </c>
      <c r="E5" s="61">
        <v>106.67211507028442</v>
      </c>
      <c r="F5" s="61">
        <v>81.810919382817502</v>
      </c>
      <c r="G5" s="62">
        <v>66.579804560260584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E7A6-9659-491A-95B4-6F6A59ACB8A5}">
  <dimension ref="B1:I5"/>
  <sheetViews>
    <sheetView workbookViewId="0">
      <selection activeCell="D12" sqref="D12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48" t="s">
        <v>0</v>
      </c>
      <c r="C2" s="49">
        <v>2018</v>
      </c>
      <c r="D2" s="49">
        <v>2019</v>
      </c>
      <c r="E2" s="49">
        <v>2020</v>
      </c>
      <c r="F2" s="49">
        <v>2021</v>
      </c>
      <c r="G2" s="50">
        <v>2022</v>
      </c>
    </row>
    <row r="3" spans="2:9" ht="49.95" customHeight="1" x14ac:dyDescent="0.3">
      <c r="B3" s="39" t="s">
        <v>87</v>
      </c>
      <c r="C3" s="51">
        <f>6354/26612</f>
        <v>0.23876446715767324</v>
      </c>
      <c r="D3" s="51">
        <f>18833/105802</f>
        <v>0.1780023061945899</v>
      </c>
      <c r="E3" s="51">
        <f>23048/99809</f>
        <v>0.23092105922311615</v>
      </c>
      <c r="F3" s="51">
        <f>23130/87675</f>
        <v>0.26381522668947821</v>
      </c>
      <c r="G3" s="52">
        <f>23182/88403</f>
        <v>0.26223091976516633</v>
      </c>
      <c r="I3" s="47"/>
    </row>
    <row r="4" spans="2:9" ht="49.95" customHeight="1" x14ac:dyDescent="0.3">
      <c r="B4" s="36" t="s">
        <v>88</v>
      </c>
      <c r="C4" s="53">
        <f>(753.4/781)</f>
        <v>0.96466069142125477</v>
      </c>
      <c r="D4" s="53">
        <f>871.4/805</f>
        <v>1.0824844720496893</v>
      </c>
      <c r="E4" s="53">
        <f>1200/834</f>
        <v>1.4388489208633093</v>
      </c>
      <c r="F4" s="53">
        <f>1300/1077</f>
        <v>1.2070566388115134</v>
      </c>
      <c r="G4" s="54">
        <f>1400/1013</f>
        <v>1.3820335636722607</v>
      </c>
      <c r="I4" s="47"/>
    </row>
    <row r="5" spans="2:9" ht="49.95" customHeight="1" thickBot="1" x14ac:dyDescent="0.35">
      <c r="B5" s="29" t="s">
        <v>89</v>
      </c>
      <c r="C5" s="55">
        <v>0.17733627667402502</v>
      </c>
      <c r="D5" s="55">
        <v>0.12572826846888838</v>
      </c>
      <c r="E5" s="55">
        <v>0.60546826673264875</v>
      </c>
      <c r="F5" s="55">
        <v>0.46277065841802911</v>
      </c>
      <c r="G5" s="56">
        <v>0.55984259525866198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83CDB-1D79-466B-B5BE-5DFD86791B08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48" t="s">
        <v>0</v>
      </c>
      <c r="C2" s="49">
        <v>2018</v>
      </c>
      <c r="D2" s="49">
        <v>2019</v>
      </c>
      <c r="E2" s="49">
        <v>2020</v>
      </c>
      <c r="F2" s="49">
        <v>2021</v>
      </c>
      <c r="G2" s="50">
        <v>2022</v>
      </c>
    </row>
    <row r="3" spans="2:9" ht="49.95" customHeight="1" x14ac:dyDescent="0.3">
      <c r="B3" s="39" t="s">
        <v>86</v>
      </c>
      <c r="C3" s="51">
        <v>0.3</v>
      </c>
      <c r="D3" s="51">
        <v>0.3</v>
      </c>
      <c r="E3" s="51">
        <v>0.3</v>
      </c>
      <c r="F3" s="51">
        <v>0.3</v>
      </c>
      <c r="G3" s="52">
        <v>0.3</v>
      </c>
      <c r="I3" s="47"/>
    </row>
    <row r="4" spans="2:9" ht="49.95" customHeight="1" x14ac:dyDescent="0.3">
      <c r="B4" s="36" t="s">
        <v>83</v>
      </c>
      <c r="C4" s="53">
        <v>3.15</v>
      </c>
      <c r="D4" s="53">
        <v>3.09</v>
      </c>
      <c r="E4" s="53">
        <v>3.58</v>
      </c>
      <c r="F4" s="53">
        <v>3.1</v>
      </c>
      <c r="G4" s="54">
        <v>3.41</v>
      </c>
      <c r="I4" s="47"/>
    </row>
    <row r="5" spans="2:9" ht="49.95" customHeight="1" thickBot="1" x14ac:dyDescent="0.35">
      <c r="B5" s="29" t="s">
        <v>84</v>
      </c>
      <c r="C5" s="55">
        <v>0.47375521216580824</v>
      </c>
      <c r="D5" s="55">
        <v>0.42740619902120719</v>
      </c>
      <c r="E5" s="55">
        <v>0.84386985030310535</v>
      </c>
      <c r="F5" s="55">
        <v>0.74138311975254079</v>
      </c>
      <c r="G5" s="56">
        <v>0.80545157884633845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90A29-DD0B-4C95-AE08-C07C4BBB6427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48" t="s">
        <v>0</v>
      </c>
      <c r="C2" s="49">
        <v>2018</v>
      </c>
      <c r="D2" s="49">
        <v>2019</v>
      </c>
      <c r="E2" s="49">
        <v>2020</v>
      </c>
      <c r="F2" s="49">
        <v>2021</v>
      </c>
      <c r="G2" s="50">
        <v>2022</v>
      </c>
    </row>
    <row r="3" spans="2:9" ht="49.95" customHeight="1" x14ac:dyDescent="0.3">
      <c r="B3" s="39" t="s">
        <v>81</v>
      </c>
      <c r="C3" s="51">
        <v>1.2</v>
      </c>
      <c r="D3" s="51">
        <v>1.2</v>
      </c>
      <c r="E3" s="51">
        <v>1.2</v>
      </c>
      <c r="F3" s="51">
        <v>1.2</v>
      </c>
      <c r="G3" s="52">
        <v>1.2</v>
      </c>
      <c r="I3" s="47"/>
    </row>
    <row r="4" spans="2:9" ht="49.95" customHeight="1" x14ac:dyDescent="0.3">
      <c r="B4" s="36" t="s">
        <v>85</v>
      </c>
      <c r="C4" s="53">
        <v>3.75</v>
      </c>
      <c r="D4" s="53">
        <v>3.68</v>
      </c>
      <c r="E4" s="53">
        <v>4.22</v>
      </c>
      <c r="F4" s="53">
        <v>3.69</v>
      </c>
      <c r="G4" s="54">
        <v>4.1100000000000003</v>
      </c>
      <c r="I4" s="47"/>
    </row>
    <row r="5" spans="2:9" ht="49.95" customHeight="1" thickBot="1" x14ac:dyDescent="0.35">
      <c r="B5" s="29" t="s">
        <v>82</v>
      </c>
      <c r="C5" s="55">
        <v>0.67647780230561694</v>
      </c>
      <c r="D5" s="55">
        <v>0.66126776975064083</v>
      </c>
      <c r="E5" s="55">
        <v>1.1004577508350861</v>
      </c>
      <c r="F5" s="55">
        <v>0.95879363676535567</v>
      </c>
      <c r="G5" s="56">
        <v>1.0801420481812074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C190-0D6A-47BD-891D-FE27D194C33C}">
  <dimension ref="B1:I5"/>
  <sheetViews>
    <sheetView workbookViewId="0">
      <selection activeCell="J1" sqref="J1"/>
    </sheetView>
  </sheetViews>
  <sheetFormatPr defaultRowHeight="14.4" x14ac:dyDescent="0.3"/>
  <cols>
    <col min="2" max="2" width="14.88671875" customWidth="1"/>
  </cols>
  <sheetData>
    <row r="1" spans="2:9" ht="15" thickBot="1" x14ac:dyDescent="0.35"/>
    <row r="2" spans="2:9" s="30" customFormat="1" ht="25.05" customHeight="1" x14ac:dyDescent="0.3">
      <c r="B2" s="33" t="s">
        <v>0</v>
      </c>
      <c r="C2" s="34">
        <v>2018</v>
      </c>
      <c r="D2" s="34">
        <v>2019</v>
      </c>
      <c r="E2" s="34">
        <v>2020</v>
      </c>
      <c r="F2" s="34">
        <v>2021</v>
      </c>
      <c r="G2" s="35">
        <v>2022</v>
      </c>
    </row>
    <row r="3" spans="2:9" s="30" customFormat="1" ht="49.95" customHeight="1" x14ac:dyDescent="0.3">
      <c r="B3" s="39" t="s">
        <v>69</v>
      </c>
      <c r="C3" s="40">
        <v>0.185</v>
      </c>
      <c r="D3" s="40">
        <v>0.185</v>
      </c>
      <c r="E3" s="40">
        <v>0.185</v>
      </c>
      <c r="F3" s="40">
        <v>0.185</v>
      </c>
      <c r="G3" s="41">
        <v>0.185</v>
      </c>
    </row>
    <row r="4" spans="2:9" s="30" customFormat="1" ht="49.95" customHeight="1" x14ac:dyDescent="0.3">
      <c r="B4" s="36" t="s">
        <v>67</v>
      </c>
      <c r="C4" s="37">
        <v>0.51</v>
      </c>
      <c r="D4" s="37">
        <v>0.51</v>
      </c>
      <c r="E4" s="37">
        <v>0.51</v>
      </c>
      <c r="F4" s="37">
        <v>0.51</v>
      </c>
      <c r="G4" s="38">
        <v>0.51</v>
      </c>
    </row>
    <row r="5" spans="2:9" s="30" customFormat="1" ht="49.95" customHeight="1" thickBot="1" x14ac:dyDescent="0.35">
      <c r="B5" s="29" t="s">
        <v>68</v>
      </c>
      <c r="C5" s="31">
        <v>0.39744642042863654</v>
      </c>
      <c r="D5" s="31">
        <v>0.35556001203248766</v>
      </c>
      <c r="E5" s="31">
        <v>0.18159529257927423</v>
      </c>
      <c r="F5" s="31">
        <v>0.31379530722176568</v>
      </c>
      <c r="G5" s="32">
        <v>0.32623959464350349</v>
      </c>
      <c r="I5" s="42">
        <f>AVERAGE(C5:G5)</f>
        <v>0.31492732538113349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E6874-9937-4580-8527-DB8F002814C2}">
  <dimension ref="B1:I13"/>
  <sheetViews>
    <sheetView workbookViewId="0">
      <selection activeCell="B2" sqref="B2:G5"/>
    </sheetView>
  </sheetViews>
  <sheetFormatPr defaultRowHeight="14.4" x14ac:dyDescent="0.3"/>
  <cols>
    <col min="2" max="2" width="14.88671875" customWidth="1"/>
    <col min="12" max="12" width="8.88671875" customWidth="1"/>
  </cols>
  <sheetData>
    <row r="1" spans="2:9" ht="15" thickBot="1" x14ac:dyDescent="0.35"/>
    <row r="2" spans="2:9" s="30" customFormat="1" ht="25.05" customHeight="1" x14ac:dyDescent="0.3">
      <c r="B2" s="33" t="s">
        <v>0</v>
      </c>
      <c r="C2" s="34">
        <v>2018</v>
      </c>
      <c r="D2" s="34">
        <v>2019</v>
      </c>
      <c r="E2" s="34">
        <v>2020</v>
      </c>
      <c r="F2" s="34">
        <v>2021</v>
      </c>
      <c r="G2" s="35">
        <v>2022</v>
      </c>
    </row>
    <row r="3" spans="2:9" s="30" customFormat="1" ht="49.95" customHeight="1" x14ac:dyDescent="0.3">
      <c r="B3" s="39" t="s">
        <v>69</v>
      </c>
      <c r="C3" s="45">
        <v>6.3299999999999995E-2</v>
      </c>
      <c r="D3" s="45">
        <v>2.2200000000000001E-2</v>
      </c>
      <c r="E3" s="45">
        <v>4.1099999999999998E-2</v>
      </c>
      <c r="F3" s="45">
        <v>0.1181</v>
      </c>
      <c r="G3" s="46">
        <v>0.1353</v>
      </c>
    </row>
    <row r="4" spans="2:9" s="30" customFormat="1" ht="49.95" customHeight="1" x14ac:dyDescent="0.3">
      <c r="B4" s="36" t="s">
        <v>67</v>
      </c>
      <c r="C4" s="43">
        <v>0.23480000000000001</v>
      </c>
      <c r="D4" s="43">
        <v>0.2324</v>
      </c>
      <c r="E4" s="43">
        <v>0.1928</v>
      </c>
      <c r="F4" s="43">
        <v>0.24399999999999999</v>
      </c>
      <c r="G4" s="44">
        <v>0.2311</v>
      </c>
    </row>
    <row r="5" spans="2:9" s="30" customFormat="1" ht="49.95" customHeight="1" thickBot="1" x14ac:dyDescent="0.35">
      <c r="B5" s="29" t="s">
        <v>68</v>
      </c>
      <c r="C5" s="31">
        <v>6.6393068855449114E-2</v>
      </c>
      <c r="D5" s="31">
        <v>-3.6799358267321849E-2</v>
      </c>
      <c r="E5" s="31">
        <v>-0.52778685845047413</v>
      </c>
      <c r="F5" s="31">
        <v>-6.9843878389482403E-2</v>
      </c>
      <c r="G5" s="32">
        <v>-0.10264205573651826</v>
      </c>
      <c r="I5" s="42">
        <f>AVERAGE(C5:G5)</f>
        <v>-0.13413581639766953</v>
      </c>
    </row>
    <row r="8" spans="2:9" x14ac:dyDescent="0.3">
      <c r="B8" s="8" t="s">
        <v>1</v>
      </c>
      <c r="C8" s="9">
        <v>1096.5</v>
      </c>
      <c r="D8" s="9">
        <v>997.3</v>
      </c>
      <c r="E8" s="9">
        <v>611.79999999999995</v>
      </c>
      <c r="F8" s="9">
        <v>1095.3</v>
      </c>
      <c r="G8" s="10">
        <v>1381.5</v>
      </c>
    </row>
    <row r="9" spans="2:9" x14ac:dyDescent="0.3">
      <c r="B9" s="8" t="s">
        <v>14</v>
      </c>
      <c r="C9" s="9">
        <v>20</v>
      </c>
      <c r="D9" s="9">
        <v>-19</v>
      </c>
      <c r="E9" s="9"/>
      <c r="F9" s="9"/>
      <c r="G9" s="10"/>
    </row>
    <row r="10" spans="2:9" x14ac:dyDescent="0.3">
      <c r="B10" s="8" t="s">
        <v>15</v>
      </c>
      <c r="C10" s="9"/>
      <c r="D10" s="9"/>
      <c r="E10" s="9"/>
      <c r="F10" s="9"/>
      <c r="G10" s="10"/>
    </row>
    <row r="11" spans="2:9" x14ac:dyDescent="0.3">
      <c r="B11" s="8" t="s">
        <v>2</v>
      </c>
      <c r="C11" s="9">
        <v>660.7</v>
      </c>
      <c r="D11" s="9">
        <v>642.70000000000005</v>
      </c>
      <c r="E11" s="9">
        <v>500.7</v>
      </c>
      <c r="F11" s="9">
        <v>751.6</v>
      </c>
      <c r="G11" s="10">
        <v>930.8</v>
      </c>
    </row>
    <row r="12" spans="2:9" ht="57.6" x14ac:dyDescent="0.3">
      <c r="B12" s="11" t="s">
        <v>3</v>
      </c>
      <c r="C12" s="9">
        <f>89.8+293.2</f>
        <v>383</v>
      </c>
      <c r="D12" s="9">
        <v>330.2</v>
      </c>
      <c r="E12" s="9">
        <v>336</v>
      </c>
      <c r="F12" s="9">
        <v>418</v>
      </c>
      <c r="G12" s="10">
        <v>568.6</v>
      </c>
    </row>
    <row r="13" spans="2:9" x14ac:dyDescent="0.3">
      <c r="B13" s="8" t="s">
        <v>4</v>
      </c>
      <c r="C13" s="9">
        <f>C8-(C11+C12)+C9</f>
        <v>72.799999999999955</v>
      </c>
      <c r="D13" s="9">
        <f>(D8-(D11+D12-D9))-42.1</f>
        <v>-36.700000000000138</v>
      </c>
      <c r="E13" s="9">
        <f>(E8-(E12+E11))-98</f>
        <v>-322.90000000000009</v>
      </c>
      <c r="F13" s="9">
        <f>(F8-(F11+F12))-2.2</f>
        <v>-76.499999999999957</v>
      </c>
      <c r="G13" s="10">
        <f>(G8-(G11+G12))-23.9</f>
        <v>-141.8000000000001</v>
      </c>
    </row>
  </sheetData>
  <pageMargins left="0.7" right="0.7" top="0.75" bottom="0.75" header="0.3" footer="0.3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A4114-539C-4FCD-9407-FE28C67F4FE6}">
  <dimension ref="B1:I5"/>
  <sheetViews>
    <sheetView workbookViewId="0">
      <selection activeCell="B2" sqref="B2:G5"/>
    </sheetView>
  </sheetViews>
  <sheetFormatPr defaultRowHeight="14.4" x14ac:dyDescent="0.3"/>
  <cols>
    <col min="2" max="2" width="18.77734375" customWidth="1"/>
    <col min="3" max="7" width="10.77734375" customWidth="1"/>
  </cols>
  <sheetData>
    <row r="1" spans="2:9" ht="15" thickBot="1" x14ac:dyDescent="0.35"/>
    <row r="2" spans="2:9" x14ac:dyDescent="0.3">
      <c r="B2" s="33" t="s">
        <v>0</v>
      </c>
      <c r="C2" s="34">
        <v>2018</v>
      </c>
      <c r="D2" s="34">
        <v>2019</v>
      </c>
      <c r="E2" s="34">
        <v>2020</v>
      </c>
      <c r="F2" s="34">
        <v>2021</v>
      </c>
      <c r="G2" s="35">
        <v>2022</v>
      </c>
    </row>
    <row r="3" spans="2:9" ht="49.95" customHeight="1" x14ac:dyDescent="0.3">
      <c r="B3" s="39" t="s">
        <v>70</v>
      </c>
      <c r="C3" s="45">
        <v>4.3700000000000003E-2</v>
      </c>
      <c r="D3" s="45">
        <v>4.24E-2</v>
      </c>
      <c r="E3" s="45">
        <v>1.38E-2</v>
      </c>
      <c r="F3" s="45">
        <v>4.99E-2</v>
      </c>
      <c r="G3" s="46">
        <v>9.6699999999999994E-2</v>
      </c>
      <c r="I3" s="47" t="s">
        <v>74</v>
      </c>
    </row>
    <row r="4" spans="2:9" ht="49.95" customHeight="1" x14ac:dyDescent="0.3">
      <c r="B4" s="36" t="s">
        <v>71</v>
      </c>
      <c r="C4" s="43">
        <v>0.2293</v>
      </c>
      <c r="D4" s="43">
        <v>0.18459999999999999</v>
      </c>
      <c r="E4" s="43">
        <v>0.1759</v>
      </c>
      <c r="F4" s="43">
        <v>0.1946</v>
      </c>
      <c r="G4" s="44">
        <v>0.18290000000000001</v>
      </c>
      <c r="I4" s="47" t="s">
        <v>73</v>
      </c>
    </row>
    <row r="5" spans="2:9" ht="49.95" customHeight="1" thickBot="1" x14ac:dyDescent="0.35">
      <c r="B5" s="29" t="s">
        <v>72</v>
      </c>
      <c r="C5" s="31">
        <v>-5.2074783401732813E-2</v>
      </c>
      <c r="D5" s="31">
        <v>-0.10468264313646854</v>
      </c>
      <c r="E5" s="31">
        <v>-0.6709709055246813</v>
      </c>
      <c r="F5" s="31">
        <v>-0.17282936181867989</v>
      </c>
      <c r="G5" s="32">
        <v>-0.38197611292073835</v>
      </c>
    </row>
  </sheetData>
  <hyperlinks>
    <hyperlink ref="I4" r:id="rId1" display="https://www.macrotrends.net/stocks/charts/RACE/ferrari/net-profit-margin" xr:uid="{9CCAB1C2-4BDC-4FAC-B7B9-4A9F45998D27}"/>
    <hyperlink ref="I3" r:id="rId2" display="https://www.macrotrends.net/stocks/charts/MBGAF/mercedes-benz-group-ag/net-profit-margin" xr:uid="{EAC63A61-1343-468A-9AC0-C6B955FB77E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D085-FC72-4708-A09B-2B5FEC09E678}">
  <dimension ref="B1:G5"/>
  <sheetViews>
    <sheetView workbookViewId="0">
      <selection activeCell="F19" sqref="F19"/>
    </sheetView>
  </sheetViews>
  <sheetFormatPr defaultRowHeight="14.4" x14ac:dyDescent="0.3"/>
  <cols>
    <col min="2" max="2" width="18.44140625" customWidth="1"/>
  </cols>
  <sheetData>
    <row r="1" spans="2:7" ht="15" thickBot="1" x14ac:dyDescent="0.35"/>
    <row r="2" spans="2:7" x14ac:dyDescent="0.3">
      <c r="B2" s="33" t="s">
        <v>0</v>
      </c>
      <c r="C2" s="34">
        <v>2018</v>
      </c>
      <c r="D2" s="34">
        <v>2019</v>
      </c>
      <c r="E2" s="34">
        <v>2020</v>
      </c>
      <c r="F2" s="34">
        <v>2021</v>
      </c>
      <c r="G2" s="35">
        <v>2022</v>
      </c>
    </row>
    <row r="3" spans="2:7" ht="40.049999999999997" customHeight="1" x14ac:dyDescent="0.3">
      <c r="B3" s="39" t="s">
        <v>76</v>
      </c>
      <c r="C3" s="45">
        <v>5.5800000000000002E-2</v>
      </c>
      <c r="D3" s="45">
        <v>9.6699999999999994E-2</v>
      </c>
      <c r="E3" s="45">
        <v>0.1048</v>
      </c>
      <c r="F3" s="45">
        <v>0.12379999999999999</v>
      </c>
      <c r="G3" s="46">
        <v>0.14599999999999999</v>
      </c>
    </row>
    <row r="4" spans="2:7" ht="40.049999999999997" customHeight="1" x14ac:dyDescent="0.3">
      <c r="B4" s="36" t="s">
        <v>75</v>
      </c>
      <c r="C4" s="43">
        <v>0.1709</v>
      </c>
      <c r="D4" s="43">
        <v>0.1376</v>
      </c>
      <c r="E4" s="43">
        <v>0.10390000000000001</v>
      </c>
      <c r="F4" s="43">
        <v>0.1283</v>
      </c>
      <c r="G4" s="44">
        <v>0.1234</v>
      </c>
    </row>
    <row r="5" spans="2:7" ht="40.049999999999997" customHeight="1" thickBot="1" x14ac:dyDescent="0.35">
      <c r="B5" s="29" t="s">
        <v>77</v>
      </c>
      <c r="C5" s="31">
        <v>-2.7702309334368347E-2</v>
      </c>
      <c r="D5" s="31">
        <v>-4.6793061718434885E-2</v>
      </c>
      <c r="E5" s="31">
        <v>-0.14687991985115212</v>
      </c>
      <c r="F5" s="31">
        <v>-6.6596306068601605E-2</v>
      </c>
      <c r="G5" s="32">
        <v>-0.16999001385175402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2FD72-245E-4363-B771-1F3B6A750209}">
  <dimension ref="B1:G5"/>
  <sheetViews>
    <sheetView workbookViewId="0">
      <selection activeCell="B2" sqref="B2:G5"/>
    </sheetView>
  </sheetViews>
  <sheetFormatPr defaultRowHeight="14.4" x14ac:dyDescent="0.3"/>
  <cols>
    <col min="2" max="2" width="18.44140625" customWidth="1"/>
  </cols>
  <sheetData>
    <row r="1" spans="2:7" ht="15" thickBot="1" x14ac:dyDescent="0.35"/>
    <row r="2" spans="2:7" x14ac:dyDescent="0.3">
      <c r="B2" s="33" t="s">
        <v>0</v>
      </c>
      <c r="C2" s="34">
        <v>2018</v>
      </c>
      <c r="D2" s="34">
        <v>2019</v>
      </c>
      <c r="E2" s="34">
        <v>2020</v>
      </c>
      <c r="F2" s="34">
        <v>2021</v>
      </c>
      <c r="G2" s="35">
        <v>2022</v>
      </c>
    </row>
    <row r="3" spans="2:7" ht="49.95" customHeight="1" x14ac:dyDescent="0.3">
      <c r="B3" s="39" t="s">
        <v>78</v>
      </c>
      <c r="C3" s="45">
        <v>0.14369999999999999</v>
      </c>
      <c r="D3" s="45">
        <v>0.12570000000000001</v>
      </c>
      <c r="E3" s="45">
        <v>9.9000000000000005E-2</v>
      </c>
      <c r="F3" s="45">
        <v>0.22</v>
      </c>
      <c r="G3" s="46">
        <v>0.16800000000000001</v>
      </c>
    </row>
    <row r="4" spans="2:7" ht="49.95" customHeight="1" x14ac:dyDescent="0.3">
      <c r="B4" s="36" t="s">
        <v>79</v>
      </c>
      <c r="C4" s="43">
        <v>0.70669999999999999</v>
      </c>
      <c r="D4" s="43">
        <v>0.48280000000000001</v>
      </c>
      <c r="E4" s="43">
        <v>0.3972</v>
      </c>
      <c r="F4" s="43">
        <v>0.40539999999999998</v>
      </c>
      <c r="G4" s="44">
        <v>0.38500000000000001</v>
      </c>
    </row>
    <row r="5" spans="2:7" ht="49.95" customHeight="1" thickBot="1" x14ac:dyDescent="0.35">
      <c r="B5" s="29" t="s">
        <v>80</v>
      </c>
      <c r="C5" s="31">
        <v>-0.12705829995549628</v>
      </c>
      <c r="D5" s="31">
        <v>-0.29088882697130131</v>
      </c>
      <c r="E5" s="31">
        <v>-0.51050864320358158</v>
      </c>
      <c r="F5" s="31">
        <v>-0.28664445790430049</v>
      </c>
      <c r="G5" s="32">
        <v>-0.68310679611650493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558D5-8A63-4B9B-9B76-709DD9C07C42}">
  <dimension ref="A1:J54"/>
  <sheetViews>
    <sheetView topLeftCell="A65" workbookViewId="0">
      <selection activeCell="I91" sqref="I91"/>
    </sheetView>
  </sheetViews>
  <sheetFormatPr defaultRowHeight="14.4" x14ac:dyDescent="0.3"/>
  <cols>
    <col min="6" max="10" width="15.77734375" customWidth="1"/>
  </cols>
  <sheetData>
    <row r="1" spans="1:10" x14ac:dyDescent="0.3">
      <c r="F1">
        <v>2018</v>
      </c>
      <c r="G1">
        <v>2019</v>
      </c>
      <c r="H1">
        <v>2020</v>
      </c>
      <c r="I1">
        <v>2021</v>
      </c>
      <c r="J1">
        <v>2022</v>
      </c>
    </row>
    <row r="2" spans="1:10" x14ac:dyDescent="0.3">
      <c r="A2" t="s">
        <v>1</v>
      </c>
      <c r="F2" s="2">
        <v>949497000</v>
      </c>
      <c r="G2" s="2">
        <v>864400000</v>
      </c>
      <c r="H2" s="2">
        <v>531000</v>
      </c>
      <c r="I2" s="2"/>
      <c r="J2" s="2"/>
    </row>
    <row r="17" spans="1:10" x14ac:dyDescent="0.3">
      <c r="F17">
        <v>2018</v>
      </c>
      <c r="G17">
        <v>2019</v>
      </c>
      <c r="H17">
        <v>2020</v>
      </c>
      <c r="I17">
        <v>2021</v>
      </c>
      <c r="J17">
        <v>2022</v>
      </c>
    </row>
    <row r="18" spans="1:10" x14ac:dyDescent="0.3">
      <c r="F18" s="1">
        <f>Data!C7 * 1000</f>
        <v>-660700</v>
      </c>
      <c r="G18" s="1">
        <f>Data!D7 * 1000</f>
        <v>-642700</v>
      </c>
      <c r="H18" s="1">
        <f>Data!E7 * 1000</f>
        <v>-500700</v>
      </c>
      <c r="I18" s="1">
        <f>Data!F7 * 1000</f>
        <v>-751600</v>
      </c>
      <c r="J18" s="1">
        <f>Data!G7 * 1000</f>
        <v>-930800</v>
      </c>
    </row>
    <row r="19" spans="1:10" x14ac:dyDescent="0.3">
      <c r="A19" t="s">
        <v>2</v>
      </c>
      <c r="F19">
        <f>SQRT(F18*F18)</f>
        <v>660700</v>
      </c>
      <c r="G19">
        <f>SQRT(G18*G18)</f>
        <v>642700</v>
      </c>
      <c r="H19">
        <f>SQRT(H18*H18)</f>
        <v>500700</v>
      </c>
      <c r="I19">
        <f>SQRT(I18*I18)</f>
        <v>751600</v>
      </c>
      <c r="J19">
        <f>SQRT(J18*J18)</f>
        <v>930800</v>
      </c>
    </row>
    <row r="34" spans="1:10" x14ac:dyDescent="0.3">
      <c r="F34">
        <v>2018</v>
      </c>
      <c r="G34">
        <v>2019</v>
      </c>
      <c r="H34">
        <v>2020</v>
      </c>
      <c r="I34">
        <v>2021</v>
      </c>
      <c r="J34">
        <v>2022</v>
      </c>
    </row>
    <row r="35" spans="1:10" x14ac:dyDescent="0.3">
      <c r="A35" t="s">
        <v>17</v>
      </c>
      <c r="F35" s="1">
        <v>348640</v>
      </c>
      <c r="G35" s="1">
        <v>136900</v>
      </c>
      <c r="H35" s="1">
        <v>-140000</v>
      </c>
      <c r="I35" s="1"/>
      <c r="J35" s="1"/>
    </row>
    <row r="51" spans="1:10" x14ac:dyDescent="0.3">
      <c r="A51" t="s">
        <v>18</v>
      </c>
      <c r="F51">
        <v>2018</v>
      </c>
      <c r="G51">
        <v>2019</v>
      </c>
      <c r="H51">
        <v>2020</v>
      </c>
      <c r="I51">
        <v>2021</v>
      </c>
      <c r="J51">
        <v>2022</v>
      </c>
    </row>
    <row r="52" spans="1:10" x14ac:dyDescent="0.3">
      <c r="A52" t="s">
        <v>8</v>
      </c>
      <c r="F52" s="1">
        <v>-1107160</v>
      </c>
      <c r="G52" s="1">
        <v>-1465400</v>
      </c>
      <c r="H52" s="1">
        <v>-1726900</v>
      </c>
      <c r="I52" s="1"/>
      <c r="J52" s="1"/>
    </row>
    <row r="53" spans="1:10" x14ac:dyDescent="0.3">
      <c r="A53" t="s">
        <v>9</v>
      </c>
      <c r="F53" s="1">
        <v>-89208</v>
      </c>
      <c r="G53" s="1">
        <v>-158700</v>
      </c>
      <c r="H53" s="1">
        <v>-725500</v>
      </c>
      <c r="I53" s="1"/>
      <c r="J53" s="1"/>
    </row>
    <row r="54" spans="1:10" x14ac:dyDescent="0.3">
      <c r="A54" t="s">
        <v>10</v>
      </c>
      <c r="F54" s="1">
        <f>(F52+F53)</f>
        <v>-1196368</v>
      </c>
      <c r="G54" s="1">
        <f>(G52+G53)</f>
        <v>-1624100</v>
      </c>
      <c r="H54" s="1">
        <f>(H52+H53)</f>
        <v>-2452400</v>
      </c>
      <c r="I54" s="1"/>
      <c r="J5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Data</vt:lpstr>
      <vt:lpstr>Price per Earnigs Ratio</vt:lpstr>
      <vt:lpstr>Earnings Ordinary Share Ratio</vt:lpstr>
      <vt:lpstr>Interest Coverage Ratio</vt:lpstr>
      <vt:lpstr>Long Term Debt  Equity Ratio</vt:lpstr>
      <vt:lpstr>Debt  Equity Ratio</vt:lpstr>
      <vt:lpstr>Gearing Ratio</vt:lpstr>
      <vt:lpstr>Days Payable Outstanding</vt:lpstr>
      <vt:lpstr>Inventory Turnover</vt:lpstr>
      <vt:lpstr>Days Sales Outstanding</vt:lpstr>
      <vt:lpstr>Cash Ratio</vt:lpstr>
      <vt:lpstr>Quick Ratio</vt:lpstr>
      <vt:lpstr>Current Ratio</vt:lpstr>
      <vt:lpstr>Gross Profit Margin Ratio</vt:lpstr>
      <vt:lpstr>Operati Profit Margin Ratio</vt:lpstr>
      <vt:lpstr>Net Profit Margin Ratio</vt:lpstr>
      <vt:lpstr>Return On Assets Ratio</vt:lpstr>
      <vt:lpstr>Return On Shareholders Equity r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2023-09-05T05:16:06Z</dcterms:created>
  <dcterms:modified xsi:type="dcterms:W3CDTF">2023-09-28T16:28:14Z</dcterms:modified>
</cp:coreProperties>
</file>