
<file path=[Content_Types].xml><?xml version="1.0" encoding="utf-8"?>
<Types xmlns="http://schemas.openxmlformats.org/package/2006/content-type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D:\Documents\Mark_AVD\"/>
    </mc:Choice>
  </mc:AlternateContent>
  <xr:revisionPtr revIDLastSave="0" documentId="13_ncr:1_{27634CF2-5C6F-45FD-B01A-ACEDFF2085BC}" xr6:coauthVersionLast="45" xr6:coauthVersionMax="45" xr10:uidLastSave="{00000000-0000-0000-0000-000000000000}"/>
  <bookViews>
    <workbookView xWindow="-120" yWindow="-120" windowWidth="29040" windowHeight="16440" firstSheet="1" activeTab="2" xr2:uid="{E41076DF-1C0B-448E-A130-C411886BA250}"/>
  </bookViews>
  <sheets>
    <sheet name="Sheet1" sheetId="1" r:id="rId1"/>
    <sheet name="Lumped Mass model" sheetId="2" r:id="rId2"/>
    <sheet name="Clutch and velocity" sheetId="3" r:id="rId3"/>
    <sheet name="Yaw"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0" i="5" l="1"/>
  <c r="C15" i="5"/>
  <c r="C12" i="5"/>
  <c r="C21" i="5"/>
  <c r="C14" i="5"/>
  <c r="C10" i="5"/>
  <c r="C8" i="5"/>
  <c r="C5" i="5"/>
  <c r="C6" i="5" s="1"/>
  <c r="C17" i="5" s="1"/>
  <c r="E13" i="3"/>
  <c r="C16" i="5" l="1"/>
  <c r="C19" i="5" s="1"/>
  <c r="D50" i="3"/>
  <c r="D49" i="3"/>
  <c r="G39" i="3"/>
  <c r="I41" i="3" s="1"/>
  <c r="K41" i="3" s="1"/>
  <c r="I36" i="3"/>
  <c r="K36" i="3" s="1"/>
  <c r="E23" i="3"/>
  <c r="H8" i="3"/>
  <c r="E7" i="3"/>
  <c r="J7" i="3" s="1"/>
  <c r="E8" i="3"/>
  <c r="K8" i="3" s="1"/>
  <c r="E9" i="3"/>
  <c r="E10" i="3"/>
  <c r="J10" i="3" s="1"/>
  <c r="E11" i="3"/>
  <c r="J11" i="3" s="1"/>
  <c r="E6" i="3"/>
  <c r="K6" i="3" s="1"/>
  <c r="C27" i="2"/>
  <c r="G25" i="2"/>
  <c r="C28" i="2"/>
  <c r="E32" i="2"/>
  <c r="E31" i="2"/>
  <c r="E30" i="2"/>
  <c r="C29" i="2"/>
  <c r="C5" i="2"/>
  <c r="G3" i="2" s="1"/>
  <c r="E9" i="2"/>
  <c r="E10" i="2"/>
  <c r="E8" i="2"/>
  <c r="C11" i="2"/>
  <c r="C13" i="2" s="1"/>
  <c r="C14" i="2" s="1"/>
  <c r="C7" i="2"/>
  <c r="C6" i="2"/>
  <c r="I40" i="3" l="1"/>
  <c r="K40" i="3" s="1"/>
  <c r="I42" i="3"/>
  <c r="K42" i="3" s="1"/>
  <c r="I34" i="3"/>
  <c r="K34" i="3" s="1"/>
  <c r="I39" i="3"/>
  <c r="K39" i="3" s="1"/>
  <c r="I33" i="3"/>
  <c r="K33" i="3" s="1"/>
  <c r="I44" i="3"/>
  <c r="K44" i="3" s="1"/>
  <c r="I31" i="3"/>
  <c r="K31" i="3" s="1"/>
  <c r="I32" i="3"/>
  <c r="K32" i="3" s="1"/>
  <c r="F61" i="3"/>
  <c r="G61" i="3" s="1"/>
  <c r="F63" i="3"/>
  <c r="G63" i="3" s="1"/>
  <c r="F62" i="3"/>
  <c r="N57" i="3"/>
  <c r="F56" i="3"/>
  <c r="G56" i="3" s="1"/>
  <c r="I43" i="3"/>
  <c r="K43" i="3" s="1"/>
  <c r="I35" i="3"/>
  <c r="K35" i="3" s="1"/>
  <c r="G62" i="3"/>
  <c r="F58" i="3"/>
  <c r="G58" i="3" s="1"/>
  <c r="F57" i="3"/>
  <c r="G57" i="3" s="1"/>
  <c r="F8" i="3"/>
  <c r="F9" i="3"/>
  <c r="J6" i="3"/>
  <c r="H6" i="3"/>
  <c r="J9" i="3"/>
  <c r="F6" i="3"/>
  <c r="H9" i="3"/>
  <c r="J8" i="3"/>
  <c r="G11" i="3"/>
  <c r="G7" i="3"/>
  <c r="I11" i="3"/>
  <c r="I7" i="3"/>
  <c r="K11" i="3"/>
  <c r="K7" i="3"/>
  <c r="G10" i="3"/>
  <c r="I10" i="3"/>
  <c r="K10" i="3"/>
  <c r="F11" i="3"/>
  <c r="F7" i="3"/>
  <c r="G9" i="3"/>
  <c r="H11" i="3"/>
  <c r="H7" i="3"/>
  <c r="I9" i="3"/>
  <c r="K9" i="3"/>
  <c r="E14" i="3"/>
  <c r="F10" i="3"/>
  <c r="G6" i="3"/>
  <c r="G8" i="3"/>
  <c r="H10" i="3"/>
  <c r="I6" i="3"/>
  <c r="I8" i="3"/>
  <c r="C33" i="2"/>
  <c r="E33" i="2" s="1"/>
  <c r="C35" i="2"/>
  <c r="C36" i="2" s="1"/>
  <c r="C38" i="2" s="1"/>
  <c r="C19" i="2"/>
  <c r="E11" i="2"/>
  <c r="C16" i="2" s="1"/>
  <c r="N56" i="3" l="1"/>
  <c r="F71" i="3"/>
  <c r="G71" i="3" s="1"/>
  <c r="F66" i="3"/>
  <c r="G66" i="3" s="1"/>
  <c r="F70" i="3"/>
  <c r="G70" i="3" s="1"/>
  <c r="F55" i="3"/>
  <c r="G55" i="3" s="1"/>
  <c r="F65" i="3"/>
  <c r="G65" i="3" s="1"/>
  <c r="F60" i="3"/>
  <c r="G60" i="3" s="1"/>
  <c r="F72" i="3"/>
  <c r="G72" i="3" s="1"/>
  <c r="F67" i="3"/>
  <c r="G67" i="3" s="1"/>
  <c r="F68" i="3"/>
  <c r="G68" i="3" s="1"/>
  <c r="F73" i="3"/>
  <c r="G73" i="3" s="1"/>
  <c r="N58" i="3"/>
  <c r="K14" i="3"/>
  <c r="I14" i="3"/>
  <c r="G14" i="3"/>
  <c r="E17" i="3"/>
  <c r="D32" i="3" s="1"/>
  <c r="J14" i="3"/>
  <c r="H14" i="3"/>
  <c r="F14" i="3"/>
  <c r="J13" i="3"/>
  <c r="H13" i="3"/>
  <c r="F13" i="3"/>
  <c r="K13" i="3"/>
  <c r="I13" i="3"/>
  <c r="G13" i="3"/>
  <c r="E16" i="3"/>
  <c r="D31" i="3" s="1"/>
  <c r="C41" i="2"/>
  <c r="N55" i="3" l="1"/>
  <c r="AF6" i="3"/>
  <c r="AF7" i="3"/>
  <c r="AH6" i="3"/>
  <c r="AH7" i="3"/>
  <c r="AE7" i="3"/>
  <c r="AE6" i="3"/>
  <c r="AH8" i="3"/>
  <c r="AH9" i="3"/>
  <c r="AG7" i="3"/>
  <c r="AG6" i="3"/>
  <c r="N34" i="3"/>
  <c r="N33" i="3"/>
  <c r="AD8" i="3"/>
  <c r="AD9" i="3"/>
  <c r="AE9" i="3"/>
  <c r="AE8" i="3"/>
  <c r="N32" i="3"/>
  <c r="N31" i="3"/>
  <c r="AD6" i="3"/>
  <c r="AD7" i="3"/>
  <c r="AF8" i="3"/>
  <c r="AF9" i="3"/>
  <c r="AG9" i="3"/>
  <c r="AG8" i="3"/>
  <c r="X12" i="3"/>
  <c r="Y12" i="3"/>
  <c r="Y13" i="3"/>
  <c r="W12" i="3"/>
  <c r="AA12" i="3"/>
  <c r="Z13" i="3"/>
  <c r="W13" i="3"/>
  <c r="X14" i="3"/>
  <c r="W15" i="3"/>
  <c r="Y15" i="3"/>
  <c r="W14" i="3"/>
  <c r="AA14" i="3"/>
  <c r="Z15" i="3"/>
  <c r="S7" i="3"/>
  <c r="S14" i="3" s="1"/>
  <c r="S21" i="3" s="1"/>
  <c r="S6" i="3"/>
  <c r="S13" i="3" s="1"/>
  <c r="S20" i="3" s="1"/>
  <c r="AI9" i="3"/>
  <c r="U8" i="3"/>
  <c r="AI8" i="3"/>
  <c r="U9" i="3"/>
  <c r="P6" i="3"/>
  <c r="P13" i="3" s="1"/>
  <c r="P20" i="3" s="1"/>
  <c r="P7" i="3"/>
  <c r="P14" i="3" s="1"/>
  <c r="P21" i="3" s="1"/>
  <c r="U6" i="3"/>
  <c r="AI7" i="3"/>
  <c r="U7" i="3"/>
  <c r="AI6" i="3"/>
  <c r="T9" i="3"/>
  <c r="T8" i="3"/>
  <c r="T15" i="3" s="1"/>
  <c r="T22" i="3" s="1"/>
  <c r="T7" i="3"/>
  <c r="T6" i="3"/>
  <c r="T13" i="3" s="1"/>
  <c r="T20" i="3" s="1"/>
  <c r="R8" i="3"/>
  <c r="R9" i="3"/>
  <c r="R16" i="3" s="1"/>
  <c r="R23" i="3" s="1"/>
  <c r="S9" i="3"/>
  <c r="S16" i="3" s="1"/>
  <c r="S23" i="3" s="1"/>
  <c r="S8" i="3"/>
  <c r="R6" i="3"/>
  <c r="R13" i="3" s="1"/>
  <c r="R20" i="3" s="1"/>
  <c r="R7" i="3"/>
  <c r="R14" i="3" s="1"/>
  <c r="R21" i="3" s="1"/>
  <c r="Q6" i="3"/>
  <c r="Q13" i="3" s="1"/>
  <c r="Q20" i="3" s="1"/>
  <c r="Q7" i="3"/>
  <c r="P8" i="3"/>
  <c r="P15" i="3" s="1"/>
  <c r="P22" i="3" s="1"/>
  <c r="P9" i="3"/>
  <c r="P16" i="3" s="1"/>
  <c r="P23" i="3" s="1"/>
  <c r="Q8" i="3"/>
  <c r="Q15" i="3" s="1"/>
  <c r="Q22" i="3" s="1"/>
  <c r="Q9" i="3"/>
  <c r="H72" i="3" l="1"/>
  <c r="H67" i="3"/>
  <c r="H65" i="3"/>
  <c r="H70" i="3"/>
  <c r="H73" i="3"/>
  <c r="H68" i="3"/>
  <c r="H71" i="3"/>
  <c r="H66" i="3"/>
  <c r="H63" i="3"/>
  <c r="H58" i="3"/>
  <c r="F43" i="3"/>
  <c r="Y14" i="3"/>
  <c r="R15" i="3"/>
  <c r="R22" i="3" s="1"/>
  <c r="AA15" i="3"/>
  <c r="T16" i="3"/>
  <c r="T23" i="3" s="1"/>
  <c r="AB6" i="3"/>
  <c r="AB12" i="3" s="1"/>
  <c r="U13" i="3"/>
  <c r="U20" i="3" s="1"/>
  <c r="F40" i="3"/>
  <c r="H60" i="3"/>
  <c r="H55" i="3"/>
  <c r="P55" i="3" s="1"/>
  <c r="R55" i="3" s="1"/>
  <c r="AB9" i="3"/>
  <c r="AB15" i="3" s="1"/>
  <c r="U16" i="3"/>
  <c r="U23" i="3" s="1"/>
  <c r="X15" i="3"/>
  <c r="Q16" i="3"/>
  <c r="Q23" i="3" s="1"/>
  <c r="X13" i="3"/>
  <c r="Q14" i="3"/>
  <c r="Q21" i="3" s="1"/>
  <c r="Z14" i="3"/>
  <c r="S15" i="3"/>
  <c r="S22" i="3" s="1"/>
  <c r="AB8" i="3"/>
  <c r="AB14" i="3" s="1"/>
  <c r="U15" i="3"/>
  <c r="U22" i="3" s="1"/>
  <c r="H61" i="3"/>
  <c r="F41" i="3"/>
  <c r="H56" i="3"/>
  <c r="P56" i="3" s="1"/>
  <c r="R56" i="3" s="1"/>
  <c r="AA13" i="3"/>
  <c r="T14" i="3"/>
  <c r="T21" i="3" s="1"/>
  <c r="AB7" i="3"/>
  <c r="AB13" i="3" s="1"/>
  <c r="U14" i="3"/>
  <c r="U21" i="3" s="1"/>
  <c r="H57" i="3"/>
  <c r="P57" i="3"/>
  <c r="R57" i="3" s="1"/>
  <c r="H62" i="3"/>
  <c r="F42" i="3"/>
  <c r="Z12" i="3"/>
  <c r="J66" i="3" l="1"/>
  <c r="I66" i="3"/>
  <c r="I71" i="3"/>
  <c r="J71" i="3"/>
  <c r="I68" i="3"/>
  <c r="J68" i="3"/>
  <c r="J67" i="3"/>
  <c r="I67" i="3"/>
  <c r="I70" i="3"/>
  <c r="J70" i="3"/>
  <c r="I65" i="3"/>
  <c r="J65" i="3"/>
  <c r="J73" i="3"/>
  <c r="I73" i="3"/>
  <c r="I72" i="3"/>
  <c r="J72" i="3"/>
  <c r="I58" i="3"/>
  <c r="J58" i="3"/>
  <c r="I55" i="3"/>
  <c r="J55" i="3"/>
  <c r="I63" i="3"/>
  <c r="J63" i="3"/>
  <c r="I56" i="3"/>
  <c r="J56" i="3"/>
  <c r="I62" i="3"/>
  <c r="J62" i="3"/>
  <c r="I57" i="3"/>
  <c r="J57" i="3"/>
  <c r="I61" i="3"/>
  <c r="J61" i="3"/>
  <c r="I60" i="3"/>
  <c r="J60" i="3"/>
  <c r="P58" i="3"/>
  <c r="R58" i="3" s="1"/>
</calcChain>
</file>

<file path=xl/sharedStrings.xml><?xml version="1.0" encoding="utf-8"?>
<sst xmlns="http://schemas.openxmlformats.org/spreadsheetml/2006/main" count="364" uniqueCount="197">
  <si>
    <t>Weight</t>
  </si>
  <si>
    <t>50% lighter than traditional 4 wheel drive system</t>
  </si>
  <si>
    <t>COG</t>
  </si>
  <si>
    <t>More than 50% weight of vehicle on rear axle</t>
  </si>
  <si>
    <t>PTU</t>
  </si>
  <si>
    <t>mm</t>
  </si>
  <si>
    <t>long</t>
  </si>
  <si>
    <t>very light</t>
  </si>
  <si>
    <t>Vehicle Dimensions</t>
  </si>
  <si>
    <t>Length</t>
  </si>
  <si>
    <t>Width</t>
  </si>
  <si>
    <t>Height</t>
  </si>
  <si>
    <t>Wheelbase</t>
  </si>
  <si>
    <t>Front Track</t>
  </si>
  <si>
    <t>Rear Track</t>
  </si>
  <si>
    <t>Kerb Weight</t>
  </si>
  <si>
    <t>Kg</t>
  </si>
  <si>
    <t>EU</t>
  </si>
  <si>
    <t>Dry Weight</t>
  </si>
  <si>
    <t>Weight Distribution</t>
  </si>
  <si>
    <t>Front</t>
  </si>
  <si>
    <t>Rear</t>
  </si>
  <si>
    <t>%</t>
  </si>
  <si>
    <t>Fuel Tank Capacity</t>
  </si>
  <si>
    <t>litres</t>
  </si>
  <si>
    <t>Boot Capacity</t>
  </si>
  <si>
    <t>Tyres and Rims</t>
  </si>
  <si>
    <t>245/35 ZR 20 8.5J x 20"</t>
  </si>
  <si>
    <t>295/35 ZR 20 10.5J x 20"</t>
  </si>
  <si>
    <t>Rear Winter</t>
  </si>
  <si>
    <t>285/35 ZR20 10.5J x 20"</t>
  </si>
  <si>
    <t>Brakes</t>
  </si>
  <si>
    <t>398mm x 38mm</t>
  </si>
  <si>
    <t>360 x 32mm</t>
  </si>
  <si>
    <t>Transmission and Geabox</t>
  </si>
  <si>
    <t>4RM</t>
  </si>
  <si>
    <t>7 speed dual clutch gearbox</t>
  </si>
  <si>
    <t>Electronic Controls</t>
  </si>
  <si>
    <t>4RM Control (integration of F1-Trac, Ediff and PTU controls)</t>
  </si>
  <si>
    <t>ABS/EBD</t>
  </si>
  <si>
    <t>ESC</t>
  </si>
  <si>
    <t>Suspensions</t>
  </si>
  <si>
    <t>SCM3 (third generation of magnetorheological suspension control)</t>
  </si>
  <si>
    <t>Damping is five times faster than conventional damping</t>
  </si>
  <si>
    <t>Intervenes individually on each wheel as necessary</t>
  </si>
  <si>
    <t>F1 Trac controls the torque to the rear axle</t>
  </si>
  <si>
    <t>E diff distributes torque to the rear wheels</t>
  </si>
  <si>
    <t>The predictive software estimates grip for each wheel and reacts accordingly</t>
  </si>
  <si>
    <t>Toque is only sent to the front only when necessary</t>
  </si>
  <si>
    <t>Traditional Double wishbones at front, with lower L arm</t>
  </si>
  <si>
    <t>Multi link system at rear</t>
  </si>
  <si>
    <t>Boosts vertical and transverse rigidity by 20%</t>
  </si>
  <si>
    <t>More direct steering ration (-20%)</t>
  </si>
  <si>
    <t>Longitudinal flexibility tripled</t>
  </si>
  <si>
    <t>Brembo Carbon Ceramic brakes (CCM)</t>
  </si>
  <si>
    <t>Power is taken straight from the crankshaft</t>
  </si>
  <si>
    <t>100-0 km/h</t>
  </si>
  <si>
    <t>35m</t>
  </si>
  <si>
    <t>SCM3 Dampers</t>
  </si>
  <si>
    <t>5 times faster than conventional dampers</t>
  </si>
  <si>
    <t>Mf</t>
  </si>
  <si>
    <t>DATA used for calculations</t>
  </si>
  <si>
    <t>Mr</t>
  </si>
  <si>
    <t>a</t>
  </si>
  <si>
    <t>b</t>
  </si>
  <si>
    <t>COG position from front</t>
  </si>
  <si>
    <t>Moment of inertia</t>
  </si>
  <si>
    <t>Kg mm^2</t>
  </si>
  <si>
    <t>Kg m^2</t>
  </si>
  <si>
    <t>m</t>
  </si>
  <si>
    <t>Moment of inertia (z-z)</t>
  </si>
  <si>
    <t>DI</t>
  </si>
  <si>
    <t>Total Weight</t>
  </si>
  <si>
    <t>Weight Drivers (Md)</t>
  </si>
  <si>
    <t>Internal Conjugate</t>
  </si>
  <si>
    <t>Secondary Drive Wheels</t>
  </si>
  <si>
    <t>Rear Drive Wheels</t>
  </si>
  <si>
    <t>Internal Combustion Engine</t>
  </si>
  <si>
    <t>Drive Shaft</t>
  </si>
  <si>
    <t>Flywheel</t>
  </si>
  <si>
    <t>Main Transmission Line</t>
  </si>
  <si>
    <t>Main Clutch</t>
  </si>
  <si>
    <t>Main Gearbox</t>
  </si>
  <si>
    <t>Rear Differential</t>
  </si>
  <si>
    <t>Rear Axle Shafts</t>
  </si>
  <si>
    <t>Primary Shaft</t>
  </si>
  <si>
    <t>Secondary Shaft</t>
  </si>
  <si>
    <t>Double Clutch</t>
  </si>
  <si>
    <t>Two main clutches connected to two corresponding primary shafts</t>
  </si>
  <si>
    <t>Fig 1</t>
  </si>
  <si>
    <t>Secondary Transmission Line</t>
  </si>
  <si>
    <t>Secondary Clutch</t>
  </si>
  <si>
    <t>Geared Transmission</t>
  </si>
  <si>
    <t>Secondary Differential</t>
  </si>
  <si>
    <t>Front Differential</t>
  </si>
  <si>
    <t>Front Axle Shafts</t>
  </si>
  <si>
    <t>Continuosly Variable Transmission</t>
  </si>
  <si>
    <t>The advantages of 4 wheel drive are modest when higher gears are engaged in the main gearbox, or when the speed of the vehicle is high.</t>
  </si>
  <si>
    <t>Control Unit</t>
  </si>
  <si>
    <t>Movement Reversal Unit</t>
  </si>
  <si>
    <t>Conical Torque</t>
  </si>
  <si>
    <t>A possible difference in the rotation speed is between the two front wheels 2 is compensated by means of a corresponding difference in the slip of the twp secondary clutches.</t>
  </si>
  <si>
    <t>When car is on a straight road, the control unit 22 controls the continuosly variable transmission 20 of the connectable secondary transmission line 15 in such a way that the output of each secondary cluch 16 always has the same speed as the input of the secondary clutch 16 itself; in this way, the secondary clutch 16 does not work in slipping and has no significant energy dissipation when car is in a straight line.</t>
  </si>
  <si>
    <t>When car is turning , the control unit 22 controls the continuosly variable transmission 20 of the connectable secondary transmission line 15 in such a way that the output of each secondary clutch 16 is always slightly slower than the input of the secondary clutch 16 itself (the output of each secondary clutch 16 rotates more slowly than 50-200RPM with respect to the input of the secondry clutch 16 itself); in this way, the two secondary clutches 16 can be adjusted to compensate for the difference in the rotation speed between the two front wheels (when turning the the front outside wheel rotates faster than the front inside wheel)</t>
  </si>
  <si>
    <t xml:space="preserve">When the car is turning the transmission ratio of the continously variable transmission 20 may be lengthened so that the input of each secondaryt clutch 16 always rotates faster than the output of the secondary clutch 16 itselg so as to ensure the correct torque transmission to the front axle in all the radii of trajectory </t>
  </si>
  <si>
    <t xml:space="preserve">When car </t>
  </si>
  <si>
    <t>Maximum Power</t>
  </si>
  <si>
    <t>Kw</t>
  </si>
  <si>
    <t>CV</t>
  </si>
  <si>
    <t>6000RPM</t>
  </si>
  <si>
    <t>8000RPM</t>
  </si>
  <si>
    <t>Maximum Torque</t>
  </si>
  <si>
    <t>Nm</t>
  </si>
  <si>
    <t>Compression Ratio</t>
  </si>
  <si>
    <t>12.3:1</t>
  </si>
  <si>
    <t>Gears</t>
  </si>
  <si>
    <t>Gear Ratio</t>
  </si>
  <si>
    <t>Final Drive</t>
  </si>
  <si>
    <t>Overall</t>
  </si>
  <si>
    <t>1000 RPM</t>
  </si>
  <si>
    <t>2000 RPM</t>
  </si>
  <si>
    <t>RPM</t>
  </si>
  <si>
    <t>3000 RPM</t>
  </si>
  <si>
    <t>4000RPM</t>
  </si>
  <si>
    <t>5000RPM</t>
  </si>
  <si>
    <t xml:space="preserve"> NM at 6000RPM</t>
  </si>
  <si>
    <t>Torque</t>
  </si>
  <si>
    <t>Subtraction</t>
  </si>
  <si>
    <t>Power (Watts)</t>
  </si>
  <si>
    <t>Power (Kw)</t>
  </si>
  <si>
    <t>Slip % clutch pack</t>
  </si>
  <si>
    <t>at 6000RPM</t>
  </si>
  <si>
    <t>each front wheel</t>
  </si>
  <si>
    <t>Angular Velocity rad/sec</t>
  </si>
  <si>
    <t>Normal Velocity</t>
  </si>
  <si>
    <t>Circumference Wheel</t>
  </si>
  <si>
    <t>At 6000RPM</t>
  </si>
  <si>
    <t>Angular Velocity</t>
  </si>
  <si>
    <t>Slip (%)</t>
  </si>
  <si>
    <t>Wet Ice</t>
  </si>
  <si>
    <t>Loose Sand</t>
  </si>
  <si>
    <t>Wet rolled Gravel</t>
  </si>
  <si>
    <t>Dry Asphalt</t>
  </si>
  <si>
    <t>RR</t>
  </si>
  <si>
    <t>N</t>
  </si>
  <si>
    <t>Acceleration</t>
  </si>
  <si>
    <t>Tractive Force</t>
  </si>
  <si>
    <t>Force on front wheels at 6000 RPM</t>
  </si>
  <si>
    <t>Torque on Rear Wheels strictly rear wheel drive</t>
  </si>
  <si>
    <t>Torque Front Wheels</t>
  </si>
  <si>
    <t>Torque Rear Wheels With Front activated</t>
  </si>
  <si>
    <t>Front Wheel radius</t>
  </si>
  <si>
    <t>Rear Wheel Radius</t>
  </si>
  <si>
    <t>Total AWD</t>
  </si>
  <si>
    <t>Difference</t>
  </si>
  <si>
    <t>Gear</t>
  </si>
  <si>
    <t>Slippage RWD</t>
  </si>
  <si>
    <t>Slippage AWD</t>
  </si>
  <si>
    <t>Slippage Difference</t>
  </si>
  <si>
    <t>RWD (N)</t>
  </si>
  <si>
    <t>AWD (N)</t>
  </si>
  <si>
    <t>m/s^2</t>
  </si>
  <si>
    <t>Traction Coefficient</t>
  </si>
  <si>
    <t>Sensors</t>
  </si>
  <si>
    <t>Sensor</t>
  </si>
  <si>
    <t>accelerator pedal</t>
  </si>
  <si>
    <t>pair of sensors</t>
  </si>
  <si>
    <t>calculation unit</t>
  </si>
  <si>
    <t>control block</t>
  </si>
  <si>
    <t>solenoid valve</t>
  </si>
  <si>
    <t>control unit</t>
  </si>
  <si>
    <t>hydraulic actuator</t>
  </si>
  <si>
    <t>clutch</t>
  </si>
  <si>
    <t>summing block</t>
  </si>
  <si>
    <t>front wheels</t>
  </si>
  <si>
    <t>calculation block</t>
  </si>
  <si>
    <t>Maps</t>
  </si>
  <si>
    <t>centripetal acceleration</t>
  </si>
  <si>
    <t>KPh</t>
  </si>
  <si>
    <t xml:space="preserve">Speed </t>
  </si>
  <si>
    <t>m/s</t>
  </si>
  <si>
    <t>m/s/s</t>
  </si>
  <si>
    <t>Circumference</t>
  </si>
  <si>
    <t>sec/lap</t>
  </si>
  <si>
    <t>Yaw rate</t>
  </si>
  <si>
    <t>degs/sec</t>
  </si>
  <si>
    <t>Weight each wheel</t>
  </si>
  <si>
    <t>WT</t>
  </si>
  <si>
    <t>Track</t>
  </si>
  <si>
    <t>radius</t>
  </si>
  <si>
    <t>speed</t>
  </si>
  <si>
    <t>Left Side</t>
  </si>
  <si>
    <t>Right Side</t>
  </si>
  <si>
    <t>Difference between left and right</t>
  </si>
  <si>
    <t>Yaw Moment</t>
  </si>
  <si>
    <t>Rotational Acceleration</t>
  </si>
  <si>
    <t>rads/sec/sec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</si>
</sst>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applyFill="1" applyBorder="1"/>
    <xf numFmtId="0" fontId="0" fillId="0" borderId="0" xfId="0" applyAlignment="1"/>
    <xf numFmtId="0" fontId="0" fillId="0" borderId="2" xfId="0" applyBorder="1" applyAlignment="1">
      <alignment horizontal="center"/>
    </xf>
    <xf numFmtId="0" fontId="0" fillId="0" borderId="0" xfId="0" applyBorder="1" applyAlignment="1">
      <alignment horizontal="center"/>
    </xf>
    <xf numFmtId="0" fontId="0" fillId="0" borderId="4" xfId="0" applyNumberFormat="1" applyBorder="1"/>
    <xf numFmtId="0" fontId="0" fillId="0" borderId="4" xfId="0" applyBorder="1" applyAlignment="1">
      <alignment horizontal="center" vertical="center"/>
    </xf>
    <xf numFmtId="0" fontId="0" fillId="0" borderId="0" xfId="0" applyBorder="1" applyAlignment="1">
      <alignment horizontal="center" vertical="center"/>
    </xf>
    <xf numFmtId="2" fontId="0" fillId="0" borderId="0" xfId="0" applyNumberFormat="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microsoft.com/office/2007/relationships/hdphoto" Target="../media/hdphoto1.wdp"/><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7</xdr:col>
      <xdr:colOff>600075</xdr:colOff>
      <xdr:row>2</xdr:row>
      <xdr:rowOff>133350</xdr:rowOff>
    </xdr:from>
    <xdr:to>
      <xdr:col>21</xdr:col>
      <xdr:colOff>8532</xdr:colOff>
      <xdr:row>22</xdr:row>
      <xdr:rowOff>781</xdr:rowOff>
    </xdr:to>
    <xdr:pic>
      <xdr:nvPicPr>
        <xdr:cNvPr id="2" name="Picture 1">
          <a:extLst>
            <a:ext uri="{FF2B5EF4-FFF2-40B4-BE49-F238E27FC236}">
              <a16:creationId xmlns:a16="http://schemas.microsoft.com/office/drawing/2014/main" id="{EBE091F1-0214-465B-9257-78662B0EBA18}"/>
            </a:ext>
          </a:extLst>
        </xdr:cNvPr>
        <xdr:cNvPicPr>
          <a:picLocks noChangeAspect="1"/>
        </xdr:cNvPicPr>
      </xdr:nvPicPr>
      <xdr:blipFill>
        <a:blip xmlns:r="http://schemas.openxmlformats.org/officeDocument/2006/relationships" r:embed="rId1"/>
        <a:stretch>
          <a:fillRect/>
        </a:stretch>
      </xdr:blipFill>
      <xdr:spPr>
        <a:xfrm>
          <a:off x="5514975" y="514350"/>
          <a:ext cx="7942857" cy="3695238"/>
        </a:xfrm>
        <a:prstGeom prst="rect">
          <a:avLst/>
        </a:prstGeom>
      </xdr:spPr>
    </xdr:pic>
    <xdr:clientData/>
  </xdr:twoCellAnchor>
  <xdr:twoCellAnchor editAs="oneCell">
    <xdr:from>
      <xdr:col>21</xdr:col>
      <xdr:colOff>526676</xdr:colOff>
      <xdr:row>2</xdr:row>
      <xdr:rowOff>56030</xdr:rowOff>
    </xdr:from>
    <xdr:to>
      <xdr:col>33</xdr:col>
      <xdr:colOff>293835</xdr:colOff>
      <xdr:row>15</xdr:row>
      <xdr:rowOff>139753</xdr:rowOff>
    </xdr:to>
    <xdr:pic>
      <xdr:nvPicPr>
        <xdr:cNvPr id="3" name="Picture 2">
          <a:extLst>
            <a:ext uri="{FF2B5EF4-FFF2-40B4-BE49-F238E27FC236}">
              <a16:creationId xmlns:a16="http://schemas.microsoft.com/office/drawing/2014/main" id="{72F649C8-18EB-4F04-864C-189FA417DC3E}"/>
            </a:ext>
          </a:extLst>
        </xdr:cNvPr>
        <xdr:cNvPicPr>
          <a:picLocks noChangeAspect="1"/>
        </xdr:cNvPicPr>
      </xdr:nvPicPr>
      <xdr:blipFill>
        <a:blip xmlns:r="http://schemas.openxmlformats.org/officeDocument/2006/relationships" r:embed="rId2"/>
        <a:stretch>
          <a:fillRect/>
        </a:stretch>
      </xdr:blipFill>
      <xdr:spPr>
        <a:xfrm>
          <a:off x="13884088" y="437030"/>
          <a:ext cx="7028571" cy="2571429"/>
        </a:xfrm>
        <a:prstGeom prst="rect">
          <a:avLst/>
        </a:prstGeom>
      </xdr:spPr>
    </xdr:pic>
    <xdr:clientData/>
  </xdr:twoCellAnchor>
  <xdr:twoCellAnchor editAs="oneCell">
    <xdr:from>
      <xdr:col>21</xdr:col>
      <xdr:colOff>582706</xdr:colOff>
      <xdr:row>17</xdr:row>
      <xdr:rowOff>11206</xdr:rowOff>
    </xdr:from>
    <xdr:to>
      <xdr:col>32</xdr:col>
      <xdr:colOff>335936</xdr:colOff>
      <xdr:row>45</xdr:row>
      <xdr:rowOff>50861</xdr:rowOff>
    </xdr:to>
    <xdr:pic>
      <xdr:nvPicPr>
        <xdr:cNvPr id="4" name="Picture 3">
          <a:extLst>
            <a:ext uri="{FF2B5EF4-FFF2-40B4-BE49-F238E27FC236}">
              <a16:creationId xmlns:a16="http://schemas.microsoft.com/office/drawing/2014/main" id="{154D394E-8E71-4642-9435-316944192B05}"/>
            </a:ext>
          </a:extLst>
        </xdr:cNvPr>
        <xdr:cNvPicPr>
          <a:picLocks noChangeAspect="1"/>
        </xdr:cNvPicPr>
      </xdr:nvPicPr>
      <xdr:blipFill>
        <a:blip xmlns:r="http://schemas.openxmlformats.org/officeDocument/2006/relationships" r:embed="rId3"/>
        <a:stretch>
          <a:fillRect/>
        </a:stretch>
      </xdr:blipFill>
      <xdr:spPr>
        <a:xfrm>
          <a:off x="13940118" y="3260912"/>
          <a:ext cx="6409524" cy="5485714"/>
        </a:xfrm>
        <a:prstGeom prst="rect">
          <a:avLst/>
        </a:prstGeom>
      </xdr:spPr>
    </xdr:pic>
    <xdr:clientData/>
  </xdr:twoCellAnchor>
  <xdr:twoCellAnchor editAs="oneCell">
    <xdr:from>
      <xdr:col>21</xdr:col>
      <xdr:colOff>560293</xdr:colOff>
      <xdr:row>80</xdr:row>
      <xdr:rowOff>33618</xdr:rowOff>
    </xdr:from>
    <xdr:to>
      <xdr:col>32</xdr:col>
      <xdr:colOff>103999</xdr:colOff>
      <xdr:row>95</xdr:row>
      <xdr:rowOff>157070</xdr:rowOff>
    </xdr:to>
    <xdr:pic>
      <xdr:nvPicPr>
        <xdr:cNvPr id="5" name="Picture 4">
          <a:extLst>
            <a:ext uri="{FF2B5EF4-FFF2-40B4-BE49-F238E27FC236}">
              <a16:creationId xmlns:a16="http://schemas.microsoft.com/office/drawing/2014/main" id="{D16618C8-659B-4B0E-BDAF-78143018AF68}"/>
            </a:ext>
          </a:extLst>
        </xdr:cNvPr>
        <xdr:cNvPicPr>
          <a:picLocks noChangeAspect="1"/>
        </xdr:cNvPicPr>
      </xdr:nvPicPr>
      <xdr:blipFill>
        <a:blip xmlns:r="http://schemas.openxmlformats.org/officeDocument/2006/relationships" r:embed="rId4"/>
        <a:stretch>
          <a:fillRect/>
        </a:stretch>
      </xdr:blipFill>
      <xdr:spPr>
        <a:xfrm>
          <a:off x="13917705" y="9300883"/>
          <a:ext cx="6200000" cy="2980952"/>
        </a:xfrm>
        <a:prstGeom prst="rect">
          <a:avLst/>
        </a:prstGeom>
      </xdr:spPr>
    </xdr:pic>
    <xdr:clientData/>
  </xdr:twoCellAnchor>
  <xdr:twoCellAnchor editAs="oneCell">
    <xdr:from>
      <xdr:col>21</xdr:col>
      <xdr:colOff>504264</xdr:colOff>
      <xdr:row>96</xdr:row>
      <xdr:rowOff>112059</xdr:rowOff>
    </xdr:from>
    <xdr:to>
      <xdr:col>31</xdr:col>
      <xdr:colOff>81659</xdr:colOff>
      <xdr:row>114</xdr:row>
      <xdr:rowOff>44964</xdr:rowOff>
    </xdr:to>
    <xdr:pic>
      <xdr:nvPicPr>
        <xdr:cNvPr id="6" name="Picture 5">
          <a:extLst>
            <a:ext uri="{FF2B5EF4-FFF2-40B4-BE49-F238E27FC236}">
              <a16:creationId xmlns:a16="http://schemas.microsoft.com/office/drawing/2014/main" id="{A4E885A2-CA7F-4CB4-9245-49F56AF3DB1A}"/>
            </a:ext>
          </a:extLst>
        </xdr:cNvPr>
        <xdr:cNvPicPr>
          <a:picLocks noChangeAspect="1"/>
        </xdr:cNvPicPr>
      </xdr:nvPicPr>
      <xdr:blipFill>
        <a:blip xmlns:r="http://schemas.openxmlformats.org/officeDocument/2006/relationships" r:embed="rId5"/>
        <a:stretch>
          <a:fillRect/>
        </a:stretch>
      </xdr:blipFill>
      <xdr:spPr>
        <a:xfrm>
          <a:off x="13861676" y="12427324"/>
          <a:ext cx="5628571" cy="3361905"/>
        </a:xfrm>
        <a:prstGeom prst="rect">
          <a:avLst/>
        </a:prstGeom>
      </xdr:spPr>
    </xdr:pic>
    <xdr:clientData/>
  </xdr:twoCellAnchor>
  <xdr:twoCellAnchor editAs="oneCell">
    <xdr:from>
      <xdr:col>21</xdr:col>
      <xdr:colOff>280147</xdr:colOff>
      <xdr:row>117</xdr:row>
      <xdr:rowOff>179294</xdr:rowOff>
    </xdr:from>
    <xdr:to>
      <xdr:col>32</xdr:col>
      <xdr:colOff>528615</xdr:colOff>
      <xdr:row>144</xdr:row>
      <xdr:rowOff>150080</xdr:rowOff>
    </xdr:to>
    <xdr:pic>
      <xdr:nvPicPr>
        <xdr:cNvPr id="7" name="Picture 6">
          <a:extLst>
            <a:ext uri="{FF2B5EF4-FFF2-40B4-BE49-F238E27FC236}">
              <a16:creationId xmlns:a16="http://schemas.microsoft.com/office/drawing/2014/main" id="{07F78E36-4B91-4CD8-845B-EA4781558B3F}"/>
            </a:ext>
          </a:extLst>
        </xdr:cNvPr>
        <xdr:cNvPicPr>
          <a:picLocks noChangeAspect="1"/>
        </xdr:cNvPicPr>
      </xdr:nvPicPr>
      <xdr:blipFill>
        <a:blip xmlns:r="http://schemas.openxmlformats.org/officeDocument/2006/relationships" r:embed="rId6"/>
        <a:stretch>
          <a:fillRect/>
        </a:stretch>
      </xdr:blipFill>
      <xdr:spPr>
        <a:xfrm>
          <a:off x="13637559" y="22591059"/>
          <a:ext cx="6904762" cy="5114286"/>
        </a:xfrm>
        <a:prstGeom prst="rect">
          <a:avLst/>
        </a:prstGeom>
      </xdr:spPr>
    </xdr:pic>
    <xdr:clientData/>
  </xdr:twoCellAnchor>
  <xdr:twoCellAnchor editAs="oneCell">
    <xdr:from>
      <xdr:col>20</xdr:col>
      <xdr:colOff>324972</xdr:colOff>
      <xdr:row>147</xdr:row>
      <xdr:rowOff>179294</xdr:rowOff>
    </xdr:from>
    <xdr:to>
      <xdr:col>35</xdr:col>
      <xdr:colOff>514874</xdr:colOff>
      <xdr:row>178</xdr:row>
      <xdr:rowOff>73794</xdr:rowOff>
    </xdr:to>
    <xdr:pic>
      <xdr:nvPicPr>
        <xdr:cNvPr id="8" name="Picture 7">
          <a:extLst>
            <a:ext uri="{FF2B5EF4-FFF2-40B4-BE49-F238E27FC236}">
              <a16:creationId xmlns:a16="http://schemas.microsoft.com/office/drawing/2014/main" id="{3DF12661-07D9-4B31-88B5-4E476EC47DC3}"/>
            </a:ext>
          </a:extLst>
        </xdr:cNvPr>
        <xdr:cNvPicPr>
          <a:picLocks noChangeAspect="1"/>
        </xdr:cNvPicPr>
      </xdr:nvPicPr>
      <xdr:blipFill>
        <a:blip xmlns:r="http://schemas.openxmlformats.org/officeDocument/2006/relationships" r:embed="rId7"/>
        <a:stretch>
          <a:fillRect/>
        </a:stretch>
      </xdr:blipFill>
      <xdr:spPr>
        <a:xfrm>
          <a:off x="13077266" y="28306059"/>
          <a:ext cx="9266667" cy="58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495300</xdr:colOff>
      <xdr:row>1</xdr:row>
      <xdr:rowOff>142875</xdr:rowOff>
    </xdr:from>
    <xdr:to>
      <xdr:col>30</xdr:col>
      <xdr:colOff>371475</xdr:colOff>
      <xdr:row>27</xdr:row>
      <xdr:rowOff>28074</xdr:rowOff>
    </xdr:to>
    <xdr:grpSp>
      <xdr:nvGrpSpPr>
        <xdr:cNvPr id="2" name="Group 1">
          <a:extLst>
            <a:ext uri="{FF2B5EF4-FFF2-40B4-BE49-F238E27FC236}">
              <a16:creationId xmlns:a16="http://schemas.microsoft.com/office/drawing/2014/main" id="{36F7DFBD-5DE4-458F-8209-84A509320D62}"/>
            </a:ext>
          </a:extLst>
        </xdr:cNvPr>
        <xdr:cNvGrpSpPr/>
      </xdr:nvGrpSpPr>
      <xdr:grpSpPr>
        <a:xfrm>
          <a:off x="7963305" y="335402"/>
          <a:ext cx="12035750" cy="4890890"/>
          <a:chOff x="61912" y="752475"/>
          <a:chExt cx="12068175" cy="4838199"/>
        </a:xfrm>
      </xdr:grpSpPr>
      <xdr:pic>
        <xdr:nvPicPr>
          <xdr:cNvPr id="3" name="Picture 2">
            <a:extLst>
              <a:ext uri="{FF2B5EF4-FFF2-40B4-BE49-F238E27FC236}">
                <a16:creationId xmlns:a16="http://schemas.microsoft.com/office/drawing/2014/main" id="{E05038D5-998C-4419-9937-92096C5279FB}"/>
              </a:ext>
            </a:extLst>
          </xdr:cNvPr>
          <xdr:cNvPicPr>
            <a:picLocks noChangeAspect="1"/>
          </xdr:cNvPicPr>
        </xdr:nvPicPr>
        <xdr:blipFill rotWithShape="1">
          <a:blip xmlns:r="http://schemas.openxmlformats.org/officeDocument/2006/relationships" r:embed="rId1">
            <a:clrChange>
              <a:clrFrom>
                <a:srgbClr val="E1D1D1"/>
              </a:clrFrom>
              <a:clrTo>
                <a:srgbClr val="E1D1D1">
                  <a:alpha val="0"/>
                </a:srgbClr>
              </a:clrTo>
            </a:clrChange>
            <a:extLst>
              <a:ext uri="{BEBA8EAE-BF5A-486C-A8C5-ECC9F3942E4B}">
                <a14:imgProps xmlns:a14="http://schemas.microsoft.com/office/drawing/2010/main">
                  <a14:imgLayer r:embed="rId2">
                    <a14:imgEffect>
                      <a14:saturation sat="33000"/>
                    </a14:imgEffect>
                  </a14:imgLayer>
                </a14:imgProps>
              </a:ext>
            </a:extLst>
          </a:blip>
          <a:srcRect b="9618"/>
          <a:stretch/>
        </xdr:blipFill>
        <xdr:spPr>
          <a:xfrm>
            <a:off x="61912" y="752475"/>
            <a:ext cx="12068175" cy="4838199"/>
          </a:xfrm>
          <a:prstGeom prst="rect">
            <a:avLst/>
          </a:prstGeom>
        </xdr:spPr>
      </xdr:pic>
      <xdr:sp macro="" textlink="">
        <xdr:nvSpPr>
          <xdr:cNvPr id="4" name="Oval 3">
            <a:extLst>
              <a:ext uri="{FF2B5EF4-FFF2-40B4-BE49-F238E27FC236}">
                <a16:creationId xmlns:a16="http://schemas.microsoft.com/office/drawing/2014/main" id="{8F481277-3F7B-467C-A9A6-88F9802AFDD6}"/>
              </a:ext>
            </a:extLst>
          </xdr:cNvPr>
          <xdr:cNvSpPr/>
        </xdr:nvSpPr>
        <xdr:spPr>
          <a:xfrm>
            <a:off x="1708484" y="4299284"/>
            <a:ext cx="914400" cy="9144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a:t>Mf</a:t>
            </a:r>
          </a:p>
        </xdr:txBody>
      </xdr:sp>
      <xdr:sp macro="" textlink="">
        <xdr:nvSpPr>
          <xdr:cNvPr id="5" name="Oval 4">
            <a:extLst>
              <a:ext uri="{FF2B5EF4-FFF2-40B4-BE49-F238E27FC236}">
                <a16:creationId xmlns:a16="http://schemas.microsoft.com/office/drawing/2014/main" id="{06FDCDB4-BDF0-4470-87EC-A87C1A182FD6}"/>
              </a:ext>
            </a:extLst>
          </xdr:cNvPr>
          <xdr:cNvSpPr/>
        </xdr:nvSpPr>
        <xdr:spPr>
          <a:xfrm>
            <a:off x="6216315" y="4299284"/>
            <a:ext cx="914400" cy="9144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a:t>Md</a:t>
            </a:r>
          </a:p>
        </xdr:txBody>
      </xdr:sp>
      <xdr:sp macro="" textlink="">
        <xdr:nvSpPr>
          <xdr:cNvPr id="6" name="Oval 5">
            <a:extLst>
              <a:ext uri="{FF2B5EF4-FFF2-40B4-BE49-F238E27FC236}">
                <a16:creationId xmlns:a16="http://schemas.microsoft.com/office/drawing/2014/main" id="{319779E7-9815-4B6F-94A8-158B153F0630}"/>
              </a:ext>
            </a:extLst>
          </xdr:cNvPr>
          <xdr:cNvSpPr/>
        </xdr:nvSpPr>
        <xdr:spPr>
          <a:xfrm>
            <a:off x="9248273" y="4299284"/>
            <a:ext cx="914400" cy="9144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a:t>Mr</a:t>
            </a:r>
          </a:p>
        </xdr:txBody>
      </xdr:sp>
    </xdr:grpSp>
    <xdr:clientData/>
  </xdr:twoCellAnchor>
  <xdr:twoCellAnchor editAs="oneCell">
    <xdr:from>
      <xdr:col>4</xdr:col>
      <xdr:colOff>104775</xdr:colOff>
      <xdr:row>11</xdr:row>
      <xdr:rowOff>171450</xdr:rowOff>
    </xdr:from>
    <xdr:to>
      <xdr:col>11</xdr:col>
      <xdr:colOff>294692</xdr:colOff>
      <xdr:row>16</xdr:row>
      <xdr:rowOff>171331</xdr:rowOff>
    </xdr:to>
    <xdr:pic>
      <xdr:nvPicPr>
        <xdr:cNvPr id="12" name="Picture 11">
          <a:extLst>
            <a:ext uri="{FF2B5EF4-FFF2-40B4-BE49-F238E27FC236}">
              <a16:creationId xmlns:a16="http://schemas.microsoft.com/office/drawing/2014/main" id="{D98D255C-F0AF-4BC7-B409-6DD655A6E6AA}"/>
            </a:ext>
          </a:extLst>
        </xdr:cNvPr>
        <xdr:cNvPicPr>
          <a:picLocks noChangeAspect="1"/>
        </xdr:cNvPicPr>
      </xdr:nvPicPr>
      <xdr:blipFill>
        <a:blip xmlns:r="http://schemas.openxmlformats.org/officeDocument/2006/relationships" r:embed="rId3"/>
        <a:stretch>
          <a:fillRect/>
        </a:stretch>
      </xdr:blipFill>
      <xdr:spPr>
        <a:xfrm>
          <a:off x="3714750" y="2266950"/>
          <a:ext cx="4666667" cy="9523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DB09E-DDC7-4C34-B999-C66E7F7C39E5}">
  <dimension ref="B3:I131"/>
  <sheetViews>
    <sheetView topLeftCell="A4" zoomScale="85" zoomScaleNormal="85" workbookViewId="0">
      <selection activeCell="C14" sqref="C14"/>
    </sheetView>
  </sheetViews>
  <sheetFormatPr defaultRowHeight="15" x14ac:dyDescent="0.25"/>
  <cols>
    <col min="2" max="2" width="18.85546875" bestFit="1" customWidth="1"/>
    <col min="3" max="3" width="9" customWidth="1"/>
  </cols>
  <sheetData>
    <row r="3" spans="2:6" x14ac:dyDescent="0.25">
      <c r="B3" t="s">
        <v>0</v>
      </c>
      <c r="C3" t="s">
        <v>1</v>
      </c>
    </row>
    <row r="4" spans="2:6" x14ac:dyDescent="0.25">
      <c r="B4" t="s">
        <v>2</v>
      </c>
      <c r="C4" t="s">
        <v>3</v>
      </c>
    </row>
    <row r="6" spans="2:6" x14ac:dyDescent="0.25">
      <c r="B6" t="s">
        <v>4</v>
      </c>
      <c r="C6">
        <v>170</v>
      </c>
      <c r="D6" t="s">
        <v>5</v>
      </c>
      <c r="E6" t="s">
        <v>6</v>
      </c>
      <c r="F6" t="s">
        <v>7</v>
      </c>
    </row>
    <row r="8" spans="2:6" ht="15.75" thickBot="1" x14ac:dyDescent="0.3"/>
    <row r="9" spans="2:6" x14ac:dyDescent="0.25">
      <c r="B9" s="1" t="s">
        <v>8</v>
      </c>
      <c r="C9" s="2"/>
      <c r="D9" s="2"/>
      <c r="E9" s="3"/>
    </row>
    <row r="10" spans="2:6" x14ac:dyDescent="0.25">
      <c r="B10" s="4" t="s">
        <v>9</v>
      </c>
      <c r="C10" s="5">
        <v>4907</v>
      </c>
      <c r="D10" s="5" t="s">
        <v>5</v>
      </c>
      <c r="E10" s="6"/>
    </row>
    <row r="11" spans="2:6" x14ac:dyDescent="0.25">
      <c r="B11" s="4" t="s">
        <v>10</v>
      </c>
      <c r="C11" s="5">
        <v>1953</v>
      </c>
      <c r="D11" s="5" t="s">
        <v>5</v>
      </c>
      <c r="E11" s="6"/>
    </row>
    <row r="12" spans="2:6" x14ac:dyDescent="0.25">
      <c r="B12" s="4" t="s">
        <v>11</v>
      </c>
      <c r="C12" s="5">
        <v>1379</v>
      </c>
      <c r="D12" s="5" t="s">
        <v>5</v>
      </c>
      <c r="E12" s="6"/>
    </row>
    <row r="13" spans="2:6" x14ac:dyDescent="0.25">
      <c r="B13" s="4" t="s">
        <v>12</v>
      </c>
      <c r="C13" s="5">
        <v>2990</v>
      </c>
      <c r="D13" s="5" t="s">
        <v>5</v>
      </c>
      <c r="E13" s="6"/>
    </row>
    <row r="14" spans="2:6" x14ac:dyDescent="0.25">
      <c r="B14" s="4" t="s">
        <v>13</v>
      </c>
      <c r="C14" s="5">
        <v>1676</v>
      </c>
      <c r="D14" s="5" t="s">
        <v>5</v>
      </c>
      <c r="E14" s="6"/>
    </row>
    <row r="15" spans="2:6" x14ac:dyDescent="0.25">
      <c r="B15" s="4" t="s">
        <v>14</v>
      </c>
      <c r="C15" s="5">
        <v>1660</v>
      </c>
      <c r="D15" s="5" t="s">
        <v>5</v>
      </c>
      <c r="E15" s="6"/>
    </row>
    <row r="16" spans="2:6" x14ac:dyDescent="0.25">
      <c r="B16" s="4" t="s">
        <v>15</v>
      </c>
      <c r="C16" s="5">
        <v>1880</v>
      </c>
      <c r="D16" s="5" t="s">
        <v>16</v>
      </c>
      <c r="E16" s="6" t="s">
        <v>17</v>
      </c>
    </row>
    <row r="17" spans="2:9" x14ac:dyDescent="0.25">
      <c r="B17" s="4" t="s">
        <v>18</v>
      </c>
      <c r="C17" s="5">
        <v>1790</v>
      </c>
      <c r="D17" s="5" t="s">
        <v>16</v>
      </c>
      <c r="E17" s="6" t="s">
        <v>17</v>
      </c>
    </row>
    <row r="18" spans="2:9" x14ac:dyDescent="0.25">
      <c r="B18" s="4" t="s">
        <v>19</v>
      </c>
      <c r="C18" s="5"/>
      <c r="D18" s="5"/>
      <c r="E18" s="6"/>
    </row>
    <row r="19" spans="2:9" x14ac:dyDescent="0.25">
      <c r="B19" s="4" t="s">
        <v>20</v>
      </c>
      <c r="C19" s="5">
        <v>47</v>
      </c>
      <c r="D19" s="5" t="s">
        <v>22</v>
      </c>
      <c r="E19" s="6"/>
    </row>
    <row r="20" spans="2:9" x14ac:dyDescent="0.25">
      <c r="B20" s="4" t="s">
        <v>21</v>
      </c>
      <c r="C20" s="5">
        <v>53</v>
      </c>
      <c r="D20" s="5" t="s">
        <v>22</v>
      </c>
      <c r="E20" s="6"/>
    </row>
    <row r="21" spans="2:9" x14ac:dyDescent="0.25">
      <c r="B21" s="4" t="s">
        <v>25</v>
      </c>
      <c r="C21" s="5">
        <v>450</v>
      </c>
      <c r="D21" s="5" t="s">
        <v>24</v>
      </c>
      <c r="E21" s="6"/>
    </row>
    <row r="22" spans="2:9" ht="15.75" thickBot="1" x14ac:dyDescent="0.3">
      <c r="B22" s="7" t="s">
        <v>23</v>
      </c>
      <c r="C22" s="8">
        <v>91</v>
      </c>
      <c r="D22" s="8" t="s">
        <v>24</v>
      </c>
      <c r="E22" s="9"/>
    </row>
    <row r="23" spans="2:9" ht="15.75" thickBot="1" x14ac:dyDescent="0.3"/>
    <row r="24" spans="2:9" x14ac:dyDescent="0.25">
      <c r="B24" s="1" t="s">
        <v>26</v>
      </c>
      <c r="C24" s="2"/>
      <c r="D24" s="2"/>
      <c r="E24" s="3"/>
    </row>
    <row r="25" spans="2:9" x14ac:dyDescent="0.25">
      <c r="B25" s="4" t="s">
        <v>20</v>
      </c>
      <c r="C25" s="5" t="s">
        <v>27</v>
      </c>
      <c r="D25" s="5"/>
      <c r="E25" s="6"/>
      <c r="I25" t="s">
        <v>55</v>
      </c>
    </row>
    <row r="26" spans="2:9" x14ac:dyDescent="0.25">
      <c r="B26" s="4" t="s">
        <v>21</v>
      </c>
      <c r="C26" s="5" t="s">
        <v>28</v>
      </c>
      <c r="D26" s="5"/>
      <c r="E26" s="6"/>
    </row>
    <row r="27" spans="2:9" ht="15.75" thickBot="1" x14ac:dyDescent="0.3">
      <c r="B27" s="7" t="s">
        <v>29</v>
      </c>
      <c r="C27" s="8" t="s">
        <v>30</v>
      </c>
      <c r="D27" s="8"/>
      <c r="E27" s="9"/>
    </row>
    <row r="28" spans="2:9" ht="15.75" thickBot="1" x14ac:dyDescent="0.3"/>
    <row r="29" spans="2:9" x14ac:dyDescent="0.25">
      <c r="B29" s="1" t="s">
        <v>31</v>
      </c>
      <c r="C29" s="2"/>
      <c r="D29" s="2"/>
      <c r="E29" s="3"/>
    </row>
    <row r="30" spans="2:9" x14ac:dyDescent="0.25">
      <c r="B30" s="4" t="s">
        <v>20</v>
      </c>
      <c r="C30" s="5" t="s">
        <v>32</v>
      </c>
      <c r="D30" s="5"/>
      <c r="E30" s="6"/>
      <c r="F30" t="s">
        <v>54</v>
      </c>
    </row>
    <row r="31" spans="2:9" ht="15.75" thickBot="1" x14ac:dyDescent="0.3">
      <c r="B31" s="7" t="s">
        <v>21</v>
      </c>
      <c r="C31" s="8" t="s">
        <v>33</v>
      </c>
      <c r="D31" s="8"/>
      <c r="E31" s="9"/>
      <c r="F31" t="s">
        <v>56</v>
      </c>
      <c r="G31" t="s">
        <v>57</v>
      </c>
    </row>
    <row r="32" spans="2:9" ht="15.75" thickBot="1" x14ac:dyDescent="0.3"/>
    <row r="33" spans="2:8" x14ac:dyDescent="0.25">
      <c r="B33" s="1" t="s">
        <v>34</v>
      </c>
      <c r="C33" s="2"/>
      <c r="D33" s="2"/>
      <c r="E33" s="3"/>
    </row>
    <row r="34" spans="2:8" x14ac:dyDescent="0.25">
      <c r="B34" s="4" t="s">
        <v>35</v>
      </c>
      <c r="C34" s="5"/>
      <c r="D34" s="5"/>
      <c r="E34" s="6"/>
    </row>
    <row r="35" spans="2:8" ht="15.75" thickBot="1" x14ac:dyDescent="0.3">
      <c r="B35" s="7" t="s">
        <v>36</v>
      </c>
      <c r="C35" s="8"/>
      <c r="D35" s="8"/>
      <c r="E35" s="9"/>
    </row>
    <row r="36" spans="2:8" ht="15.75" thickBot="1" x14ac:dyDescent="0.3">
      <c r="H36" t="s">
        <v>46</v>
      </c>
    </row>
    <row r="37" spans="2:8" x14ac:dyDescent="0.25">
      <c r="B37" s="1" t="s">
        <v>37</v>
      </c>
      <c r="C37" s="2"/>
      <c r="D37" s="2"/>
      <c r="E37" s="2"/>
      <c r="F37" s="3"/>
      <c r="H37" t="s">
        <v>45</v>
      </c>
    </row>
    <row r="38" spans="2:8" x14ac:dyDescent="0.25">
      <c r="B38" s="4" t="s">
        <v>38</v>
      </c>
      <c r="C38" s="5"/>
      <c r="D38" s="5"/>
      <c r="E38" s="5"/>
      <c r="F38" s="6"/>
      <c r="H38" t="s">
        <v>43</v>
      </c>
    </row>
    <row r="39" spans="2:8" x14ac:dyDescent="0.25">
      <c r="B39" s="4" t="s">
        <v>39</v>
      </c>
      <c r="C39" s="5"/>
      <c r="D39" s="5"/>
      <c r="E39" s="5"/>
      <c r="F39" s="6"/>
      <c r="H39" t="s">
        <v>44</v>
      </c>
    </row>
    <row r="40" spans="2:8" ht="15.75" thickBot="1" x14ac:dyDescent="0.3">
      <c r="B40" s="7" t="s">
        <v>40</v>
      </c>
      <c r="C40" s="8"/>
      <c r="D40" s="8"/>
      <c r="E40" s="8"/>
      <c r="F40" s="9"/>
      <c r="H40" t="s">
        <v>47</v>
      </c>
    </row>
    <row r="41" spans="2:8" ht="15.75" thickBot="1" x14ac:dyDescent="0.3">
      <c r="H41" t="s">
        <v>48</v>
      </c>
    </row>
    <row r="42" spans="2:8" x14ac:dyDescent="0.25">
      <c r="B42" s="1" t="s">
        <v>41</v>
      </c>
      <c r="C42" s="2"/>
      <c r="D42" s="2"/>
      <c r="E42" s="2"/>
      <c r="F42" s="2"/>
      <c r="G42" s="3"/>
    </row>
    <row r="43" spans="2:8" x14ac:dyDescent="0.25">
      <c r="B43" s="4" t="s">
        <v>42</v>
      </c>
      <c r="C43" s="5"/>
      <c r="D43" s="5"/>
      <c r="E43" s="5"/>
      <c r="F43" s="5"/>
      <c r="G43" s="6"/>
    </row>
    <row r="44" spans="2:8" x14ac:dyDescent="0.25">
      <c r="B44" s="10" t="s">
        <v>49</v>
      </c>
      <c r="C44" s="5"/>
      <c r="D44" s="5"/>
      <c r="E44" s="5"/>
      <c r="F44" s="5"/>
      <c r="G44" s="5"/>
    </row>
    <row r="45" spans="2:8" x14ac:dyDescent="0.25">
      <c r="B45" s="10" t="s">
        <v>50</v>
      </c>
      <c r="C45" s="5"/>
      <c r="D45" s="5"/>
      <c r="E45" s="5"/>
      <c r="F45" s="5"/>
      <c r="G45" s="5"/>
    </row>
    <row r="46" spans="2:8" x14ac:dyDescent="0.25">
      <c r="B46" s="10" t="s">
        <v>51</v>
      </c>
    </row>
    <row r="47" spans="2:8" x14ac:dyDescent="0.25">
      <c r="B47" s="10" t="s">
        <v>52</v>
      </c>
    </row>
    <row r="48" spans="2:8" x14ac:dyDescent="0.25">
      <c r="B48" s="10" t="s">
        <v>53</v>
      </c>
    </row>
    <row r="49" spans="2:5" x14ac:dyDescent="0.25">
      <c r="B49" s="10"/>
    </row>
    <row r="50" spans="2:5" x14ac:dyDescent="0.25">
      <c r="B50" s="10"/>
    </row>
    <row r="51" spans="2:5" x14ac:dyDescent="0.25">
      <c r="B51" s="10"/>
    </row>
    <row r="52" spans="2:5" x14ac:dyDescent="0.25">
      <c r="B52" s="10" t="s">
        <v>106</v>
      </c>
      <c r="C52">
        <v>486</v>
      </c>
      <c r="D52" t="s">
        <v>107</v>
      </c>
      <c r="E52" t="s">
        <v>110</v>
      </c>
    </row>
    <row r="53" spans="2:5" x14ac:dyDescent="0.25">
      <c r="B53" s="10"/>
      <c r="C53">
        <v>660</v>
      </c>
      <c r="D53" t="s">
        <v>108</v>
      </c>
    </row>
    <row r="54" spans="2:5" x14ac:dyDescent="0.25">
      <c r="B54" s="10"/>
    </row>
    <row r="55" spans="2:5" x14ac:dyDescent="0.25">
      <c r="B55" s="10" t="s">
        <v>111</v>
      </c>
      <c r="C55">
        <v>683</v>
      </c>
      <c r="D55" t="s">
        <v>112</v>
      </c>
      <c r="E55" t="s">
        <v>109</v>
      </c>
    </row>
    <row r="56" spans="2:5" x14ac:dyDescent="0.25">
      <c r="B56" s="10"/>
      <c r="C56">
        <v>70</v>
      </c>
      <c r="D56" t="s">
        <v>16</v>
      </c>
    </row>
    <row r="57" spans="2:5" x14ac:dyDescent="0.25">
      <c r="B57" s="10"/>
    </row>
    <row r="58" spans="2:5" x14ac:dyDescent="0.25">
      <c r="B58" s="10" t="s">
        <v>113</v>
      </c>
      <c r="C58" t="s">
        <v>114</v>
      </c>
    </row>
    <row r="59" spans="2:5" x14ac:dyDescent="0.25">
      <c r="B59" s="10"/>
    </row>
    <row r="60" spans="2:5" x14ac:dyDescent="0.25">
      <c r="B60" s="10"/>
    </row>
    <row r="61" spans="2:5" x14ac:dyDescent="0.25">
      <c r="B61" s="10"/>
    </row>
    <row r="62" spans="2:5" x14ac:dyDescent="0.25">
      <c r="B62" s="10"/>
    </row>
    <row r="63" spans="2:5" x14ac:dyDescent="0.25">
      <c r="B63" s="10"/>
    </row>
    <row r="64" spans="2:5" x14ac:dyDescent="0.25">
      <c r="B64" s="10"/>
    </row>
    <row r="65" spans="2:2" x14ac:dyDescent="0.25">
      <c r="B65" s="10"/>
    </row>
    <row r="66" spans="2:2" x14ac:dyDescent="0.25">
      <c r="B66" s="10"/>
    </row>
    <row r="67" spans="2:2" x14ac:dyDescent="0.25">
      <c r="B67" s="10"/>
    </row>
    <row r="68" spans="2:2" x14ac:dyDescent="0.25">
      <c r="B68" s="10"/>
    </row>
    <row r="69" spans="2:2" x14ac:dyDescent="0.25">
      <c r="B69" s="10"/>
    </row>
    <row r="70" spans="2:2" x14ac:dyDescent="0.25">
      <c r="B70" s="10"/>
    </row>
    <row r="71" spans="2:2" x14ac:dyDescent="0.25">
      <c r="B71" s="10"/>
    </row>
    <row r="72" spans="2:2" x14ac:dyDescent="0.25">
      <c r="B72" s="10"/>
    </row>
    <row r="73" spans="2:2" x14ac:dyDescent="0.25">
      <c r="B73" s="10"/>
    </row>
    <row r="74" spans="2:2" x14ac:dyDescent="0.25">
      <c r="B74" s="10"/>
    </row>
    <row r="75" spans="2:2" x14ac:dyDescent="0.25">
      <c r="B75" s="10"/>
    </row>
    <row r="76" spans="2:2" x14ac:dyDescent="0.25">
      <c r="B76" s="10"/>
    </row>
    <row r="77" spans="2:2" x14ac:dyDescent="0.25">
      <c r="B77" s="10"/>
    </row>
    <row r="78" spans="2:2" x14ac:dyDescent="0.25">
      <c r="B78" s="10"/>
    </row>
    <row r="79" spans="2:2" x14ac:dyDescent="0.25">
      <c r="B79" s="10"/>
    </row>
    <row r="80" spans="2:2" x14ac:dyDescent="0.25">
      <c r="B80" s="10"/>
    </row>
    <row r="84" spans="2:3" x14ac:dyDescent="0.25">
      <c r="B84" t="s">
        <v>58</v>
      </c>
      <c r="C84" t="s">
        <v>59</v>
      </c>
    </row>
    <row r="93" spans="2:3" x14ac:dyDescent="0.25">
      <c r="B93">
        <v>1</v>
      </c>
      <c r="C93" t="s">
        <v>89</v>
      </c>
    </row>
    <row r="94" spans="2:3" x14ac:dyDescent="0.25">
      <c r="B94">
        <v>2</v>
      </c>
      <c r="C94" t="s">
        <v>75</v>
      </c>
    </row>
    <row r="95" spans="2:3" x14ac:dyDescent="0.25">
      <c r="B95">
        <v>3</v>
      </c>
      <c r="C95" t="s">
        <v>76</v>
      </c>
    </row>
    <row r="96" spans="2:3" x14ac:dyDescent="0.25">
      <c r="B96">
        <v>4</v>
      </c>
      <c r="C96" t="s">
        <v>77</v>
      </c>
    </row>
    <row r="97" spans="2:9" x14ac:dyDescent="0.25">
      <c r="B97">
        <v>5</v>
      </c>
      <c r="C97" t="s">
        <v>78</v>
      </c>
    </row>
    <row r="98" spans="2:9" x14ac:dyDescent="0.25">
      <c r="B98">
        <v>6</v>
      </c>
      <c r="C98" t="s">
        <v>79</v>
      </c>
    </row>
    <row r="99" spans="2:9" x14ac:dyDescent="0.25">
      <c r="B99">
        <v>7</v>
      </c>
      <c r="C99" t="s">
        <v>80</v>
      </c>
    </row>
    <row r="100" spans="2:9" x14ac:dyDescent="0.25">
      <c r="B100">
        <v>8</v>
      </c>
      <c r="C100" t="s">
        <v>81</v>
      </c>
    </row>
    <row r="101" spans="2:9" x14ac:dyDescent="0.25">
      <c r="B101">
        <v>9</v>
      </c>
      <c r="C101" t="s">
        <v>78</v>
      </c>
    </row>
    <row r="102" spans="2:9" x14ac:dyDescent="0.25">
      <c r="B102">
        <v>10</v>
      </c>
      <c r="C102" t="s">
        <v>82</v>
      </c>
      <c r="F102" t="s">
        <v>87</v>
      </c>
      <c r="G102" t="s">
        <v>88</v>
      </c>
    </row>
    <row r="103" spans="2:9" x14ac:dyDescent="0.25">
      <c r="B103">
        <v>11</v>
      </c>
      <c r="C103" t="s">
        <v>83</v>
      </c>
    </row>
    <row r="104" spans="2:9" x14ac:dyDescent="0.25">
      <c r="B104">
        <v>12</v>
      </c>
      <c r="C104" t="s">
        <v>84</v>
      </c>
    </row>
    <row r="105" spans="2:9" x14ac:dyDescent="0.25">
      <c r="B105">
        <v>13</v>
      </c>
      <c r="C105" t="s">
        <v>85</v>
      </c>
    </row>
    <row r="106" spans="2:9" x14ac:dyDescent="0.25">
      <c r="B106">
        <v>14</v>
      </c>
      <c r="C106" t="s">
        <v>86</v>
      </c>
    </row>
    <row r="107" spans="2:9" x14ac:dyDescent="0.25">
      <c r="B107">
        <v>15</v>
      </c>
      <c r="C107" t="s">
        <v>90</v>
      </c>
      <c r="I107" t="s">
        <v>97</v>
      </c>
    </row>
    <row r="108" spans="2:9" x14ac:dyDescent="0.25">
      <c r="B108">
        <v>16</v>
      </c>
      <c r="C108" t="s">
        <v>91</v>
      </c>
    </row>
    <row r="109" spans="2:9" x14ac:dyDescent="0.25">
      <c r="B109">
        <v>17</v>
      </c>
      <c r="C109" t="s">
        <v>92</v>
      </c>
    </row>
    <row r="110" spans="2:9" x14ac:dyDescent="0.25">
      <c r="B110">
        <v>18</v>
      </c>
      <c r="C110" t="s">
        <v>93</v>
      </c>
      <c r="F110" t="s">
        <v>94</v>
      </c>
      <c r="I110" t="s">
        <v>101</v>
      </c>
    </row>
    <row r="111" spans="2:9" x14ac:dyDescent="0.25">
      <c r="B111">
        <v>19</v>
      </c>
      <c r="C111" t="s">
        <v>95</v>
      </c>
    </row>
    <row r="112" spans="2:9" x14ac:dyDescent="0.25">
      <c r="B112">
        <v>20</v>
      </c>
      <c r="C112" t="s">
        <v>96</v>
      </c>
    </row>
    <row r="113" spans="2:9" x14ac:dyDescent="0.25">
      <c r="B113">
        <v>22</v>
      </c>
      <c r="C113" t="s">
        <v>98</v>
      </c>
    </row>
    <row r="114" spans="2:9" x14ac:dyDescent="0.25">
      <c r="B114">
        <v>23</v>
      </c>
      <c r="C114" t="s">
        <v>99</v>
      </c>
      <c r="I114" t="s">
        <v>102</v>
      </c>
    </row>
    <row r="115" spans="2:9" x14ac:dyDescent="0.25">
      <c r="B115">
        <v>28</v>
      </c>
      <c r="C115" t="s">
        <v>100</v>
      </c>
      <c r="I115" t="s">
        <v>103</v>
      </c>
    </row>
    <row r="116" spans="2:9" x14ac:dyDescent="0.25">
      <c r="I116" t="s">
        <v>104</v>
      </c>
    </row>
    <row r="117" spans="2:9" x14ac:dyDescent="0.25">
      <c r="I117" t="s">
        <v>105</v>
      </c>
    </row>
    <row r="118" spans="2:9" x14ac:dyDescent="0.25">
      <c r="B118">
        <v>2</v>
      </c>
      <c r="C118" t="s">
        <v>174</v>
      </c>
    </row>
    <row r="119" spans="2:9" x14ac:dyDescent="0.25">
      <c r="B119">
        <v>17</v>
      </c>
      <c r="C119" t="s">
        <v>172</v>
      </c>
    </row>
    <row r="120" spans="2:9" x14ac:dyDescent="0.25">
      <c r="B120">
        <v>22</v>
      </c>
      <c r="C120" t="s">
        <v>171</v>
      </c>
    </row>
    <row r="121" spans="2:9" x14ac:dyDescent="0.25">
      <c r="B121">
        <v>23</v>
      </c>
      <c r="C121" t="s">
        <v>169</v>
      </c>
    </row>
    <row r="122" spans="2:9" x14ac:dyDescent="0.25">
      <c r="B122">
        <v>24</v>
      </c>
      <c r="C122" t="s">
        <v>170</v>
      </c>
    </row>
    <row r="123" spans="2:9" x14ac:dyDescent="0.25">
      <c r="B123">
        <v>25</v>
      </c>
      <c r="C123" t="s">
        <v>163</v>
      </c>
    </row>
    <row r="124" spans="2:9" x14ac:dyDescent="0.25">
      <c r="B124">
        <v>26</v>
      </c>
      <c r="C124" t="s">
        <v>164</v>
      </c>
    </row>
    <row r="125" spans="2:9" x14ac:dyDescent="0.25">
      <c r="B125">
        <v>27</v>
      </c>
      <c r="C125" t="s">
        <v>165</v>
      </c>
    </row>
    <row r="126" spans="2:9" x14ac:dyDescent="0.25">
      <c r="B126">
        <v>28</v>
      </c>
      <c r="C126" t="s">
        <v>166</v>
      </c>
    </row>
    <row r="127" spans="2:9" x14ac:dyDescent="0.25">
      <c r="B127">
        <v>29</v>
      </c>
      <c r="C127" t="s">
        <v>167</v>
      </c>
    </row>
    <row r="128" spans="2:9" x14ac:dyDescent="0.25">
      <c r="B128">
        <v>30</v>
      </c>
      <c r="C128" t="s">
        <v>168</v>
      </c>
    </row>
    <row r="129" spans="2:3" x14ac:dyDescent="0.25">
      <c r="B129">
        <v>31</v>
      </c>
      <c r="C129" t="s">
        <v>173</v>
      </c>
    </row>
    <row r="130" spans="2:3" x14ac:dyDescent="0.25">
      <c r="B130">
        <v>39</v>
      </c>
      <c r="C130" t="s">
        <v>175</v>
      </c>
    </row>
    <row r="131" spans="2:3" x14ac:dyDescent="0.25">
      <c r="B131">
        <v>40</v>
      </c>
      <c r="C131" t="s">
        <v>176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8F41C-0D73-4785-AC00-0DA104C97992}">
  <dimension ref="B2:G41"/>
  <sheetViews>
    <sheetView topLeftCell="A4" zoomScale="94" zoomScaleNormal="85" workbookViewId="0">
      <selection activeCell="C36" sqref="C36:D36"/>
    </sheetView>
  </sheetViews>
  <sheetFormatPr defaultRowHeight="15" x14ac:dyDescent="0.25"/>
  <cols>
    <col min="2" max="2" width="24.85546875" bestFit="1" customWidth="1"/>
    <col min="3" max="3" width="11" bestFit="1" customWidth="1"/>
    <col min="6" max="6" width="12.28515625" bestFit="1" customWidth="1"/>
  </cols>
  <sheetData>
    <row r="2" spans="2:7" x14ac:dyDescent="0.25">
      <c r="B2" s="11" t="s">
        <v>61</v>
      </c>
      <c r="C2" s="11"/>
    </row>
    <row r="3" spans="2:7" x14ac:dyDescent="0.25">
      <c r="B3" t="s">
        <v>15</v>
      </c>
      <c r="C3">
        <v>1880</v>
      </c>
      <c r="D3" t="s">
        <v>16</v>
      </c>
      <c r="F3" t="s">
        <v>72</v>
      </c>
      <c r="G3">
        <f>C3+C5</f>
        <v>2047.2</v>
      </c>
    </row>
    <row r="4" spans="2:7" x14ac:dyDescent="0.25">
      <c r="B4" t="s">
        <v>12</v>
      </c>
      <c r="C4">
        <v>2990</v>
      </c>
      <c r="D4" t="s">
        <v>5</v>
      </c>
    </row>
    <row r="5" spans="2:7" x14ac:dyDescent="0.25">
      <c r="B5" t="s">
        <v>73</v>
      </c>
      <c r="C5">
        <f>83.6*2</f>
        <v>167.2</v>
      </c>
      <c r="D5" t="s">
        <v>16</v>
      </c>
    </row>
    <row r="6" spans="2:7" x14ac:dyDescent="0.25">
      <c r="B6" t="s">
        <v>60</v>
      </c>
      <c r="C6">
        <f>C3*0.47</f>
        <v>883.59999999999991</v>
      </c>
      <c r="D6" t="s">
        <v>16</v>
      </c>
    </row>
    <row r="7" spans="2:7" x14ac:dyDescent="0.25">
      <c r="B7" t="s">
        <v>62</v>
      </c>
      <c r="C7">
        <f>C3-C6</f>
        <v>996.40000000000009</v>
      </c>
      <c r="D7" t="s">
        <v>16</v>
      </c>
    </row>
    <row r="8" spans="2:7" x14ac:dyDescent="0.25">
      <c r="B8" t="s">
        <v>63</v>
      </c>
      <c r="C8">
        <v>1780</v>
      </c>
      <c r="D8" t="s">
        <v>5</v>
      </c>
      <c r="E8">
        <f>C8/1000</f>
        <v>1.78</v>
      </c>
      <c r="F8" t="s">
        <v>69</v>
      </c>
    </row>
    <row r="9" spans="2:7" x14ac:dyDescent="0.25">
      <c r="B9" t="s">
        <v>64</v>
      </c>
      <c r="C9">
        <v>1210</v>
      </c>
      <c r="D9" t="s">
        <v>5</v>
      </c>
      <c r="E9">
        <f t="shared" ref="E9:E10" si="0">C9/1000</f>
        <v>1.21</v>
      </c>
      <c r="F9" t="s">
        <v>69</v>
      </c>
      <c r="G9">
        <v>1.39</v>
      </c>
    </row>
    <row r="10" spans="2:7" x14ac:dyDescent="0.25">
      <c r="B10" t="s">
        <v>12</v>
      </c>
      <c r="C10">
        <v>2990</v>
      </c>
      <c r="D10" t="s">
        <v>5</v>
      </c>
      <c r="E10">
        <f t="shared" si="0"/>
        <v>2.99</v>
      </c>
      <c r="F10" t="s">
        <v>69</v>
      </c>
    </row>
    <row r="11" spans="2:7" x14ac:dyDescent="0.25">
      <c r="B11" t="s">
        <v>65</v>
      </c>
      <c r="C11">
        <f>(C5*C8+C7*C10)/(C5+C6+C7)</f>
        <v>1600.6506447831187</v>
      </c>
      <c r="D11" t="s">
        <v>5</v>
      </c>
      <c r="E11">
        <f>C11/1000</f>
        <v>1.6006506447831186</v>
      </c>
      <c r="F11" t="s">
        <v>69</v>
      </c>
    </row>
    <row r="13" spans="2:7" x14ac:dyDescent="0.25">
      <c r="B13" t="s">
        <v>70</v>
      </c>
      <c r="C13">
        <f>(C6*C11^2)+C5*(C8-C11)^2+C7*(C10-C11)^2</f>
        <v>4192576853.3411484</v>
      </c>
      <c r="D13" t="s">
        <v>67</v>
      </c>
    </row>
    <row r="14" spans="2:7" x14ac:dyDescent="0.25">
      <c r="C14">
        <f>C13/1000000</f>
        <v>4192.5768533411483</v>
      </c>
      <c r="D14" t="s">
        <v>68</v>
      </c>
    </row>
    <row r="16" spans="2:7" x14ac:dyDescent="0.25">
      <c r="B16" t="s">
        <v>71</v>
      </c>
      <c r="C16">
        <f>C14/(G3*E11*(E10-E11))</f>
        <v>0.92090056978929447</v>
      </c>
    </row>
    <row r="19" spans="2:7" x14ac:dyDescent="0.25">
      <c r="B19" t="s">
        <v>74</v>
      </c>
      <c r="C19">
        <f>C13/(G3*C11)</f>
        <v>1279.4526128556149</v>
      </c>
      <c r="D19" t="s">
        <v>5</v>
      </c>
    </row>
    <row r="24" spans="2:7" x14ac:dyDescent="0.25">
      <c r="B24" s="11" t="s">
        <v>61</v>
      </c>
      <c r="C24" s="11"/>
    </row>
    <row r="25" spans="2:7" x14ac:dyDescent="0.25">
      <c r="B25" t="s">
        <v>15</v>
      </c>
      <c r="C25">
        <v>1880</v>
      </c>
      <c r="D25" t="s">
        <v>16</v>
      </c>
      <c r="F25" t="s">
        <v>72</v>
      </c>
      <c r="G25">
        <f>C25+C27</f>
        <v>2280</v>
      </c>
    </row>
    <row r="26" spans="2:7" x14ac:dyDescent="0.25">
      <c r="B26" t="s">
        <v>12</v>
      </c>
      <c r="C26">
        <v>2990</v>
      </c>
      <c r="D26" t="s">
        <v>5</v>
      </c>
    </row>
    <row r="27" spans="2:7" x14ac:dyDescent="0.25">
      <c r="B27" t="s">
        <v>73</v>
      </c>
      <c r="C27">
        <f>200*2</f>
        <v>400</v>
      </c>
      <c r="D27" t="s">
        <v>16</v>
      </c>
    </row>
    <row r="28" spans="2:7" x14ac:dyDescent="0.25">
      <c r="B28" t="s">
        <v>60</v>
      </c>
      <c r="C28">
        <f>C25*0.47</f>
        <v>883.59999999999991</v>
      </c>
      <c r="D28" t="s">
        <v>16</v>
      </c>
    </row>
    <row r="29" spans="2:7" x14ac:dyDescent="0.25">
      <c r="B29" t="s">
        <v>62</v>
      </c>
      <c r="C29">
        <f>C25-C28</f>
        <v>996.40000000000009</v>
      </c>
      <c r="D29" t="s">
        <v>16</v>
      </c>
    </row>
    <row r="30" spans="2:7" x14ac:dyDescent="0.25">
      <c r="B30" t="s">
        <v>63</v>
      </c>
      <c r="C30">
        <v>1780</v>
      </c>
      <c r="D30" t="s">
        <v>5</v>
      </c>
      <c r="E30">
        <f>C30/1000</f>
        <v>1.78</v>
      </c>
      <c r="F30" t="s">
        <v>69</v>
      </c>
    </row>
    <row r="31" spans="2:7" x14ac:dyDescent="0.25">
      <c r="B31" t="s">
        <v>64</v>
      </c>
      <c r="C31">
        <v>1210</v>
      </c>
      <c r="D31" t="s">
        <v>5</v>
      </c>
      <c r="E31">
        <f t="shared" ref="E31:E32" si="1">C31/1000</f>
        <v>1.21</v>
      </c>
      <c r="F31" t="s">
        <v>69</v>
      </c>
      <c r="G31">
        <v>1.39</v>
      </c>
    </row>
    <row r="32" spans="2:7" x14ac:dyDescent="0.25">
      <c r="B32" t="s">
        <v>12</v>
      </c>
      <c r="C32">
        <v>2990</v>
      </c>
      <c r="D32" t="s">
        <v>5</v>
      </c>
      <c r="E32">
        <f t="shared" si="1"/>
        <v>2.99</v>
      </c>
      <c r="F32" t="s">
        <v>69</v>
      </c>
    </row>
    <row r="33" spans="2:6" x14ac:dyDescent="0.25">
      <c r="B33" t="s">
        <v>65</v>
      </c>
      <c r="C33">
        <f>(C27*C30+C29*C32)/(C27+C28+C29)</f>
        <v>1618.9631578947372</v>
      </c>
      <c r="D33" t="s">
        <v>5</v>
      </c>
      <c r="E33">
        <f>C33/1000</f>
        <v>1.6189631578947372</v>
      </c>
      <c r="F33" t="s">
        <v>69</v>
      </c>
    </row>
    <row r="35" spans="2:6" x14ac:dyDescent="0.25">
      <c r="B35" t="s">
        <v>70</v>
      </c>
      <c r="C35">
        <f>(C28*C33^2)+C27*(C30-C33)^2+C29*(C32-C33)^2</f>
        <v>4199300548.9052629</v>
      </c>
      <c r="D35" t="s">
        <v>67</v>
      </c>
    </row>
    <row r="36" spans="2:6" x14ac:dyDescent="0.25">
      <c r="C36">
        <f>C35/1000000</f>
        <v>4199.300548905263</v>
      </c>
      <c r="D36" t="s">
        <v>68</v>
      </c>
    </row>
    <row r="38" spans="2:6" x14ac:dyDescent="0.25">
      <c r="B38" t="s">
        <v>71</v>
      </c>
      <c r="C38">
        <f>C36/(G25*E33*(E32-E33))</f>
        <v>0.82976673611034069</v>
      </c>
    </row>
    <row r="41" spans="2:6" x14ac:dyDescent="0.25">
      <c r="B41" t="s">
        <v>74</v>
      </c>
      <c r="C41">
        <f>C35/(G25*C33)</f>
        <v>1137.6407655607125</v>
      </c>
      <c r="D41" t="s">
        <v>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ED439-B52D-4F3A-A4A3-F01B02FB8829}">
  <dimension ref="B3:AJ74"/>
  <sheetViews>
    <sheetView tabSelected="1" topLeftCell="A10" zoomScale="115" zoomScaleNormal="115" workbookViewId="0">
      <selection activeCell="H25" sqref="H25"/>
    </sheetView>
  </sheetViews>
  <sheetFormatPr defaultRowHeight="15" x14ac:dyDescent="0.25"/>
  <cols>
    <col min="2" max="2" width="20.5703125" bestFit="1" customWidth="1"/>
    <col min="3" max="3" width="10.140625" customWidth="1"/>
    <col min="4" max="4" width="10.42578125" customWidth="1"/>
    <col min="6" max="6" width="16.28515625" bestFit="1" customWidth="1"/>
    <col min="7" max="10" width="13.42578125" bestFit="1" customWidth="1"/>
  </cols>
  <sheetData>
    <row r="3" spans="2:36" ht="15.75" thickBot="1" x14ac:dyDescent="0.3"/>
    <row r="4" spans="2:36" x14ac:dyDescent="0.25">
      <c r="B4" s="18" t="s">
        <v>82</v>
      </c>
      <c r="C4" s="12"/>
      <c r="D4" s="12"/>
      <c r="E4" s="12"/>
      <c r="F4" s="12"/>
      <c r="G4" s="12"/>
      <c r="H4" s="12"/>
      <c r="I4" s="12"/>
      <c r="J4" s="12"/>
      <c r="K4" s="12"/>
      <c r="L4" s="19"/>
      <c r="M4" s="19"/>
      <c r="N4" s="19"/>
      <c r="O4" s="2"/>
      <c r="P4" s="2" t="s">
        <v>127</v>
      </c>
      <c r="Q4" s="2"/>
      <c r="R4" s="2"/>
      <c r="S4" s="2"/>
      <c r="T4" s="2"/>
      <c r="U4" s="2"/>
      <c r="V4" s="2"/>
      <c r="W4" s="2" t="s">
        <v>128</v>
      </c>
      <c r="X4" s="2"/>
      <c r="Y4" s="2"/>
      <c r="Z4" s="2"/>
      <c r="AA4" s="2"/>
      <c r="AB4" s="2"/>
      <c r="AC4" s="2"/>
      <c r="AD4" s="2" t="s">
        <v>130</v>
      </c>
      <c r="AE4" s="2"/>
      <c r="AF4" s="2"/>
      <c r="AG4" s="2"/>
      <c r="AH4" s="2"/>
      <c r="AI4" s="2"/>
      <c r="AJ4" s="3"/>
    </row>
    <row r="5" spans="2:36" x14ac:dyDescent="0.25">
      <c r="B5" s="4" t="s">
        <v>115</v>
      </c>
      <c r="C5" s="5" t="s">
        <v>116</v>
      </c>
      <c r="D5" s="5" t="s">
        <v>117</v>
      </c>
      <c r="E5" s="5" t="s">
        <v>118</v>
      </c>
      <c r="F5" s="5" t="s">
        <v>119</v>
      </c>
      <c r="G5" s="5" t="s">
        <v>120</v>
      </c>
      <c r="H5" s="5" t="s">
        <v>122</v>
      </c>
      <c r="I5" s="5" t="s">
        <v>123</v>
      </c>
      <c r="J5" s="5" t="s">
        <v>124</v>
      </c>
      <c r="K5" s="5" t="s">
        <v>109</v>
      </c>
      <c r="L5" s="5"/>
      <c r="M5" s="5"/>
      <c r="N5" s="5"/>
      <c r="O5" s="5"/>
      <c r="P5" s="5" t="s">
        <v>119</v>
      </c>
      <c r="Q5" s="5" t="s">
        <v>120</v>
      </c>
      <c r="R5" s="5" t="s">
        <v>122</v>
      </c>
      <c r="S5" s="5" t="s">
        <v>123</v>
      </c>
      <c r="T5" s="5" t="s">
        <v>124</v>
      </c>
      <c r="U5" s="5" t="s">
        <v>109</v>
      </c>
      <c r="V5" s="5"/>
      <c r="W5" s="5"/>
      <c r="X5" s="5"/>
      <c r="Y5" s="5"/>
      <c r="Z5" s="5"/>
      <c r="AA5" s="5"/>
      <c r="AB5" s="5" t="s">
        <v>109</v>
      </c>
      <c r="AC5" s="5"/>
      <c r="AD5" s="5" t="s">
        <v>119</v>
      </c>
      <c r="AE5" s="5" t="s">
        <v>120</v>
      </c>
      <c r="AF5" s="5" t="s">
        <v>122</v>
      </c>
      <c r="AG5" s="5" t="s">
        <v>123</v>
      </c>
      <c r="AH5" s="5" t="s">
        <v>124</v>
      </c>
      <c r="AI5" s="5" t="s">
        <v>109</v>
      </c>
      <c r="AJ5" s="6"/>
    </row>
    <row r="6" spans="2:36" x14ac:dyDescent="0.25">
      <c r="B6" s="4">
        <v>1</v>
      </c>
      <c r="C6" s="5">
        <v>3.15</v>
      </c>
      <c r="D6" s="5">
        <v>4.18</v>
      </c>
      <c r="E6" s="5">
        <f>C6*D6</f>
        <v>13.166999999999998</v>
      </c>
      <c r="F6" s="5">
        <f>$C$21/E6</f>
        <v>75.947444368497017</v>
      </c>
      <c r="G6" s="5">
        <f>$C$22/E6</f>
        <v>151.89488873699403</v>
      </c>
      <c r="H6" s="5">
        <f>$C$23/E6</f>
        <v>227.84233310549104</v>
      </c>
      <c r="I6" s="5">
        <f>$C$24/E6</f>
        <v>303.78977747398807</v>
      </c>
      <c r="J6" s="5">
        <f>$C$25/E6</f>
        <v>379.73722184248504</v>
      </c>
      <c r="K6" s="5">
        <f>$C$26/E6</f>
        <v>455.68466621098207</v>
      </c>
      <c r="L6" s="5"/>
      <c r="M6" s="5"/>
      <c r="N6" s="5"/>
      <c r="O6" s="5"/>
      <c r="P6" s="5">
        <f t="shared" ref="P6:U6" si="0">F13-F6</f>
        <v>40.377563313343131</v>
      </c>
      <c r="Q6" s="5">
        <f t="shared" si="0"/>
        <v>80.755126626686263</v>
      </c>
      <c r="R6" s="5">
        <f t="shared" si="0"/>
        <v>121.13268994002942</v>
      </c>
      <c r="S6" s="5">
        <f t="shared" si="0"/>
        <v>161.51025325337253</v>
      </c>
      <c r="T6" s="5">
        <f t="shared" si="0"/>
        <v>201.88781656671563</v>
      </c>
      <c r="U6" s="5">
        <f t="shared" si="0"/>
        <v>242.26537988005884</v>
      </c>
      <c r="V6" s="5"/>
      <c r="W6" s="5"/>
      <c r="X6" s="5"/>
      <c r="Y6" s="5"/>
      <c r="Z6" s="5"/>
      <c r="AA6" s="5"/>
      <c r="AB6" s="5">
        <f>$E$16*(U6/60)*2*PI()</f>
        <v>29791.857679589328</v>
      </c>
      <c r="AC6" s="5"/>
      <c r="AD6" s="5">
        <f t="shared" ref="AD6:AI6" si="1">((F13/F6)-1)*100</f>
        <v>53.165137614678891</v>
      </c>
      <c r="AE6" s="5">
        <f t="shared" si="1"/>
        <v>53.165137614678891</v>
      </c>
      <c r="AF6" s="5">
        <f t="shared" si="1"/>
        <v>53.165137614678912</v>
      </c>
      <c r="AG6" s="5">
        <f t="shared" si="1"/>
        <v>53.165137614678891</v>
      </c>
      <c r="AH6" s="5">
        <f t="shared" si="1"/>
        <v>53.165137614678891</v>
      </c>
      <c r="AI6" s="5">
        <f t="shared" si="1"/>
        <v>53.165137614678912</v>
      </c>
      <c r="AJ6" s="6"/>
    </row>
    <row r="7" spans="2:36" x14ac:dyDescent="0.25">
      <c r="B7" s="4">
        <v>2</v>
      </c>
      <c r="C7" s="5">
        <v>2.1800000000000002</v>
      </c>
      <c r="D7" s="5">
        <v>4.18</v>
      </c>
      <c r="E7" s="5">
        <f t="shared" ref="E7:E11" si="2">C7*D7</f>
        <v>9.1123999999999992</v>
      </c>
      <c r="F7" s="5">
        <f t="shared" ref="F7:F11" si="3">$C$21/E7</f>
        <v>109.74057328475484</v>
      </c>
      <c r="G7" s="5">
        <f t="shared" ref="G7:G14" si="4">$C$22/E7</f>
        <v>219.48114656950969</v>
      </c>
      <c r="H7" s="5">
        <f t="shared" ref="H7:H14" si="5">$C$23/E7</f>
        <v>329.22171985426456</v>
      </c>
      <c r="I7" s="5">
        <f t="shared" ref="I7:I14" si="6">$C$24/E7</f>
        <v>438.96229313901938</v>
      </c>
      <c r="J7" s="5">
        <f t="shared" ref="J7:J14" si="7">$C$25/E7</f>
        <v>548.70286642377425</v>
      </c>
      <c r="K7" s="5">
        <f t="shared" ref="K7:K14" si="8">$C$26/E7</f>
        <v>658.44343970852913</v>
      </c>
      <c r="L7" s="5"/>
      <c r="M7" s="5"/>
      <c r="N7" s="5"/>
      <c r="O7" s="5"/>
      <c r="P7" s="5">
        <f t="shared" ref="P7:U8" si="9">F13-F7</f>
        <v>6.5844343970853032</v>
      </c>
      <c r="Q7" s="5">
        <f t="shared" si="9"/>
        <v>13.168868794170606</v>
      </c>
      <c r="R7" s="5">
        <f t="shared" si="9"/>
        <v>19.753303191255895</v>
      </c>
      <c r="S7" s="5">
        <f t="shared" si="9"/>
        <v>26.337737588341213</v>
      </c>
      <c r="T7" s="5">
        <f t="shared" si="9"/>
        <v>32.922171985426417</v>
      </c>
      <c r="U7" s="5">
        <f t="shared" si="9"/>
        <v>39.506606382511791</v>
      </c>
      <c r="V7" s="5"/>
      <c r="W7" s="5"/>
      <c r="X7" s="5"/>
      <c r="Y7" s="5"/>
      <c r="Z7" s="5"/>
      <c r="AA7" s="5"/>
      <c r="AB7" s="5">
        <f>$E$16*(U7/60)*2*PI()</f>
        <v>4858.2062997777302</v>
      </c>
      <c r="AC7" s="5"/>
      <c r="AD7" s="5">
        <f t="shared" ref="AD7:AI8" si="10">((F13/F7)-1)*100</f>
        <v>6.0000000000000053</v>
      </c>
      <c r="AE7" s="5">
        <f t="shared" si="10"/>
        <v>6.0000000000000053</v>
      </c>
      <c r="AF7" s="5">
        <f t="shared" si="10"/>
        <v>6.0000000000000053</v>
      </c>
      <c r="AG7" s="5">
        <f t="shared" si="10"/>
        <v>6.0000000000000053</v>
      </c>
      <c r="AH7" s="5">
        <f t="shared" si="10"/>
        <v>5.9999999999999831</v>
      </c>
      <c r="AI7" s="5">
        <f t="shared" si="10"/>
        <v>6.0000000000000053</v>
      </c>
      <c r="AJ7" s="6"/>
    </row>
    <row r="8" spans="2:36" x14ac:dyDescent="0.25">
      <c r="B8" s="4">
        <v>3</v>
      </c>
      <c r="C8" s="5">
        <v>1.57</v>
      </c>
      <c r="D8" s="5">
        <v>4.18</v>
      </c>
      <c r="E8" s="5">
        <f t="shared" si="2"/>
        <v>6.5625999999999998</v>
      </c>
      <c r="F8" s="5">
        <f t="shared" si="3"/>
        <v>152.37863042086977</v>
      </c>
      <c r="G8" s="5">
        <f t="shared" si="4"/>
        <v>304.75726084173954</v>
      </c>
      <c r="H8" s="5">
        <f t="shared" si="5"/>
        <v>457.13589126260933</v>
      </c>
      <c r="I8" s="5">
        <f t="shared" si="6"/>
        <v>609.51452168347907</v>
      </c>
      <c r="J8" s="5">
        <f t="shared" si="7"/>
        <v>761.89315210434893</v>
      </c>
      <c r="K8" s="5">
        <f t="shared" si="8"/>
        <v>914.27178252521867</v>
      </c>
      <c r="L8" s="5"/>
      <c r="M8" s="5"/>
      <c r="N8" s="5"/>
      <c r="O8" s="5"/>
      <c r="P8" s="5">
        <f t="shared" si="9"/>
        <v>60.720963483677707</v>
      </c>
      <c r="Q8" s="5">
        <f t="shared" si="9"/>
        <v>121.44192696735541</v>
      </c>
      <c r="R8" s="5">
        <f t="shared" si="9"/>
        <v>182.16289045103315</v>
      </c>
      <c r="S8" s="5">
        <f t="shared" si="9"/>
        <v>242.88385393471083</v>
      </c>
      <c r="T8" s="5">
        <f t="shared" si="9"/>
        <v>303.60481741838862</v>
      </c>
      <c r="U8" s="5">
        <f t="shared" si="9"/>
        <v>364.3257809020663</v>
      </c>
      <c r="V8" s="5"/>
      <c r="W8" s="5"/>
      <c r="X8" s="5"/>
      <c r="Y8" s="5"/>
      <c r="Z8" s="5"/>
      <c r="AA8" s="5"/>
      <c r="AB8" s="5">
        <f>$E$17*(U8/60)*2*PI()</f>
        <v>24456.06610779828</v>
      </c>
      <c r="AC8" s="5"/>
      <c r="AD8" s="5">
        <f t="shared" si="10"/>
        <v>39.848739495798327</v>
      </c>
      <c r="AE8" s="5">
        <f t="shared" si="10"/>
        <v>39.848739495798327</v>
      </c>
      <c r="AF8" s="5">
        <f t="shared" si="10"/>
        <v>39.848739495798348</v>
      </c>
      <c r="AG8" s="5">
        <f t="shared" si="10"/>
        <v>39.848739495798327</v>
      </c>
      <c r="AH8" s="5">
        <f t="shared" si="10"/>
        <v>39.848739495798348</v>
      </c>
      <c r="AI8" s="5">
        <f t="shared" si="10"/>
        <v>39.848739495798348</v>
      </c>
      <c r="AJ8" s="6"/>
    </row>
    <row r="9" spans="2:36" x14ac:dyDescent="0.25">
      <c r="B9" s="4">
        <v>4</v>
      </c>
      <c r="C9" s="5">
        <v>1.19</v>
      </c>
      <c r="D9" s="5">
        <v>4.18</v>
      </c>
      <c r="E9" s="5">
        <f t="shared" si="2"/>
        <v>4.9741999999999997</v>
      </c>
      <c r="F9" s="5">
        <f t="shared" si="3"/>
        <v>201.03735274013914</v>
      </c>
      <c r="G9" s="5">
        <f t="shared" si="4"/>
        <v>402.07470548027828</v>
      </c>
      <c r="H9" s="5">
        <f t="shared" si="5"/>
        <v>603.11205822041734</v>
      </c>
      <c r="I9" s="5">
        <f t="shared" si="6"/>
        <v>804.14941096055657</v>
      </c>
      <c r="J9" s="5">
        <f t="shared" si="7"/>
        <v>1005.1867637006957</v>
      </c>
      <c r="K9" s="5">
        <f t="shared" si="8"/>
        <v>1206.2241164408347</v>
      </c>
      <c r="L9" s="5"/>
      <c r="M9" s="5"/>
      <c r="N9" s="5"/>
      <c r="O9" s="5"/>
      <c r="P9" s="5">
        <f t="shared" ref="P9:U9" si="11">F14-F9</f>
        <v>12.062241164408334</v>
      </c>
      <c r="Q9" s="5">
        <f t="shared" si="11"/>
        <v>24.124482328816669</v>
      </c>
      <c r="R9" s="5">
        <f t="shared" si="11"/>
        <v>36.186723493225145</v>
      </c>
      <c r="S9" s="5">
        <f t="shared" si="11"/>
        <v>48.248964657633337</v>
      </c>
      <c r="T9" s="5">
        <f t="shared" si="11"/>
        <v>60.31120582204187</v>
      </c>
      <c r="U9" s="5">
        <f t="shared" si="11"/>
        <v>72.37344698645029</v>
      </c>
      <c r="V9" s="5"/>
      <c r="W9" s="5"/>
      <c r="X9" s="5"/>
      <c r="Y9" s="5"/>
      <c r="Z9" s="5"/>
      <c r="AA9" s="5"/>
      <c r="AB9" s="5">
        <f>$E$17*(U9/60)*2*PI()</f>
        <v>4858.2062997777393</v>
      </c>
      <c r="AC9" s="5"/>
      <c r="AD9" s="5">
        <f t="shared" ref="AD9:AI9" si="12">((F14/F9)-1)*100</f>
        <v>5.9999999999999831</v>
      </c>
      <c r="AE9" s="5">
        <f t="shared" si="12"/>
        <v>5.9999999999999831</v>
      </c>
      <c r="AF9" s="5">
        <f t="shared" si="12"/>
        <v>6.0000000000000275</v>
      </c>
      <c r="AG9" s="5">
        <f t="shared" si="12"/>
        <v>5.9999999999999831</v>
      </c>
      <c r="AH9" s="5">
        <f t="shared" si="12"/>
        <v>6.0000000000000053</v>
      </c>
      <c r="AI9" s="5">
        <f t="shared" si="12"/>
        <v>6.0000000000000275</v>
      </c>
      <c r="AJ9" s="6"/>
    </row>
    <row r="10" spans="2:36" x14ac:dyDescent="0.25">
      <c r="B10" s="4">
        <v>5</v>
      </c>
      <c r="C10" s="5">
        <v>0.94</v>
      </c>
      <c r="D10" s="5">
        <v>4.18</v>
      </c>
      <c r="E10" s="5">
        <f t="shared" si="2"/>
        <v>3.9291999999999994</v>
      </c>
      <c r="F10" s="5">
        <f t="shared" si="3"/>
        <v>254.5047337880485</v>
      </c>
      <c r="G10" s="5">
        <f t="shared" si="4"/>
        <v>509.00946757609699</v>
      </c>
      <c r="H10" s="5">
        <f t="shared" si="5"/>
        <v>763.51420136414549</v>
      </c>
      <c r="I10" s="5">
        <f t="shared" si="6"/>
        <v>1018.018935152194</v>
      </c>
      <c r="J10" s="5">
        <f t="shared" si="7"/>
        <v>1272.5236689402425</v>
      </c>
      <c r="K10" s="5">
        <f t="shared" si="8"/>
        <v>1527.028402728291</v>
      </c>
      <c r="L10" s="5"/>
      <c r="M10" s="5"/>
      <c r="N10" s="5"/>
      <c r="O10" s="5"/>
      <c r="P10" s="5"/>
      <c r="Q10" s="5"/>
      <c r="R10" s="5"/>
      <c r="S10" s="5"/>
      <c r="T10" s="5"/>
      <c r="U10" s="5"/>
      <c r="V10" s="5"/>
      <c r="W10" s="5"/>
      <c r="X10" s="5"/>
      <c r="Y10" s="5"/>
      <c r="Z10" s="5"/>
      <c r="AA10" s="5"/>
      <c r="AB10" s="5"/>
      <c r="AC10" s="5"/>
      <c r="AD10" s="5"/>
      <c r="AE10" s="5"/>
      <c r="AF10" s="5"/>
      <c r="AG10" s="5"/>
      <c r="AH10" s="5"/>
      <c r="AI10" s="5"/>
      <c r="AJ10" s="6"/>
    </row>
    <row r="11" spans="2:36" x14ac:dyDescent="0.25">
      <c r="B11" s="4">
        <v>6</v>
      </c>
      <c r="C11" s="5">
        <v>0.76</v>
      </c>
      <c r="D11" s="5">
        <v>4.18</v>
      </c>
      <c r="E11" s="5">
        <f t="shared" si="2"/>
        <v>3.1767999999999996</v>
      </c>
      <c r="F11" s="5">
        <f t="shared" si="3"/>
        <v>314.78217073784947</v>
      </c>
      <c r="G11" s="5">
        <f t="shared" si="4"/>
        <v>629.56434147569894</v>
      </c>
      <c r="H11" s="5">
        <f t="shared" si="5"/>
        <v>944.34651221354829</v>
      </c>
      <c r="I11" s="5">
        <f t="shared" si="6"/>
        <v>1259.1286829513979</v>
      </c>
      <c r="J11" s="5">
        <f t="shared" si="7"/>
        <v>1573.9108536892472</v>
      </c>
      <c r="K11" s="5">
        <f t="shared" si="8"/>
        <v>1888.6930244270966</v>
      </c>
      <c r="L11" s="5"/>
      <c r="M11" s="5"/>
      <c r="N11" s="5"/>
      <c r="O11" s="5"/>
      <c r="P11" s="5"/>
      <c r="Q11" s="5"/>
      <c r="R11" s="5"/>
      <c r="S11" s="5"/>
      <c r="T11" s="5"/>
      <c r="U11" s="5"/>
      <c r="V11" s="5"/>
      <c r="W11" s="5" t="s">
        <v>129</v>
      </c>
      <c r="X11" s="5"/>
      <c r="Y11" s="5"/>
      <c r="Z11" s="5"/>
      <c r="AA11" s="5"/>
      <c r="AB11" s="5"/>
      <c r="AC11" s="5"/>
      <c r="AD11" s="5"/>
      <c r="AE11" s="5"/>
      <c r="AF11" s="5"/>
      <c r="AG11" s="5"/>
      <c r="AH11" s="5"/>
      <c r="AI11" s="5"/>
      <c r="AJ11" s="6"/>
    </row>
    <row r="12" spans="2:36" x14ac:dyDescent="0.25">
      <c r="B12" s="4"/>
      <c r="C12" s="5"/>
      <c r="D12" s="5"/>
      <c r="E12" s="5"/>
      <c r="F12" s="5"/>
      <c r="G12" s="5"/>
      <c r="H12" s="5"/>
      <c r="I12" s="5"/>
      <c r="J12" s="5"/>
      <c r="K12" s="5"/>
      <c r="L12" s="5"/>
      <c r="M12" s="5"/>
      <c r="N12" s="5"/>
      <c r="O12" s="5"/>
      <c r="P12" s="5" t="s">
        <v>133</v>
      </c>
      <c r="Q12" s="5"/>
      <c r="R12" s="5"/>
      <c r="S12" s="5"/>
      <c r="T12" s="5"/>
      <c r="U12" s="5"/>
      <c r="V12" s="5"/>
      <c r="W12" s="5">
        <f>W6/1000</f>
        <v>0</v>
      </c>
      <c r="X12" s="5">
        <f t="shared" ref="X12:AB12" si="13">X6/1000</f>
        <v>0</v>
      </c>
      <c r="Y12" s="5">
        <f t="shared" si="13"/>
        <v>0</v>
      </c>
      <c r="Z12" s="5">
        <f t="shared" si="13"/>
        <v>0</v>
      </c>
      <c r="AA12" s="5">
        <f t="shared" si="13"/>
        <v>0</v>
      </c>
      <c r="AB12" s="5">
        <f t="shared" si="13"/>
        <v>29.791857679589327</v>
      </c>
      <c r="AC12" s="5"/>
      <c r="AD12" s="5"/>
      <c r="AE12" s="5"/>
      <c r="AF12" s="5"/>
      <c r="AG12" s="5"/>
      <c r="AH12" s="5"/>
      <c r="AI12" s="5"/>
      <c r="AJ12" s="6"/>
    </row>
    <row r="13" spans="2:36" x14ac:dyDescent="0.25">
      <c r="B13" s="4">
        <v>1</v>
      </c>
      <c r="C13" s="5"/>
      <c r="D13" s="5"/>
      <c r="E13" s="5">
        <f>E7/1.06</f>
        <v>8.5966037735849046</v>
      </c>
      <c r="F13" s="5">
        <f>$C$21/E13</f>
        <v>116.32500768184015</v>
      </c>
      <c r="G13" s="5">
        <f t="shared" si="4"/>
        <v>232.6500153636803</v>
      </c>
      <c r="H13" s="5">
        <f t="shared" si="5"/>
        <v>348.97502304552046</v>
      </c>
      <c r="I13" s="5">
        <f t="shared" si="6"/>
        <v>465.30003072736059</v>
      </c>
      <c r="J13" s="5">
        <f t="shared" si="7"/>
        <v>581.62503840920067</v>
      </c>
      <c r="K13" s="5">
        <f t="shared" si="8"/>
        <v>697.95004609104092</v>
      </c>
      <c r="L13" s="5"/>
      <c r="M13" s="5"/>
      <c r="N13" s="5"/>
      <c r="O13" s="5"/>
      <c r="P13" s="5">
        <f t="shared" ref="P13:T16" si="14">(P6/60)*2*PI()</f>
        <v>4.2283285425018509</v>
      </c>
      <c r="Q13" s="5">
        <f t="shared" si="14"/>
        <v>8.4566570850037017</v>
      </c>
      <c r="R13" s="5">
        <f t="shared" si="14"/>
        <v>12.684985627505554</v>
      </c>
      <c r="S13" s="5">
        <f t="shared" si="14"/>
        <v>16.913314170007403</v>
      </c>
      <c r="T13" s="5">
        <f t="shared" si="14"/>
        <v>21.141642712509253</v>
      </c>
      <c r="U13" s="5">
        <f>(U6/60)*2*PI()</f>
        <v>25.369971255011109</v>
      </c>
      <c r="V13" s="5"/>
      <c r="W13" s="5">
        <f t="shared" ref="W13:AB13" si="15">W7/1000</f>
        <v>0</v>
      </c>
      <c r="X13" s="5">
        <f t="shared" si="15"/>
        <v>0</v>
      </c>
      <c r="Y13" s="5">
        <f t="shared" si="15"/>
        <v>0</v>
      </c>
      <c r="Z13" s="5">
        <f t="shared" si="15"/>
        <v>0</v>
      </c>
      <c r="AA13" s="5">
        <f t="shared" si="15"/>
        <v>0</v>
      </c>
      <c r="AB13" s="5">
        <f t="shared" si="15"/>
        <v>4.8582062997777307</v>
      </c>
      <c r="AC13" s="5"/>
      <c r="AD13" s="5"/>
      <c r="AE13" s="5"/>
      <c r="AF13" s="5"/>
      <c r="AG13" s="5"/>
      <c r="AH13" s="5"/>
      <c r="AI13" s="5"/>
      <c r="AJ13" s="6"/>
    </row>
    <row r="14" spans="2:36" x14ac:dyDescent="0.25">
      <c r="B14" s="4">
        <v>2</v>
      </c>
      <c r="C14" s="5"/>
      <c r="D14" s="5"/>
      <c r="E14" s="5">
        <f>E9/1.06</f>
        <v>4.6926415094339617</v>
      </c>
      <c r="F14" s="5">
        <f>$C$21/E14</f>
        <v>213.09959390454748</v>
      </c>
      <c r="G14" s="5">
        <f t="shared" si="4"/>
        <v>426.19918780909495</v>
      </c>
      <c r="H14" s="5">
        <f t="shared" si="5"/>
        <v>639.29878171364248</v>
      </c>
      <c r="I14" s="5">
        <f t="shared" si="6"/>
        <v>852.3983756181899</v>
      </c>
      <c r="J14" s="5">
        <f t="shared" si="7"/>
        <v>1065.4979695227375</v>
      </c>
      <c r="K14" s="5">
        <f t="shared" si="8"/>
        <v>1278.597563427285</v>
      </c>
      <c r="L14" s="5"/>
      <c r="M14" s="5"/>
      <c r="N14" s="5"/>
      <c r="O14" s="5"/>
      <c r="P14" s="5">
        <f t="shared" si="14"/>
        <v>0.68952035766423758</v>
      </c>
      <c r="Q14" s="5">
        <f t="shared" si="14"/>
        <v>1.3790407153284752</v>
      </c>
      <c r="R14" s="5">
        <f t="shared" si="14"/>
        <v>2.0685610729927113</v>
      </c>
      <c r="S14" s="5">
        <f t="shared" si="14"/>
        <v>2.7580814306569503</v>
      </c>
      <c r="T14" s="5">
        <f t="shared" si="14"/>
        <v>3.4476017883211778</v>
      </c>
      <c r="U14" s="5">
        <f t="shared" ref="U14:U16" si="16">(U7/60)*2*PI()</f>
        <v>4.1371221459854226</v>
      </c>
      <c r="V14" s="5"/>
      <c r="W14" s="5">
        <f t="shared" ref="W14:AB14" si="17">W8/1000</f>
        <v>0</v>
      </c>
      <c r="X14" s="5">
        <f t="shared" si="17"/>
        <v>0</v>
      </c>
      <c r="Y14" s="5">
        <f t="shared" si="17"/>
        <v>0</v>
      </c>
      <c r="Z14" s="5">
        <f t="shared" si="17"/>
        <v>0</v>
      </c>
      <c r="AA14" s="5">
        <f t="shared" si="17"/>
        <v>0</v>
      </c>
      <c r="AB14" s="5">
        <f t="shared" si="17"/>
        <v>24.456066107798282</v>
      </c>
      <c r="AC14" s="5"/>
      <c r="AD14" s="5"/>
      <c r="AE14" s="5"/>
      <c r="AF14" s="5"/>
      <c r="AG14" s="5"/>
      <c r="AH14" s="5"/>
      <c r="AI14" s="5"/>
      <c r="AJ14" s="6"/>
    </row>
    <row r="15" spans="2:36" x14ac:dyDescent="0.25">
      <c r="B15" s="4"/>
      <c r="C15" s="5"/>
      <c r="D15" s="5"/>
      <c r="E15" s="5"/>
      <c r="F15" s="5"/>
      <c r="G15" s="5"/>
      <c r="H15" s="5"/>
      <c r="I15" s="5"/>
      <c r="J15" s="5"/>
      <c r="K15" s="5"/>
      <c r="L15" s="5"/>
      <c r="M15" s="5"/>
      <c r="N15" s="5"/>
      <c r="O15" s="5"/>
      <c r="P15" s="5">
        <f t="shared" si="14"/>
        <v>6.3586844266405329</v>
      </c>
      <c r="Q15" s="5">
        <f t="shared" si="14"/>
        <v>12.717368853281066</v>
      </c>
      <c r="R15" s="5">
        <f t="shared" si="14"/>
        <v>19.076053279921599</v>
      </c>
      <c r="S15" s="5">
        <f t="shared" si="14"/>
        <v>25.434737706562132</v>
      </c>
      <c r="T15" s="5">
        <f t="shared" si="14"/>
        <v>31.793422133202672</v>
      </c>
      <c r="U15" s="5">
        <f t="shared" si="16"/>
        <v>38.152106559843197</v>
      </c>
      <c r="V15" s="5"/>
      <c r="W15" s="5">
        <f t="shared" ref="W15:AB15" si="18">W9/1000</f>
        <v>0</v>
      </c>
      <c r="X15" s="5">
        <f t="shared" si="18"/>
        <v>0</v>
      </c>
      <c r="Y15" s="5">
        <f t="shared" si="18"/>
        <v>0</v>
      </c>
      <c r="Z15" s="5">
        <f t="shared" si="18"/>
        <v>0</v>
      </c>
      <c r="AA15" s="5">
        <f t="shared" si="18"/>
        <v>0</v>
      </c>
      <c r="AB15" s="5">
        <f t="shared" si="18"/>
        <v>4.8582062997777395</v>
      </c>
      <c r="AC15" s="5"/>
      <c r="AD15" s="5"/>
      <c r="AE15" s="5"/>
      <c r="AF15" s="5"/>
      <c r="AG15" s="5"/>
      <c r="AH15" s="5"/>
      <c r="AI15" s="5"/>
      <c r="AJ15" s="6"/>
    </row>
    <row r="16" spans="2:36" x14ac:dyDescent="0.25">
      <c r="B16" s="4">
        <v>1</v>
      </c>
      <c r="C16" s="5"/>
      <c r="D16" s="5" t="s">
        <v>126</v>
      </c>
      <c r="E16" s="5">
        <f>$E$23*E13</f>
        <v>1174.2960754716978</v>
      </c>
      <c r="F16" s="5" t="s">
        <v>112</v>
      </c>
      <c r="G16" s="5" t="s">
        <v>131</v>
      </c>
      <c r="H16" s="5"/>
      <c r="I16" s="5"/>
      <c r="J16" s="5"/>
      <c r="K16" s="5"/>
      <c r="L16" s="5"/>
      <c r="M16" s="5"/>
      <c r="N16" s="5"/>
      <c r="O16" s="5"/>
      <c r="P16" s="5">
        <f t="shared" si="14"/>
        <v>1.2631549409311205</v>
      </c>
      <c r="Q16" s="5">
        <f t="shared" si="14"/>
        <v>2.5263098818622409</v>
      </c>
      <c r="R16" s="5">
        <f t="shared" si="14"/>
        <v>3.7894648227933767</v>
      </c>
      <c r="S16" s="5">
        <f t="shared" si="14"/>
        <v>5.0526197637244818</v>
      </c>
      <c r="T16" s="5">
        <f t="shared" si="14"/>
        <v>6.3157747046556239</v>
      </c>
      <c r="U16" s="5">
        <f t="shared" si="16"/>
        <v>7.5789296455867534</v>
      </c>
      <c r="V16" s="5"/>
      <c r="W16" s="5"/>
      <c r="X16" s="5"/>
      <c r="Y16" s="5"/>
      <c r="Z16" s="5"/>
      <c r="AA16" s="5"/>
      <c r="AB16" s="5"/>
      <c r="AC16" s="5"/>
      <c r="AD16" s="5"/>
      <c r="AE16" s="5"/>
      <c r="AF16" s="5"/>
      <c r="AG16" s="5"/>
      <c r="AH16" s="5"/>
      <c r="AI16" s="5"/>
      <c r="AJ16" s="6"/>
    </row>
    <row r="17" spans="2:36" x14ac:dyDescent="0.25">
      <c r="B17" s="4">
        <v>2</v>
      </c>
      <c r="C17" s="5"/>
      <c r="D17" s="5" t="s">
        <v>126</v>
      </c>
      <c r="E17" s="5">
        <f>$E$23*E14</f>
        <v>641.01483018867918</v>
      </c>
      <c r="F17" s="5" t="s">
        <v>112</v>
      </c>
      <c r="G17" s="5" t="s">
        <v>131</v>
      </c>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6"/>
    </row>
    <row r="18" spans="2:36" x14ac:dyDescent="0.25">
      <c r="B18" s="4"/>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6"/>
    </row>
    <row r="19" spans="2:36" x14ac:dyDescent="0.25">
      <c r="B19" s="4"/>
      <c r="C19" s="5"/>
      <c r="D19" s="5"/>
      <c r="E19" s="5"/>
      <c r="F19" s="5"/>
      <c r="G19" s="5"/>
      <c r="H19" s="5"/>
      <c r="I19" s="5"/>
      <c r="J19" s="5"/>
      <c r="K19" s="5"/>
      <c r="L19" s="5"/>
      <c r="M19" s="5"/>
      <c r="N19" s="5"/>
      <c r="O19" s="5"/>
      <c r="P19" s="5" t="s">
        <v>134</v>
      </c>
      <c r="Q19" s="5"/>
      <c r="R19" s="5"/>
      <c r="S19" s="5"/>
      <c r="T19" s="5"/>
      <c r="U19" s="5"/>
      <c r="V19" s="5"/>
      <c r="W19" s="5"/>
      <c r="X19" s="5"/>
      <c r="Y19" s="5"/>
      <c r="Z19" s="5"/>
      <c r="AA19" s="5"/>
      <c r="AB19" s="5"/>
      <c r="AC19" s="5"/>
      <c r="AD19" s="5"/>
      <c r="AE19" s="5"/>
      <c r="AF19" s="5"/>
      <c r="AG19" s="5"/>
      <c r="AH19" s="5"/>
      <c r="AI19" s="5"/>
      <c r="AJ19" s="6"/>
    </row>
    <row r="20" spans="2:36" x14ac:dyDescent="0.25">
      <c r="B20" s="4"/>
      <c r="C20" s="5" t="s">
        <v>121</v>
      </c>
      <c r="D20" s="5"/>
      <c r="E20" s="5" t="s">
        <v>149</v>
      </c>
      <c r="F20" s="5"/>
      <c r="G20" s="5"/>
      <c r="H20" s="5"/>
      <c r="I20" s="5"/>
      <c r="J20" s="5"/>
      <c r="K20" s="5"/>
      <c r="L20" s="5"/>
      <c r="M20" s="5"/>
      <c r="N20" s="5"/>
      <c r="O20" s="5"/>
      <c r="P20" s="5">
        <f>P13*$Q$27</f>
        <v>9.4503142924916368</v>
      </c>
      <c r="Q20" s="5">
        <f t="shared" ref="Q20:U20" si="19">Q13*$Q$27</f>
        <v>18.900628584983274</v>
      </c>
      <c r="R20" s="5">
        <f t="shared" si="19"/>
        <v>28.350942877474914</v>
      </c>
      <c r="S20" s="5">
        <f t="shared" si="19"/>
        <v>37.801257169966547</v>
      </c>
      <c r="T20" s="5">
        <f t="shared" si="19"/>
        <v>47.251571462458173</v>
      </c>
      <c r="U20" s="5">
        <f t="shared" si="19"/>
        <v>56.701885754949828</v>
      </c>
      <c r="V20" s="5"/>
      <c r="W20" s="5"/>
      <c r="X20" s="5"/>
      <c r="Y20" s="5"/>
      <c r="Z20" s="5"/>
      <c r="AA20" s="5"/>
      <c r="AB20" s="5"/>
      <c r="AC20" s="5"/>
      <c r="AD20" s="5"/>
      <c r="AE20" s="5"/>
      <c r="AF20" s="5"/>
      <c r="AG20" s="5"/>
      <c r="AH20" s="5"/>
      <c r="AI20" s="5"/>
      <c r="AJ20" s="6"/>
    </row>
    <row r="21" spans="2:36" x14ac:dyDescent="0.25">
      <c r="B21" s="4"/>
      <c r="C21" s="5">
        <v>1000</v>
      </c>
      <c r="D21" s="5"/>
      <c r="E21" s="5">
        <v>683</v>
      </c>
      <c r="F21" s="5" t="s">
        <v>125</v>
      </c>
      <c r="G21" s="5"/>
      <c r="H21" s="5"/>
      <c r="I21" s="5"/>
      <c r="J21" s="5"/>
      <c r="K21" s="5"/>
      <c r="L21" s="5"/>
      <c r="M21" s="5"/>
      <c r="N21" s="5"/>
      <c r="O21" s="5"/>
      <c r="P21" s="5">
        <f t="shared" ref="P21:U21" si="20">P14*$Q$27</f>
        <v>1.5410779993795709</v>
      </c>
      <c r="Q21" s="5">
        <f t="shared" si="20"/>
        <v>3.0821559987591418</v>
      </c>
      <c r="R21" s="5">
        <f t="shared" si="20"/>
        <v>4.6232339981387094</v>
      </c>
      <c r="S21" s="5">
        <f t="shared" si="20"/>
        <v>6.1643119975182836</v>
      </c>
      <c r="T21" s="5">
        <f t="shared" si="20"/>
        <v>7.7053899968978321</v>
      </c>
      <c r="U21" s="5">
        <f t="shared" si="20"/>
        <v>9.2464679962774188</v>
      </c>
      <c r="V21" s="5"/>
      <c r="W21" s="5"/>
      <c r="X21" s="5"/>
      <c r="Y21" s="5"/>
      <c r="Z21" s="5"/>
      <c r="AA21" s="5"/>
      <c r="AB21" s="5"/>
      <c r="AC21" s="5"/>
      <c r="AD21" s="5"/>
      <c r="AE21" s="5"/>
      <c r="AF21" s="5"/>
      <c r="AG21" s="5"/>
      <c r="AH21" s="5"/>
      <c r="AI21" s="5"/>
      <c r="AJ21" s="6"/>
    </row>
    <row r="22" spans="2:36" x14ac:dyDescent="0.25">
      <c r="B22" s="4"/>
      <c r="C22" s="5">
        <v>2000</v>
      </c>
      <c r="D22" s="5"/>
      <c r="E22" s="5">
        <v>0.2</v>
      </c>
      <c r="F22" s="5" t="s">
        <v>132</v>
      </c>
      <c r="G22" s="5"/>
      <c r="H22" s="5">
        <v>0.2</v>
      </c>
      <c r="I22" s="5" t="s">
        <v>20</v>
      </c>
      <c r="J22" s="5"/>
      <c r="K22" s="5"/>
      <c r="L22" s="5"/>
      <c r="M22" s="5"/>
      <c r="N22" s="5"/>
      <c r="O22" s="5"/>
      <c r="P22" s="5">
        <f t="shared" ref="P22:U22" si="21">P15*$Q$27</f>
        <v>14.21165969354159</v>
      </c>
      <c r="Q22" s="5">
        <f t="shared" si="21"/>
        <v>28.423319387083179</v>
      </c>
      <c r="R22" s="5">
        <f t="shared" si="21"/>
        <v>42.634979080624774</v>
      </c>
      <c r="S22" s="5">
        <f t="shared" si="21"/>
        <v>56.846638774166358</v>
      </c>
      <c r="T22" s="5">
        <f t="shared" si="21"/>
        <v>71.058298467707971</v>
      </c>
      <c r="U22" s="5">
        <f t="shared" si="21"/>
        <v>85.269958161249548</v>
      </c>
      <c r="V22" s="5"/>
      <c r="W22" s="5"/>
      <c r="X22" s="5"/>
      <c r="Y22" s="5"/>
      <c r="Z22" s="5"/>
      <c r="AA22" s="5"/>
      <c r="AB22" s="5"/>
      <c r="AC22" s="5"/>
      <c r="AD22" s="5"/>
      <c r="AE22" s="5"/>
      <c r="AF22" s="5"/>
      <c r="AG22" s="5"/>
      <c r="AH22" s="5"/>
      <c r="AI22" s="5"/>
      <c r="AJ22" s="6"/>
    </row>
    <row r="23" spans="2:36" x14ac:dyDescent="0.25">
      <c r="B23" s="4"/>
      <c r="C23" s="5">
        <v>3000</v>
      </c>
      <c r="D23" s="5"/>
      <c r="E23" s="5">
        <f>E21*E22</f>
        <v>136.6</v>
      </c>
      <c r="F23" s="5" t="s">
        <v>112</v>
      </c>
      <c r="G23" s="5"/>
      <c r="H23" s="5"/>
      <c r="I23" s="5"/>
      <c r="J23" s="5"/>
      <c r="K23" s="5"/>
      <c r="L23" s="5"/>
      <c r="M23" s="5"/>
      <c r="N23" s="5"/>
      <c r="O23" s="5"/>
      <c r="P23" s="5">
        <f t="shared" ref="P23:U23" si="22">P16*$Q$27</f>
        <v>2.8231512929810543</v>
      </c>
      <c r="Q23" s="5">
        <f t="shared" si="22"/>
        <v>5.6463025859621085</v>
      </c>
      <c r="R23" s="5">
        <f t="shared" si="22"/>
        <v>8.469453878943197</v>
      </c>
      <c r="S23" s="5">
        <f t="shared" si="22"/>
        <v>11.292605171924217</v>
      </c>
      <c r="T23" s="5">
        <f t="shared" si="22"/>
        <v>14.115756464905319</v>
      </c>
      <c r="U23" s="5">
        <f t="shared" si="22"/>
        <v>16.938907757886394</v>
      </c>
      <c r="V23" s="5"/>
      <c r="W23" s="5"/>
      <c r="X23" s="5"/>
      <c r="Y23" s="5"/>
      <c r="Z23" s="5"/>
      <c r="AA23" s="5"/>
      <c r="AB23" s="5"/>
      <c r="AC23" s="5"/>
      <c r="AD23" s="5"/>
      <c r="AE23" s="5"/>
      <c r="AF23" s="5"/>
      <c r="AG23" s="5"/>
      <c r="AH23" s="5"/>
      <c r="AI23" s="5"/>
      <c r="AJ23" s="6"/>
    </row>
    <row r="24" spans="2:36" x14ac:dyDescent="0.25">
      <c r="B24" s="4"/>
      <c r="C24" s="5">
        <v>4000</v>
      </c>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6"/>
    </row>
    <row r="25" spans="2:36" x14ac:dyDescent="0.25">
      <c r="B25" s="4"/>
      <c r="C25" s="5">
        <v>5000</v>
      </c>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6"/>
    </row>
    <row r="26" spans="2:36" x14ac:dyDescent="0.25">
      <c r="B26" s="4"/>
      <c r="C26" s="5">
        <v>6000</v>
      </c>
      <c r="D26" s="5"/>
      <c r="E26" s="5"/>
      <c r="F26" s="5"/>
      <c r="G26" s="5"/>
      <c r="H26" s="5"/>
      <c r="I26" s="5"/>
      <c r="J26" s="5"/>
      <c r="K26" s="5"/>
      <c r="L26" s="5"/>
      <c r="M26" s="5"/>
      <c r="N26" s="5"/>
      <c r="O26" s="5"/>
      <c r="P26" s="5" t="s">
        <v>135</v>
      </c>
      <c r="Q26" s="5"/>
      <c r="R26" s="5"/>
      <c r="S26" s="5"/>
      <c r="T26" s="5"/>
      <c r="U26" s="5"/>
      <c r="V26" s="5"/>
      <c r="W26" s="5"/>
      <c r="X26" s="5"/>
      <c r="Y26" s="5"/>
      <c r="Z26" s="5"/>
      <c r="AA26" s="5"/>
      <c r="AB26" s="5"/>
      <c r="AC26" s="5"/>
      <c r="AD26" s="5"/>
      <c r="AE26" s="5"/>
      <c r="AF26" s="5"/>
      <c r="AG26" s="5"/>
      <c r="AH26" s="5"/>
      <c r="AI26" s="5"/>
      <c r="AJ26" s="6"/>
    </row>
    <row r="27" spans="2:36" x14ac:dyDescent="0.25">
      <c r="B27" s="4"/>
      <c r="C27" s="5">
        <v>7000</v>
      </c>
      <c r="D27" s="5"/>
      <c r="E27" s="5"/>
      <c r="F27" s="5"/>
      <c r="G27" s="5"/>
      <c r="H27" s="5"/>
      <c r="I27" s="5"/>
      <c r="J27" s="5"/>
      <c r="K27" s="5"/>
      <c r="L27" s="5"/>
      <c r="M27" s="5"/>
      <c r="N27" s="5"/>
      <c r="O27" s="5"/>
      <c r="P27" s="5" t="s">
        <v>20</v>
      </c>
      <c r="Q27" s="5">
        <v>2.2349999999999999</v>
      </c>
      <c r="R27" s="5" t="s">
        <v>69</v>
      </c>
      <c r="S27" s="5"/>
      <c r="T27" s="5"/>
      <c r="U27" s="5"/>
      <c r="V27" s="5"/>
      <c r="W27" s="5"/>
      <c r="X27" s="5"/>
      <c r="Y27" s="5"/>
      <c r="Z27" s="5"/>
      <c r="AA27" s="5"/>
      <c r="AB27" s="5"/>
      <c r="AC27" s="5"/>
      <c r="AD27" s="5"/>
      <c r="AE27" s="5"/>
      <c r="AF27" s="5"/>
      <c r="AG27" s="5"/>
      <c r="AH27" s="5"/>
      <c r="AI27" s="5"/>
      <c r="AJ27" s="6"/>
    </row>
    <row r="28" spans="2:36" x14ac:dyDescent="0.25">
      <c r="B28" s="4"/>
      <c r="C28" s="5">
        <v>8000</v>
      </c>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6"/>
    </row>
    <row r="29" spans="2:36" ht="15.75" thickBot="1" x14ac:dyDescent="0.3">
      <c r="B29" s="7"/>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9"/>
    </row>
    <row r="30" spans="2:36" x14ac:dyDescent="0.25">
      <c r="B30" s="4"/>
      <c r="C30" s="13" t="s">
        <v>147</v>
      </c>
      <c r="D30" s="13"/>
      <c r="E30" s="13"/>
      <c r="F30" s="5"/>
      <c r="G30" s="5"/>
      <c r="H30" s="13" t="s">
        <v>148</v>
      </c>
      <c r="I30" s="13"/>
      <c r="J30" s="13"/>
      <c r="K30" s="13"/>
      <c r="L30" s="13"/>
      <c r="M30" s="13" t="s">
        <v>153</v>
      </c>
      <c r="N30" s="13"/>
      <c r="O30" s="13"/>
      <c r="P30" s="13" t="s">
        <v>136</v>
      </c>
      <c r="Q30" s="13"/>
      <c r="R30" s="13"/>
      <c r="S30" s="5"/>
      <c r="T30" s="6"/>
    </row>
    <row r="31" spans="2:36" x14ac:dyDescent="0.25">
      <c r="B31" s="4"/>
      <c r="C31" s="5">
        <v>1</v>
      </c>
      <c r="D31" s="5">
        <f>E16/$C$35</f>
        <v>3355.131644204851</v>
      </c>
      <c r="E31" s="5" t="s">
        <v>144</v>
      </c>
      <c r="F31" s="5"/>
      <c r="G31" s="5"/>
      <c r="H31" s="5">
        <v>1</v>
      </c>
      <c r="I31" s="5">
        <f>$E$21*E6</f>
        <v>8993.0609999999979</v>
      </c>
      <c r="J31" s="5" t="s">
        <v>112</v>
      </c>
      <c r="K31" s="5">
        <f>I31/$C$37</f>
        <v>25190.647058823524</v>
      </c>
      <c r="L31" s="5" t="s">
        <v>144</v>
      </c>
      <c r="M31" s="5">
        <v>1</v>
      </c>
      <c r="N31" s="5">
        <f>D31+K39</f>
        <v>23507.649291263671</v>
      </c>
      <c r="O31" s="5" t="s">
        <v>144</v>
      </c>
      <c r="P31" s="5" t="s">
        <v>137</v>
      </c>
      <c r="Q31" s="5" t="s">
        <v>129</v>
      </c>
      <c r="R31" s="5" t="s">
        <v>138</v>
      </c>
      <c r="S31" s="5"/>
      <c r="T31" s="6"/>
    </row>
    <row r="32" spans="2:36" x14ac:dyDescent="0.25">
      <c r="B32" s="4"/>
      <c r="C32" s="5">
        <v>2</v>
      </c>
      <c r="D32" s="5">
        <f>E17/$C$35</f>
        <v>1831.4709433962264</v>
      </c>
      <c r="E32" s="5" t="s">
        <v>144</v>
      </c>
      <c r="F32" s="5"/>
      <c r="G32" s="5"/>
      <c r="H32" s="5">
        <v>2</v>
      </c>
      <c r="I32" s="5">
        <f t="shared" ref="I32:I36" si="23">$E$21*E7</f>
        <v>6223.7691999999997</v>
      </c>
      <c r="J32" s="5" t="s">
        <v>112</v>
      </c>
      <c r="K32" s="5">
        <f t="shared" ref="K32:K36" si="24">I32/$C$37</f>
        <v>17433.527170868347</v>
      </c>
      <c r="L32" s="5" t="s">
        <v>144</v>
      </c>
      <c r="M32" s="5">
        <v>2</v>
      </c>
      <c r="N32" s="5">
        <f>D31+K40</f>
        <v>17301.953380899529</v>
      </c>
      <c r="O32" s="5" t="s">
        <v>144</v>
      </c>
      <c r="P32" s="5">
        <v>25.369971255011109</v>
      </c>
      <c r="Q32" s="5">
        <v>29.791857679589327</v>
      </c>
      <c r="R32" s="5">
        <v>53.165137614678912</v>
      </c>
      <c r="S32" s="5"/>
      <c r="T32" s="6"/>
    </row>
    <row r="33" spans="2:20" x14ac:dyDescent="0.25">
      <c r="B33" s="4"/>
      <c r="C33" s="5"/>
      <c r="D33" s="5"/>
      <c r="E33" s="5"/>
      <c r="F33" s="5"/>
      <c r="G33" s="5"/>
      <c r="H33" s="5">
        <v>3</v>
      </c>
      <c r="I33" s="5">
        <f t="shared" si="23"/>
        <v>4482.2557999999999</v>
      </c>
      <c r="J33" s="5" t="s">
        <v>112</v>
      </c>
      <c r="K33" s="5">
        <f t="shared" si="24"/>
        <v>12555.33837535014</v>
      </c>
      <c r="L33" s="5" t="s">
        <v>144</v>
      </c>
      <c r="M33" s="5">
        <v>3</v>
      </c>
      <c r="N33" s="5">
        <f>D32+K41</f>
        <v>11875.74164367634</v>
      </c>
      <c r="O33" s="5" t="s">
        <v>144</v>
      </c>
      <c r="P33" s="5">
        <v>4.1371221459854226</v>
      </c>
      <c r="Q33" s="5">
        <v>4.8582062997777307</v>
      </c>
      <c r="R33" s="5">
        <v>6.0000000000000053</v>
      </c>
      <c r="S33" s="5"/>
      <c r="T33" s="6"/>
    </row>
    <row r="34" spans="2:20" x14ac:dyDescent="0.25">
      <c r="B34" s="4"/>
      <c r="C34" s="5" t="s">
        <v>151</v>
      </c>
      <c r="D34" s="5"/>
      <c r="E34" s="5"/>
      <c r="F34" s="5"/>
      <c r="G34" s="5"/>
      <c r="H34" s="5">
        <v>4</v>
      </c>
      <c r="I34" s="5">
        <f t="shared" si="23"/>
        <v>3397.3786</v>
      </c>
      <c r="J34" s="5" t="s">
        <v>112</v>
      </c>
      <c r="K34" s="5">
        <f t="shared" si="24"/>
        <v>9516.4666666666672</v>
      </c>
      <c r="L34" s="5" t="s">
        <v>144</v>
      </c>
      <c r="M34" s="5">
        <v>4</v>
      </c>
      <c r="N34" s="5">
        <f>D32+K42</f>
        <v>9444.6442767295594</v>
      </c>
      <c r="O34" s="5" t="s">
        <v>144</v>
      </c>
      <c r="P34" s="5">
        <v>38.152106559843197</v>
      </c>
      <c r="Q34" s="5">
        <v>24.456066107798282</v>
      </c>
      <c r="R34" s="5">
        <v>39.848739495798348</v>
      </c>
      <c r="S34" s="5"/>
      <c r="T34" s="6"/>
    </row>
    <row r="35" spans="2:20" x14ac:dyDescent="0.25">
      <c r="B35" s="4"/>
      <c r="C35" s="5">
        <v>0.35</v>
      </c>
      <c r="D35" s="5" t="s">
        <v>69</v>
      </c>
      <c r="E35" s="5"/>
      <c r="F35" s="5"/>
      <c r="G35" s="5"/>
      <c r="H35" s="5">
        <v>5</v>
      </c>
      <c r="I35" s="5">
        <f t="shared" si="23"/>
        <v>2683.6435999999994</v>
      </c>
      <c r="J35" s="5" t="s">
        <v>112</v>
      </c>
      <c r="K35" s="5">
        <f t="shared" si="24"/>
        <v>7517.2089635854327</v>
      </c>
      <c r="L35" s="5" t="s">
        <v>144</v>
      </c>
      <c r="M35" s="5"/>
      <c r="N35" s="5"/>
      <c r="O35" s="5"/>
      <c r="P35" s="5">
        <v>7.5789296455867534</v>
      </c>
      <c r="Q35" s="5">
        <v>4.8582062997777395</v>
      </c>
      <c r="R35" s="5">
        <v>6.0000000000000275</v>
      </c>
      <c r="S35" s="5"/>
      <c r="T35" s="6"/>
    </row>
    <row r="36" spans="2:20" x14ac:dyDescent="0.25">
      <c r="B36" s="4"/>
      <c r="C36" s="5" t="s">
        <v>152</v>
      </c>
      <c r="D36" s="5"/>
      <c r="E36" s="5"/>
      <c r="F36" s="5"/>
      <c r="G36" s="5"/>
      <c r="H36" s="5">
        <v>6</v>
      </c>
      <c r="I36" s="5">
        <f t="shared" si="23"/>
        <v>2169.7543999999998</v>
      </c>
      <c r="J36" s="5" t="s">
        <v>112</v>
      </c>
      <c r="K36" s="5">
        <f t="shared" si="24"/>
        <v>6077.7434173669462</v>
      </c>
      <c r="L36" s="5" t="s">
        <v>144</v>
      </c>
      <c r="M36" s="5"/>
      <c r="N36" s="5"/>
      <c r="O36" s="5"/>
      <c r="P36" s="5"/>
      <c r="Q36" s="5"/>
      <c r="R36" s="5"/>
      <c r="S36" s="5"/>
      <c r="T36" s="6"/>
    </row>
    <row r="37" spans="2:20" x14ac:dyDescent="0.25">
      <c r="B37" s="4"/>
      <c r="C37" s="5">
        <v>0.35699999999999998</v>
      </c>
      <c r="D37" s="5" t="s">
        <v>69</v>
      </c>
      <c r="E37" s="5"/>
      <c r="F37" s="5"/>
      <c r="G37" s="5"/>
      <c r="H37" s="5"/>
      <c r="I37" s="5"/>
      <c r="J37" s="5"/>
      <c r="K37" s="5"/>
      <c r="L37" s="5"/>
      <c r="M37" s="5"/>
      <c r="N37" s="5"/>
      <c r="O37" s="5"/>
      <c r="P37" s="5"/>
      <c r="Q37" s="5"/>
      <c r="R37" s="5"/>
      <c r="S37" s="5"/>
      <c r="T37" s="6"/>
    </row>
    <row r="38" spans="2:20" x14ac:dyDescent="0.25">
      <c r="B38" s="4"/>
      <c r="C38" s="5"/>
      <c r="D38" s="5"/>
      <c r="E38" s="5"/>
      <c r="F38" s="5"/>
      <c r="G38" s="5"/>
      <c r="H38" s="13" t="s">
        <v>150</v>
      </c>
      <c r="I38" s="13"/>
      <c r="J38" s="13"/>
      <c r="K38" s="13"/>
      <c r="L38" s="13"/>
      <c r="M38" s="5"/>
      <c r="N38" s="5"/>
      <c r="O38" s="5"/>
      <c r="P38" s="5"/>
      <c r="Q38" s="5"/>
      <c r="R38" s="5"/>
      <c r="S38" s="5"/>
      <c r="T38" s="6"/>
    </row>
    <row r="39" spans="2:20" x14ac:dyDescent="0.25">
      <c r="B39" s="4"/>
      <c r="C39" s="5"/>
      <c r="D39" s="5"/>
      <c r="E39" s="5"/>
      <c r="F39" s="5"/>
      <c r="G39" s="5">
        <f>E21-E23</f>
        <v>546.4</v>
      </c>
      <c r="H39" s="5">
        <v>1</v>
      </c>
      <c r="I39" s="5">
        <f t="shared" ref="I39:I44" si="25">$G$39*E6</f>
        <v>7194.4487999999983</v>
      </c>
      <c r="J39" s="5" t="s">
        <v>112</v>
      </c>
      <c r="K39" s="5">
        <f>I39/$C$37</f>
        <v>20152.517647058819</v>
      </c>
      <c r="L39" s="5" t="s">
        <v>144</v>
      </c>
      <c r="M39" s="5"/>
      <c r="N39" s="5"/>
      <c r="O39" s="5"/>
      <c r="P39" s="5"/>
      <c r="Q39" s="5"/>
      <c r="R39" s="5"/>
      <c r="S39" s="5"/>
      <c r="T39" s="6"/>
    </row>
    <row r="40" spans="2:20" x14ac:dyDescent="0.25">
      <c r="B40" s="4"/>
      <c r="C40" s="5"/>
      <c r="D40" s="5"/>
      <c r="E40" s="5"/>
      <c r="F40" s="5">
        <f>K31-N31</f>
        <v>1682.9977675598529</v>
      </c>
      <c r="G40" s="5"/>
      <c r="H40" s="5">
        <v>2</v>
      </c>
      <c r="I40" s="5">
        <f t="shared" si="25"/>
        <v>4979.0153599999994</v>
      </c>
      <c r="J40" s="5" t="s">
        <v>112</v>
      </c>
      <c r="K40" s="5">
        <f t="shared" ref="K40:K44" si="26">I40/$C$37</f>
        <v>13946.821736694677</v>
      </c>
      <c r="L40" s="5" t="s">
        <v>144</v>
      </c>
      <c r="M40" s="5"/>
      <c r="N40" s="5"/>
      <c r="O40" s="5"/>
      <c r="P40" s="5"/>
      <c r="Q40" s="5"/>
      <c r="R40" s="5"/>
      <c r="S40" s="5"/>
      <c r="T40" s="6"/>
    </row>
    <row r="41" spans="2:20" x14ac:dyDescent="0.25">
      <c r="B41" s="4"/>
      <c r="C41" s="5"/>
      <c r="D41" s="5"/>
      <c r="E41" s="5"/>
      <c r="F41" s="5">
        <f>K32-N32</f>
        <v>131.57378996881744</v>
      </c>
      <c r="G41" s="5"/>
      <c r="H41" s="5">
        <v>3</v>
      </c>
      <c r="I41" s="5">
        <f t="shared" si="25"/>
        <v>3585.8046399999998</v>
      </c>
      <c r="J41" s="5" t="s">
        <v>112</v>
      </c>
      <c r="K41" s="5">
        <f t="shared" si="26"/>
        <v>10044.270700280113</v>
      </c>
      <c r="L41" s="5" t="s">
        <v>144</v>
      </c>
      <c r="M41" s="5"/>
      <c r="N41" s="5"/>
      <c r="O41" s="5"/>
      <c r="P41" s="5"/>
      <c r="Q41" s="5"/>
      <c r="R41" s="5"/>
      <c r="S41" s="5"/>
      <c r="T41" s="6"/>
    </row>
    <row r="42" spans="2:20" x14ac:dyDescent="0.25">
      <c r="B42" s="4"/>
      <c r="C42" s="5"/>
      <c r="D42" s="5"/>
      <c r="E42" s="5"/>
      <c r="F42" s="5">
        <f>K33-N33</f>
        <v>679.5967316738006</v>
      </c>
      <c r="G42" s="5"/>
      <c r="H42" s="5">
        <v>4</v>
      </c>
      <c r="I42" s="5">
        <f t="shared" si="25"/>
        <v>2717.9028799999996</v>
      </c>
      <c r="J42" s="5" t="s">
        <v>112</v>
      </c>
      <c r="K42" s="5">
        <f t="shared" si="26"/>
        <v>7613.1733333333323</v>
      </c>
      <c r="L42" s="5" t="s">
        <v>144</v>
      </c>
      <c r="M42" s="5"/>
      <c r="N42" s="5"/>
      <c r="O42" s="5"/>
      <c r="P42" s="5"/>
      <c r="Q42" s="5"/>
      <c r="R42" s="5"/>
      <c r="S42" s="5"/>
      <c r="T42" s="6"/>
    </row>
    <row r="43" spans="2:20" x14ac:dyDescent="0.25">
      <c r="B43" s="4"/>
      <c r="C43" s="5"/>
      <c r="D43" s="5"/>
      <c r="E43" s="5"/>
      <c r="F43" s="5">
        <f>K34-N34</f>
        <v>71.822389937107801</v>
      </c>
      <c r="G43" s="5"/>
      <c r="H43" s="5">
        <v>5</v>
      </c>
      <c r="I43" s="5">
        <f t="shared" si="25"/>
        <v>2146.9148799999994</v>
      </c>
      <c r="J43" s="5" t="s">
        <v>112</v>
      </c>
      <c r="K43" s="5">
        <f t="shared" si="26"/>
        <v>6013.7671708683456</v>
      </c>
      <c r="L43" s="5" t="s">
        <v>144</v>
      </c>
      <c r="M43" s="5"/>
      <c r="N43" s="5"/>
      <c r="O43" s="5"/>
      <c r="P43" s="5"/>
      <c r="Q43" s="5"/>
      <c r="R43" s="5"/>
      <c r="S43" s="5"/>
      <c r="T43" s="6"/>
    </row>
    <row r="44" spans="2:20" x14ac:dyDescent="0.25">
      <c r="B44" s="4"/>
      <c r="C44" s="5"/>
      <c r="D44" s="5"/>
      <c r="E44" s="5"/>
      <c r="F44" s="5"/>
      <c r="G44" s="5"/>
      <c r="H44" s="5">
        <v>6</v>
      </c>
      <c r="I44" s="5">
        <f t="shared" si="25"/>
        <v>1735.8035199999997</v>
      </c>
      <c r="J44" s="5" t="s">
        <v>112</v>
      </c>
      <c r="K44" s="5">
        <f t="shared" si="26"/>
        <v>4862.194733893557</v>
      </c>
      <c r="L44" s="5" t="s">
        <v>144</v>
      </c>
      <c r="M44" s="5"/>
      <c r="N44" s="5"/>
      <c r="O44" s="5"/>
      <c r="P44" s="5"/>
      <c r="Q44" s="5"/>
      <c r="R44" s="5"/>
      <c r="S44" s="5"/>
      <c r="T44" s="6"/>
    </row>
    <row r="45" spans="2:20" x14ac:dyDescent="0.25">
      <c r="B45" s="4"/>
      <c r="C45" s="5"/>
      <c r="D45" s="5"/>
      <c r="E45" s="5"/>
      <c r="F45" s="5"/>
      <c r="G45" s="5"/>
      <c r="H45" s="5"/>
      <c r="I45" s="5"/>
      <c r="J45" s="5"/>
      <c r="K45" s="5"/>
      <c r="L45" s="5"/>
      <c r="M45" s="5"/>
      <c r="N45" s="5"/>
      <c r="O45" s="5"/>
      <c r="P45" s="5"/>
      <c r="Q45" s="5"/>
      <c r="R45" s="5"/>
      <c r="S45" s="5"/>
      <c r="T45" s="6"/>
    </row>
    <row r="46" spans="2:20" x14ac:dyDescent="0.25">
      <c r="B46" s="4"/>
      <c r="C46" s="5"/>
      <c r="D46" s="5"/>
      <c r="E46" s="5"/>
      <c r="F46" s="5"/>
      <c r="G46" s="5"/>
      <c r="H46" s="5"/>
      <c r="I46" s="5"/>
      <c r="J46" s="5"/>
      <c r="K46" s="5"/>
      <c r="L46" s="5"/>
      <c r="M46" s="5"/>
      <c r="N46" s="5"/>
      <c r="O46" s="5"/>
      <c r="P46" s="5"/>
      <c r="Q46" s="5"/>
      <c r="R46" s="5"/>
      <c r="S46" s="5"/>
      <c r="T46" s="6"/>
    </row>
    <row r="47" spans="2:20" x14ac:dyDescent="0.25">
      <c r="B47" s="4"/>
      <c r="C47" s="5"/>
      <c r="D47" s="5"/>
      <c r="E47" s="5"/>
      <c r="F47" s="5"/>
      <c r="G47" s="5"/>
      <c r="H47" s="5"/>
      <c r="I47" s="5"/>
      <c r="J47" s="5"/>
      <c r="K47" s="5"/>
      <c r="L47" s="5"/>
      <c r="M47" s="5"/>
      <c r="N47" s="5"/>
      <c r="O47" s="5"/>
      <c r="P47" s="5"/>
      <c r="Q47" s="5"/>
      <c r="R47" s="5"/>
      <c r="S47" s="5"/>
      <c r="T47" s="6"/>
    </row>
    <row r="48" spans="2:20" x14ac:dyDescent="0.25">
      <c r="B48" s="4"/>
      <c r="C48" s="5" t="s">
        <v>0</v>
      </c>
      <c r="D48" s="5">
        <v>1880</v>
      </c>
      <c r="E48" s="5" t="s">
        <v>16</v>
      </c>
      <c r="F48" s="5" t="s">
        <v>143</v>
      </c>
      <c r="G48" s="5">
        <v>150</v>
      </c>
      <c r="H48" s="5"/>
      <c r="I48" s="5"/>
      <c r="J48" s="5"/>
      <c r="K48" s="5"/>
      <c r="L48" s="5"/>
      <c r="M48" s="5"/>
      <c r="N48" s="5"/>
      <c r="O48" s="5"/>
      <c r="P48" s="5"/>
      <c r="Q48" s="5"/>
      <c r="R48" s="5"/>
      <c r="S48" s="5"/>
      <c r="T48" s="6"/>
    </row>
    <row r="49" spans="2:20" x14ac:dyDescent="0.25">
      <c r="B49" s="14">
        <v>0.47</v>
      </c>
      <c r="C49" s="5" t="s">
        <v>20</v>
      </c>
      <c r="D49" s="5">
        <f>D48*B49*9.81</f>
        <v>8668.116</v>
      </c>
      <c r="E49" s="5" t="s">
        <v>144</v>
      </c>
      <c r="F49" s="5"/>
      <c r="G49" s="5"/>
      <c r="H49" s="5"/>
      <c r="I49" s="5"/>
      <c r="J49" s="5"/>
      <c r="K49" s="5"/>
      <c r="L49" s="5"/>
      <c r="M49" s="5"/>
      <c r="N49" s="5"/>
      <c r="O49" s="5"/>
      <c r="P49" s="5"/>
      <c r="Q49" s="5"/>
      <c r="R49" s="5"/>
      <c r="S49" s="5"/>
      <c r="T49" s="6"/>
    </row>
    <row r="50" spans="2:20" x14ac:dyDescent="0.25">
      <c r="B50" s="14">
        <v>0.53</v>
      </c>
      <c r="C50" s="5" t="s">
        <v>21</v>
      </c>
      <c r="D50" s="5">
        <f>B50*D48*9.81</f>
        <v>9774.6840000000011</v>
      </c>
      <c r="E50" s="5" t="s">
        <v>144</v>
      </c>
      <c r="F50" s="5"/>
      <c r="G50" s="5"/>
      <c r="H50" s="5"/>
      <c r="I50" s="5"/>
      <c r="J50" s="5"/>
      <c r="K50" s="5"/>
      <c r="L50" s="5"/>
      <c r="M50" s="5"/>
      <c r="N50" s="5"/>
      <c r="O50" s="5"/>
      <c r="P50" s="5"/>
      <c r="Q50" s="5"/>
      <c r="R50" s="5"/>
      <c r="S50" s="5"/>
      <c r="T50" s="6"/>
    </row>
    <row r="51" spans="2:20" x14ac:dyDescent="0.25">
      <c r="B51" s="4"/>
      <c r="C51" s="5"/>
      <c r="D51" s="5"/>
      <c r="E51" s="5"/>
      <c r="F51" s="5"/>
      <c r="G51" s="5"/>
      <c r="H51" s="5"/>
      <c r="I51" s="5"/>
      <c r="J51" s="5"/>
      <c r="K51" s="5"/>
      <c r="L51" s="5"/>
      <c r="M51" s="5"/>
      <c r="N51" s="5"/>
      <c r="O51" s="5"/>
      <c r="P51" s="5"/>
      <c r="Q51" s="5"/>
      <c r="R51" s="5"/>
      <c r="S51" s="5"/>
      <c r="T51" s="6"/>
    </row>
    <row r="52" spans="2:20" x14ac:dyDescent="0.25">
      <c r="B52" s="15"/>
      <c r="C52" s="16"/>
      <c r="D52" s="16"/>
      <c r="E52" s="16"/>
      <c r="F52" s="16" t="s">
        <v>146</v>
      </c>
      <c r="G52" s="16" t="s">
        <v>145</v>
      </c>
      <c r="H52" s="16" t="s">
        <v>146</v>
      </c>
      <c r="I52" s="16" t="s">
        <v>145</v>
      </c>
      <c r="J52" s="16" t="s">
        <v>154</v>
      </c>
      <c r="K52" s="5"/>
      <c r="L52" s="5"/>
      <c r="M52" s="5"/>
      <c r="N52" s="5" t="s">
        <v>156</v>
      </c>
      <c r="O52" s="5"/>
      <c r="P52" s="5" t="s">
        <v>157</v>
      </c>
      <c r="Q52" s="5"/>
      <c r="R52" s="5" t="s">
        <v>158</v>
      </c>
      <c r="S52" s="5"/>
      <c r="T52" s="6"/>
    </row>
    <row r="53" spans="2:20" x14ac:dyDescent="0.25">
      <c r="B53" s="15" t="s">
        <v>162</v>
      </c>
      <c r="C53" s="16"/>
      <c r="D53" s="16"/>
      <c r="E53" s="16" t="s">
        <v>155</v>
      </c>
      <c r="F53" s="16" t="s">
        <v>159</v>
      </c>
      <c r="G53" s="16" t="s">
        <v>161</v>
      </c>
      <c r="H53" s="16" t="s">
        <v>160</v>
      </c>
      <c r="I53" s="16" t="s">
        <v>161</v>
      </c>
      <c r="J53" s="16" t="s">
        <v>22</v>
      </c>
      <c r="K53" s="5"/>
      <c r="L53" s="5"/>
      <c r="M53" s="5"/>
      <c r="N53" s="5"/>
      <c r="O53" s="5"/>
      <c r="P53" s="5"/>
      <c r="Q53" s="5"/>
      <c r="R53" s="5"/>
      <c r="S53" s="5"/>
      <c r="T53" s="6"/>
    </row>
    <row r="54" spans="2:20" x14ac:dyDescent="0.25">
      <c r="B54" s="15"/>
      <c r="C54" s="16"/>
      <c r="D54" s="16"/>
      <c r="E54" s="16"/>
      <c r="F54" s="16"/>
      <c r="G54" s="16"/>
      <c r="H54" s="16"/>
      <c r="I54" s="16"/>
      <c r="J54" s="16"/>
      <c r="K54" s="5"/>
      <c r="L54" s="5"/>
      <c r="M54" s="5"/>
      <c r="N54" s="5"/>
      <c r="O54" s="5"/>
      <c r="P54" s="5"/>
      <c r="Q54" s="5"/>
      <c r="R54" s="5"/>
      <c r="S54" s="5"/>
      <c r="T54" s="6"/>
    </row>
    <row r="55" spans="2:20" x14ac:dyDescent="0.25">
      <c r="B55" s="15" t="s">
        <v>139</v>
      </c>
      <c r="C55" s="16"/>
      <c r="D55" s="16"/>
      <c r="E55" s="16">
        <v>1</v>
      </c>
      <c r="F55" s="17">
        <f>$B$56*(K31+$D$50)</f>
        <v>3496.5331058823526</v>
      </c>
      <c r="G55" s="17">
        <f>F55/$D$48</f>
        <v>1.8598580350438045</v>
      </c>
      <c r="H55" s="17">
        <f>(N31+$D$49+$D$50)*$B$56</f>
        <v>4195.0449291263676</v>
      </c>
      <c r="I55" s="17">
        <f>H55/$D$48</f>
        <v>2.2314068771948765</v>
      </c>
      <c r="J55" s="17">
        <f>((H55-F55)/((H55+F55)/2))*100</f>
        <v>18.163030266733113</v>
      </c>
      <c r="K55" s="5" t="s">
        <v>22</v>
      </c>
      <c r="L55" s="5"/>
      <c r="M55" s="5"/>
      <c r="N55" s="5">
        <f>((K31-F55)/((K31+F55)/2))*100</f>
        <v>151.24605366150035</v>
      </c>
      <c r="O55" s="5" t="s">
        <v>22</v>
      </c>
      <c r="P55" s="5">
        <f>((N31-H55)/((N31+H55)/2))*100</f>
        <v>139.42762540347161</v>
      </c>
      <c r="Q55" s="5" t="s">
        <v>22</v>
      </c>
      <c r="R55" s="5">
        <f>N55-P55</f>
        <v>11.818428258028746</v>
      </c>
      <c r="S55" s="5" t="s">
        <v>22</v>
      </c>
      <c r="T55" s="6"/>
    </row>
    <row r="56" spans="2:20" x14ac:dyDescent="0.25">
      <c r="B56" s="15">
        <v>0.1</v>
      </c>
      <c r="C56" s="16"/>
      <c r="D56" s="16"/>
      <c r="E56" s="16">
        <v>2</v>
      </c>
      <c r="F56" s="17">
        <f>$B$56*(K32+$D$50)</f>
        <v>2720.8211170868349</v>
      </c>
      <c r="G56" s="17">
        <f t="shared" ref="G56:G58" si="27">F56/$D$48</f>
        <v>1.4472452750461888</v>
      </c>
      <c r="H56" s="17">
        <f>(N32+$D$49+$D$50)*$B$56</f>
        <v>3574.4753380899529</v>
      </c>
      <c r="I56" s="17">
        <f t="shared" ref="I56:I58" si="28">H56/$D$48</f>
        <v>1.9013166691967833</v>
      </c>
      <c r="J56" s="17">
        <f>((H56-F56)/((H56+F56)/2))*100</f>
        <v>27.120381925814968</v>
      </c>
      <c r="K56" s="5" t="s">
        <v>22</v>
      </c>
      <c r="L56" s="5"/>
      <c r="M56" s="5"/>
      <c r="N56" s="5">
        <f>((K32-F56)/((K32+F56)/2))*100</f>
        <v>146.00031560012533</v>
      </c>
      <c r="O56" s="5" t="s">
        <v>22</v>
      </c>
      <c r="P56" s="5">
        <f>((N32-H56)/((N32+H56)/2))*100</f>
        <v>131.51174683745478</v>
      </c>
      <c r="Q56" s="5" t="s">
        <v>22</v>
      </c>
      <c r="R56" s="5">
        <f t="shared" ref="R56:R58" si="29">N56-P56</f>
        <v>14.488568762670553</v>
      </c>
      <c r="S56" s="5" t="s">
        <v>22</v>
      </c>
      <c r="T56" s="6"/>
    </row>
    <row r="57" spans="2:20" x14ac:dyDescent="0.25">
      <c r="B57" s="15"/>
      <c r="C57" s="16"/>
      <c r="D57" s="16"/>
      <c r="E57" s="16">
        <v>3</v>
      </c>
      <c r="F57" s="17">
        <f>$B$56*(K33+$D$50)</f>
        <v>2233.002237535014</v>
      </c>
      <c r="G57" s="17">
        <f t="shared" si="27"/>
        <v>1.1877671476250076</v>
      </c>
      <c r="H57" s="17">
        <f>(N33+$D$49+$D$50)*$B$56</f>
        <v>3031.8541643676344</v>
      </c>
      <c r="I57" s="17">
        <f t="shared" si="28"/>
        <v>1.6126883853019331</v>
      </c>
      <c r="J57" s="17">
        <f>((H57-F57)/((H57+F57)/2))*100</f>
        <v>30.346579881796053</v>
      </c>
      <c r="K57" s="5" t="s">
        <v>22</v>
      </c>
      <c r="L57" s="5"/>
      <c r="M57" s="5"/>
      <c r="N57" s="5">
        <f>((K33-F57)/((K33+F57)/2))*100</f>
        <v>139.60100606313088</v>
      </c>
      <c r="O57" s="5" t="s">
        <v>22</v>
      </c>
      <c r="P57" s="5">
        <f>((N33-H57)/((N33+H57)/2))*100</f>
        <v>118.6494132680555</v>
      </c>
      <c r="Q57" s="5" t="s">
        <v>22</v>
      </c>
      <c r="R57" s="5">
        <f t="shared" si="29"/>
        <v>20.951592795075385</v>
      </c>
      <c r="S57" s="5" t="s">
        <v>22</v>
      </c>
      <c r="T57" s="6"/>
    </row>
    <row r="58" spans="2:20" x14ac:dyDescent="0.25">
      <c r="B58" s="15"/>
      <c r="C58" s="16"/>
      <c r="D58" s="16"/>
      <c r="E58" s="16">
        <v>4</v>
      </c>
      <c r="F58" s="17">
        <f>$B$56*(K34+$D$50)</f>
        <v>1929.115066666667</v>
      </c>
      <c r="G58" s="17">
        <f t="shared" si="27"/>
        <v>1.026125035460993</v>
      </c>
      <c r="H58" s="17">
        <f>(N34+$D$49+$D$50)*$B$56</f>
        <v>2788.7444276729566</v>
      </c>
      <c r="I58" s="17">
        <f t="shared" si="28"/>
        <v>1.4833746955707217</v>
      </c>
      <c r="J58" s="17">
        <f>((H58-F58)/((H58+F58)/2))*100</f>
        <v>36.441499033095518</v>
      </c>
      <c r="K58" s="5" t="s">
        <v>22</v>
      </c>
      <c r="L58" s="5"/>
      <c r="M58" s="5"/>
      <c r="N58" s="5">
        <f>((K34-F58)/((K34+F58)/2))*100</f>
        <v>132.58131874421224</v>
      </c>
      <c r="O58" s="5" t="s">
        <v>22</v>
      </c>
      <c r="P58" s="5">
        <f>((N34-H58)/((N34+H58)/2))*100</f>
        <v>108.81530882217938</v>
      </c>
      <c r="Q58" s="5" t="s">
        <v>22</v>
      </c>
      <c r="R58" s="5">
        <f t="shared" si="29"/>
        <v>23.766009922032865</v>
      </c>
      <c r="S58" s="5" t="s">
        <v>22</v>
      </c>
      <c r="T58" s="6"/>
    </row>
    <row r="59" spans="2:20" x14ac:dyDescent="0.25">
      <c r="B59" s="15"/>
      <c r="C59" s="16"/>
      <c r="D59" s="16"/>
      <c r="E59" s="16"/>
      <c r="F59" s="17"/>
      <c r="G59" s="17"/>
      <c r="H59" s="17"/>
      <c r="I59" s="17"/>
      <c r="J59" s="17"/>
      <c r="K59" s="5"/>
      <c r="L59" s="5"/>
      <c r="M59" s="5"/>
      <c r="N59" s="5"/>
      <c r="O59" s="5"/>
      <c r="P59" s="5"/>
      <c r="Q59" s="5"/>
      <c r="R59" s="5"/>
      <c r="S59" s="5"/>
      <c r="T59" s="6"/>
    </row>
    <row r="60" spans="2:20" x14ac:dyDescent="0.25">
      <c r="B60" s="15" t="s">
        <v>142</v>
      </c>
      <c r="C60" s="16"/>
      <c r="D60" s="16"/>
      <c r="E60" s="16">
        <v>1</v>
      </c>
      <c r="F60" s="17">
        <f>$B$61*(K31+$D$50)</f>
        <v>31468.797952941175</v>
      </c>
      <c r="G60" s="17">
        <f>F60/$D$48</f>
        <v>16.738722315394241</v>
      </c>
      <c r="H60" s="17">
        <f>$B$61*($D$49+$D$50+N31)</f>
        <v>37755.404362137313</v>
      </c>
      <c r="I60" s="17">
        <f>H60/$D$48</f>
        <v>20.08266189475389</v>
      </c>
      <c r="J60" s="17">
        <f>((H60-F60)/((H60+F60)/2))*100</f>
        <v>18.16303026673312</v>
      </c>
      <c r="K60" s="5" t="s">
        <v>22</v>
      </c>
      <c r="L60" s="5"/>
      <c r="M60" s="5"/>
      <c r="N60" s="5"/>
      <c r="O60" s="5"/>
      <c r="P60" s="5"/>
      <c r="Q60" s="5"/>
      <c r="R60" s="5"/>
      <c r="S60" s="5"/>
      <c r="T60" s="6"/>
    </row>
    <row r="61" spans="2:20" x14ac:dyDescent="0.25">
      <c r="B61" s="15">
        <v>0.9</v>
      </c>
      <c r="C61" s="16"/>
      <c r="D61" s="16"/>
      <c r="E61" s="16">
        <v>2</v>
      </c>
      <c r="F61" s="17">
        <f>$B$61*(K32+$D$50)</f>
        <v>24487.390053781513</v>
      </c>
      <c r="G61" s="17">
        <f t="shared" ref="G61:G63" si="30">F61/$D$48</f>
        <v>13.025207475415698</v>
      </c>
      <c r="H61" s="17">
        <f>$B$61*($D$49+$D$50+N32)</f>
        <v>32170.278042809583</v>
      </c>
      <c r="I61" s="17">
        <f t="shared" ref="I61:I63" si="31">H61/$D$48</f>
        <v>17.111850022771055</v>
      </c>
      <c r="J61" s="17">
        <f>((H61-F61)/((H61+F61)/2))*100</f>
        <v>27.120381925814996</v>
      </c>
      <c r="K61" s="5" t="s">
        <v>22</v>
      </c>
      <c r="L61" s="5"/>
      <c r="M61" s="5"/>
      <c r="N61" s="5"/>
      <c r="O61" s="5"/>
      <c r="P61" s="5"/>
      <c r="Q61" s="5"/>
      <c r="R61" s="5"/>
      <c r="S61" s="5"/>
      <c r="T61" s="6"/>
    </row>
    <row r="62" spans="2:20" x14ac:dyDescent="0.25">
      <c r="B62" s="15"/>
      <c r="C62" s="16"/>
      <c r="D62" s="16"/>
      <c r="E62" s="16">
        <v>3</v>
      </c>
      <c r="F62" s="17">
        <f>$B$61*(K33+$D$50)</f>
        <v>20097.020137815129</v>
      </c>
      <c r="G62" s="17">
        <f t="shared" si="30"/>
        <v>10.689904328625069</v>
      </c>
      <c r="H62" s="17">
        <f>$B$61*($D$49+$D$50+N33)</f>
        <v>27286.687479308708</v>
      </c>
      <c r="I62" s="17">
        <f t="shared" si="31"/>
        <v>14.514195467717398</v>
      </c>
      <c r="J62" s="17">
        <f>((H62-F62)/((H62+F62)/2))*100</f>
        <v>30.346579881796039</v>
      </c>
      <c r="K62" s="5" t="s">
        <v>22</v>
      </c>
      <c r="L62" s="5"/>
      <c r="M62" s="5"/>
      <c r="N62" s="5"/>
      <c r="O62" s="5"/>
      <c r="P62" s="5"/>
      <c r="Q62" s="5"/>
      <c r="R62" s="5"/>
      <c r="S62" s="5"/>
      <c r="T62" s="6"/>
    </row>
    <row r="63" spans="2:20" x14ac:dyDescent="0.25">
      <c r="B63" s="15"/>
      <c r="C63" s="16"/>
      <c r="D63" s="16"/>
      <c r="E63" s="16">
        <v>4</v>
      </c>
      <c r="F63" s="17">
        <f>$B$61*(K34+$D$50)</f>
        <v>17362.035600000003</v>
      </c>
      <c r="G63" s="17">
        <f t="shared" si="30"/>
        <v>9.2351253191489384</v>
      </c>
      <c r="H63" s="17">
        <f>$B$61*($D$49+$D$50+N34)</f>
        <v>25098.699849056607</v>
      </c>
      <c r="I63" s="17">
        <f t="shared" si="31"/>
        <v>13.350372260136494</v>
      </c>
      <c r="J63" s="17">
        <f>((H63-F63)/((H63+F63)/2))*100</f>
        <v>36.441499033095518</v>
      </c>
      <c r="K63" s="5" t="s">
        <v>22</v>
      </c>
      <c r="L63" s="5"/>
      <c r="M63" s="5"/>
      <c r="N63" s="5"/>
      <c r="O63" s="5"/>
      <c r="P63" s="5"/>
      <c r="Q63" s="5"/>
      <c r="R63" s="5"/>
      <c r="S63" s="5"/>
      <c r="T63" s="6"/>
    </row>
    <row r="64" spans="2:20" x14ac:dyDescent="0.25">
      <c r="B64" s="15"/>
      <c r="C64" s="16"/>
      <c r="D64" s="16"/>
      <c r="E64" s="16"/>
      <c r="F64" s="17"/>
      <c r="G64" s="17"/>
      <c r="H64" s="17"/>
      <c r="I64" s="17"/>
      <c r="J64" s="17"/>
      <c r="K64" s="5"/>
      <c r="L64" s="5"/>
      <c r="M64" s="5"/>
      <c r="N64" s="5"/>
      <c r="O64" s="5"/>
      <c r="P64" s="5"/>
      <c r="Q64" s="5"/>
      <c r="R64" s="5"/>
      <c r="S64" s="5"/>
      <c r="T64" s="6"/>
    </row>
    <row r="65" spans="2:20" x14ac:dyDescent="0.25">
      <c r="B65" s="15" t="s">
        <v>140</v>
      </c>
      <c r="C65" s="16"/>
      <c r="D65" s="16"/>
      <c r="E65" s="16">
        <v>1</v>
      </c>
      <c r="F65" s="17">
        <f>$B$66*(K31+$D$50)</f>
        <v>10489.599317647057</v>
      </c>
      <c r="G65" s="17">
        <f>F65/$D$48</f>
        <v>5.5795741051314129</v>
      </c>
      <c r="H65" s="17">
        <f>$B$66*($D$49+$D$50+N31)</f>
        <v>12585.134787379104</v>
      </c>
      <c r="I65" s="17">
        <f>H65/$D$48</f>
        <v>6.6942206315846295</v>
      </c>
      <c r="J65" s="17">
        <f>((H65-F65)/((H65+F65)/2))*100</f>
        <v>18.163030266733134</v>
      </c>
      <c r="K65" s="5" t="s">
        <v>22</v>
      </c>
      <c r="L65" s="5"/>
      <c r="M65" s="5"/>
      <c r="N65" s="5"/>
      <c r="O65" s="5"/>
      <c r="P65" s="5"/>
      <c r="Q65" s="5"/>
      <c r="R65" s="5"/>
      <c r="S65" s="5"/>
      <c r="T65" s="6"/>
    </row>
    <row r="66" spans="2:20" x14ac:dyDescent="0.25">
      <c r="B66" s="15">
        <v>0.3</v>
      </c>
      <c r="C66" s="16"/>
      <c r="D66" s="16"/>
      <c r="E66" s="16">
        <v>2</v>
      </c>
      <c r="F66" s="17">
        <f>$B$66*(K32+$D$50)</f>
        <v>8162.4633512605042</v>
      </c>
      <c r="G66" s="17">
        <f t="shared" ref="G66:G68" si="32">F66/$D$48</f>
        <v>4.3417358251385663</v>
      </c>
      <c r="H66" s="17">
        <f>$B$66*($D$49+$D$50+N32)</f>
        <v>10723.42601426986</v>
      </c>
      <c r="I66" s="17">
        <f t="shared" ref="I66:I68" si="33">H66/$D$48</f>
        <v>5.7039500075903513</v>
      </c>
      <c r="J66" s="17">
        <f>((H66-F66)/((H66+F66)/2))*100</f>
        <v>27.120381925814989</v>
      </c>
      <c r="K66" s="5" t="s">
        <v>22</v>
      </c>
      <c r="L66" s="5"/>
      <c r="M66" s="5"/>
      <c r="N66" s="5"/>
      <c r="O66" s="5"/>
      <c r="P66" s="5"/>
      <c r="Q66" s="5"/>
      <c r="R66" s="5"/>
      <c r="S66" s="5"/>
      <c r="T66" s="6"/>
    </row>
    <row r="67" spans="2:20" x14ac:dyDescent="0.25">
      <c r="B67" s="15"/>
      <c r="C67" s="16"/>
      <c r="D67" s="16"/>
      <c r="E67" s="16">
        <v>3</v>
      </c>
      <c r="F67" s="17">
        <f>$B$66*(K33+$D$50)</f>
        <v>6699.0067126050426</v>
      </c>
      <c r="G67" s="17">
        <f t="shared" si="32"/>
        <v>3.5633014428750225</v>
      </c>
      <c r="H67" s="17">
        <f>$B$66*($D$49+$D$50+N33)</f>
        <v>9095.5624931029015</v>
      </c>
      <c r="I67" s="17">
        <f t="shared" si="33"/>
        <v>4.8380651559057988</v>
      </c>
      <c r="J67" s="17">
        <f>((H67-F67)/((H67+F67)/2))*100</f>
        <v>30.346579881796032</v>
      </c>
      <c r="K67" s="5" t="s">
        <v>22</v>
      </c>
      <c r="L67" s="5"/>
      <c r="M67" s="5"/>
      <c r="N67" s="5"/>
      <c r="O67" s="5"/>
      <c r="P67" s="5"/>
      <c r="Q67" s="5"/>
      <c r="R67" s="5"/>
      <c r="S67" s="5"/>
      <c r="T67" s="6"/>
    </row>
    <row r="68" spans="2:20" x14ac:dyDescent="0.25">
      <c r="B68" s="15"/>
      <c r="C68" s="16"/>
      <c r="D68" s="16"/>
      <c r="E68" s="16">
        <v>4</v>
      </c>
      <c r="F68" s="17">
        <f>$B$66*(K34+$D$50)</f>
        <v>5787.3452000000007</v>
      </c>
      <c r="G68" s="17">
        <f t="shared" si="32"/>
        <v>3.0783751063829792</v>
      </c>
      <c r="H68" s="17">
        <f>$B$66*($D$49+$D$50+N34)</f>
        <v>8366.233283018868</v>
      </c>
      <c r="I68" s="17">
        <f t="shared" si="33"/>
        <v>4.4501240867121634</v>
      </c>
      <c r="J68" s="17">
        <f>((H68-F68)/((H68+F68)/2))*100</f>
        <v>36.441499033095511</v>
      </c>
      <c r="K68" s="5" t="s">
        <v>22</v>
      </c>
      <c r="L68" s="5"/>
      <c r="M68" s="5"/>
      <c r="N68" s="5"/>
      <c r="O68" s="5"/>
      <c r="P68" s="5"/>
      <c r="Q68" s="5"/>
      <c r="R68" s="5"/>
      <c r="S68" s="5"/>
      <c r="T68" s="6"/>
    </row>
    <row r="69" spans="2:20" x14ac:dyDescent="0.25">
      <c r="B69" s="15"/>
      <c r="C69" s="16"/>
      <c r="D69" s="16"/>
      <c r="E69" s="16"/>
      <c r="F69" s="17"/>
      <c r="G69" s="17"/>
      <c r="H69" s="17"/>
      <c r="I69" s="17"/>
      <c r="J69" s="17"/>
      <c r="K69" s="5"/>
      <c r="L69" s="5"/>
      <c r="M69" s="5"/>
      <c r="N69" s="5"/>
      <c r="O69" s="5"/>
      <c r="P69" s="5"/>
      <c r="Q69" s="5"/>
      <c r="R69" s="5"/>
      <c r="S69" s="5"/>
      <c r="T69" s="6"/>
    </row>
    <row r="70" spans="2:20" x14ac:dyDescent="0.25">
      <c r="B70" s="15" t="s">
        <v>141</v>
      </c>
      <c r="C70" s="16"/>
      <c r="D70" s="16"/>
      <c r="E70" s="16">
        <v>1</v>
      </c>
      <c r="F70" s="17">
        <f>$B$71*(K31+$D$50)</f>
        <v>17482.665529411763</v>
      </c>
      <c r="G70" s="17">
        <f>F70/$D$48</f>
        <v>9.2992901752190225</v>
      </c>
      <c r="H70" s="17">
        <f>$B$71*($D$49+$D$50+N31)</f>
        <v>20975.224645631839</v>
      </c>
      <c r="I70" s="17">
        <f>H70/$D$48</f>
        <v>11.157034385974383</v>
      </c>
      <c r="J70" s="17">
        <f>((H70-F70)/((H70+F70)/2))*100</f>
        <v>18.16303026673312</v>
      </c>
      <c r="K70" s="5" t="s">
        <v>22</v>
      </c>
      <c r="L70" s="5"/>
      <c r="M70" s="5"/>
      <c r="N70" s="5"/>
      <c r="O70" s="5"/>
      <c r="P70" s="5"/>
      <c r="Q70" s="5"/>
      <c r="R70" s="5"/>
      <c r="S70" s="5"/>
      <c r="T70" s="6"/>
    </row>
    <row r="71" spans="2:20" x14ac:dyDescent="0.25">
      <c r="B71" s="15">
        <v>0.5</v>
      </c>
      <c r="C71" s="16"/>
      <c r="D71" s="16"/>
      <c r="E71" s="16">
        <v>2</v>
      </c>
      <c r="F71" s="17">
        <f>$B$71*(K32+$D$50)</f>
        <v>13604.105585434174</v>
      </c>
      <c r="G71" s="17">
        <f t="shared" ref="G71:G73" si="34">F71/$D$48</f>
        <v>7.2362263752309435</v>
      </c>
      <c r="H71" s="17">
        <f>$B$71*($D$49+$D$50+N32)</f>
        <v>17872.376690449768</v>
      </c>
      <c r="I71" s="17">
        <f t="shared" ref="I71:I73" si="35">H71/$D$48</f>
        <v>9.5065833459839197</v>
      </c>
      <c r="J71" s="17">
        <f>((H71-F71)/((H71+F71)/2))*100</f>
        <v>27.120381925814989</v>
      </c>
      <c r="K71" s="5" t="s">
        <v>22</v>
      </c>
      <c r="L71" s="5"/>
      <c r="M71" s="5"/>
      <c r="N71" s="5"/>
      <c r="O71" s="5"/>
      <c r="P71" s="5"/>
      <c r="Q71" s="5"/>
      <c r="R71" s="5"/>
      <c r="S71" s="5"/>
      <c r="T71" s="6"/>
    </row>
    <row r="72" spans="2:20" x14ac:dyDescent="0.25">
      <c r="B72" s="15"/>
      <c r="C72" s="16"/>
      <c r="D72" s="16"/>
      <c r="E72" s="16">
        <v>3</v>
      </c>
      <c r="F72" s="17">
        <f>$B$71*(K33+$D$50)</f>
        <v>11165.011187675071</v>
      </c>
      <c r="G72" s="17">
        <f t="shared" si="34"/>
        <v>5.9388357381250376</v>
      </c>
      <c r="H72" s="17">
        <f>$B$71*($D$49+$D$50+N33)</f>
        <v>15159.27082183817</v>
      </c>
      <c r="I72" s="17">
        <f t="shared" si="35"/>
        <v>8.0634419265096646</v>
      </c>
      <c r="J72" s="17">
        <f>((H72-F72)/((H72+F72)/2))*100</f>
        <v>30.346579881796039</v>
      </c>
      <c r="K72" s="5" t="s">
        <v>22</v>
      </c>
      <c r="L72" s="5"/>
      <c r="M72" s="5"/>
      <c r="N72" s="5"/>
      <c r="O72" s="5"/>
      <c r="P72" s="5"/>
      <c r="Q72" s="5"/>
      <c r="R72" s="5"/>
      <c r="S72" s="5"/>
      <c r="T72" s="6"/>
    </row>
    <row r="73" spans="2:20" x14ac:dyDescent="0.25">
      <c r="B73" s="15"/>
      <c r="C73" s="16"/>
      <c r="D73" s="16"/>
      <c r="E73" s="16">
        <v>4</v>
      </c>
      <c r="F73" s="17">
        <f>$B$71*(K34+$D$50)</f>
        <v>9645.5753333333341</v>
      </c>
      <c r="G73" s="17">
        <f t="shared" si="34"/>
        <v>5.1306251773049647</v>
      </c>
      <c r="H73" s="17">
        <f>$B$71*($D$49+$D$50+N34)</f>
        <v>13943.722138364781</v>
      </c>
      <c r="I73" s="17">
        <f t="shared" si="35"/>
        <v>7.4168734778536072</v>
      </c>
      <c r="J73" s="17">
        <f>((H73-F73)/((H73+F73)/2))*100</f>
        <v>36.441499033095518</v>
      </c>
      <c r="K73" s="5" t="s">
        <v>22</v>
      </c>
      <c r="L73" s="5"/>
      <c r="M73" s="5"/>
      <c r="N73" s="5"/>
      <c r="O73" s="5"/>
      <c r="P73" s="5"/>
      <c r="Q73" s="5"/>
      <c r="R73" s="5"/>
      <c r="S73" s="5"/>
      <c r="T73" s="6"/>
    </row>
    <row r="74" spans="2:20" ht="15.75" thickBot="1" x14ac:dyDescent="0.3">
      <c r="B74" s="7"/>
      <c r="C74" s="8"/>
      <c r="D74" s="8"/>
      <c r="E74" s="8"/>
      <c r="F74" s="8"/>
      <c r="G74" s="8"/>
      <c r="H74" s="8"/>
      <c r="I74" s="8"/>
      <c r="J74" s="8"/>
      <c r="K74" s="8"/>
      <c r="L74" s="8"/>
      <c r="M74" s="8"/>
      <c r="N74" s="8"/>
      <c r="O74" s="8"/>
      <c r="P74" s="8"/>
      <c r="Q74" s="8"/>
      <c r="R74" s="8"/>
      <c r="S74" s="8"/>
      <c r="T74" s="9"/>
    </row>
  </sheetData>
  <mergeCells count="6">
    <mergeCell ref="B4:K4"/>
    <mergeCell ref="P30:R30"/>
    <mergeCell ref="H30:L30"/>
    <mergeCell ref="H38:L38"/>
    <mergeCell ref="C30:E30"/>
    <mergeCell ref="M30:O30"/>
  </mergeCells>
  <pageMargins left="0.7" right="0.7" top="0.75" bottom="0.75" header="0.3" footer="0.3"/>
  <ignoredErrors>
    <ignoredError sqref="H55:H7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7775A-F98A-4336-8EF4-7D932754CA91}">
  <dimension ref="A2:I21"/>
  <sheetViews>
    <sheetView workbookViewId="0">
      <selection activeCell="F23" sqref="F23"/>
    </sheetView>
  </sheetViews>
  <sheetFormatPr defaultRowHeight="15" x14ac:dyDescent="0.25"/>
  <cols>
    <col min="2" max="2" width="31.42578125" bestFit="1" customWidth="1"/>
    <col min="7" max="7" width="17.42578125" bestFit="1" customWidth="1"/>
  </cols>
  <sheetData>
    <row r="2" spans="1:9" x14ac:dyDescent="0.25">
      <c r="A2" t="s">
        <v>190</v>
      </c>
      <c r="B2">
        <v>50</v>
      </c>
      <c r="C2" t="s">
        <v>178</v>
      </c>
      <c r="D2" t="s">
        <v>11</v>
      </c>
      <c r="E2">
        <v>0.6</v>
      </c>
      <c r="F2" t="s">
        <v>69</v>
      </c>
      <c r="G2" t="s">
        <v>66</v>
      </c>
      <c r="H2">
        <v>4199.300548905263</v>
      </c>
      <c r="I2" t="s">
        <v>68</v>
      </c>
    </row>
    <row r="3" spans="1:9" x14ac:dyDescent="0.25">
      <c r="A3" t="s">
        <v>189</v>
      </c>
      <c r="B3">
        <v>25</v>
      </c>
      <c r="C3" t="s">
        <v>69</v>
      </c>
      <c r="D3" t="s">
        <v>188</v>
      </c>
      <c r="E3">
        <v>1.6759999999999999</v>
      </c>
      <c r="F3" t="s">
        <v>69</v>
      </c>
    </row>
    <row r="5" spans="1:9" x14ac:dyDescent="0.25">
      <c r="B5" t="s">
        <v>179</v>
      </c>
      <c r="C5">
        <f>B2*0.27</f>
        <v>13.5</v>
      </c>
      <c r="D5" t="s">
        <v>180</v>
      </c>
    </row>
    <row r="6" spans="1:9" x14ac:dyDescent="0.25">
      <c r="B6" t="s">
        <v>177</v>
      </c>
      <c r="C6">
        <f>C5^2/25</f>
        <v>7.29</v>
      </c>
      <c r="D6" t="s">
        <v>181</v>
      </c>
    </row>
    <row r="8" spans="1:9" x14ac:dyDescent="0.25">
      <c r="B8" t="s">
        <v>182</v>
      </c>
      <c r="C8">
        <f>PI()*B3*2</f>
        <v>157.07963267948966</v>
      </c>
      <c r="D8" t="s">
        <v>69</v>
      </c>
    </row>
    <row r="10" spans="1:9" x14ac:dyDescent="0.25">
      <c r="C10">
        <f>C8/C5</f>
        <v>11.635528346628863</v>
      </c>
      <c r="D10" t="s">
        <v>183</v>
      </c>
    </row>
    <row r="12" spans="1:9" x14ac:dyDescent="0.25">
      <c r="B12" t="s">
        <v>184</v>
      </c>
      <c r="C12">
        <f>360/C10</f>
        <v>30.939720937064454</v>
      </c>
      <c r="D12" t="s">
        <v>185</v>
      </c>
    </row>
    <row r="14" spans="1:9" x14ac:dyDescent="0.25">
      <c r="B14" t="s">
        <v>186</v>
      </c>
      <c r="C14">
        <f>(1880*9.81)/4</f>
        <v>4610.7</v>
      </c>
      <c r="D14" t="s">
        <v>144</v>
      </c>
    </row>
    <row r="15" spans="1:9" x14ac:dyDescent="0.25">
      <c r="B15" t="s">
        <v>187</v>
      </c>
      <c r="C15">
        <f>(E2*(1880/2)*C6)/1.676</f>
        <v>2453.1980906921244</v>
      </c>
      <c r="D15" t="s">
        <v>144</v>
      </c>
    </row>
    <row r="16" spans="1:9" x14ac:dyDescent="0.25">
      <c r="B16" t="s">
        <v>191</v>
      </c>
      <c r="C16">
        <f>C14+C15</f>
        <v>7063.8980906921242</v>
      </c>
      <c r="D16" t="s">
        <v>144</v>
      </c>
    </row>
    <row r="17" spans="2:4" x14ac:dyDescent="0.25">
      <c r="B17" t="s">
        <v>192</v>
      </c>
      <c r="C17">
        <f>C14-C15</f>
        <v>2157.5019093078754</v>
      </c>
      <c r="D17" t="s">
        <v>144</v>
      </c>
    </row>
    <row r="19" spans="2:4" x14ac:dyDescent="0.25">
      <c r="B19" t="s">
        <v>193</v>
      </c>
      <c r="C19">
        <f>C16-C17</f>
        <v>4906.3961813842488</v>
      </c>
      <c r="D19" t="s">
        <v>144</v>
      </c>
    </row>
    <row r="20" spans="2:4" x14ac:dyDescent="0.25">
      <c r="B20" t="s">
        <v>194</v>
      </c>
      <c r="C20">
        <f>C19*(1.676/2)</f>
        <v>4111.5600000000004</v>
      </c>
      <c r="D20" t="s">
        <v>112</v>
      </c>
    </row>
    <row r="21" spans="2:4" x14ac:dyDescent="0.25">
      <c r="B21" t="s">
        <v>195</v>
      </c>
      <c r="C21">
        <f>C20/H2</f>
        <v>0.97910591350072906</v>
      </c>
      <c r="D21" t="s">
        <v>196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DCDABCFA65E84D8B810BF0C5457A5E" ma:contentTypeVersion="13" ma:contentTypeDescription="Create a new document." ma:contentTypeScope="" ma:versionID="6403983e0555f70ba6f92fa01cac4ab7">
  <xsd:schema xmlns:xsd="http://www.w3.org/2001/XMLSchema" xmlns:xs="http://www.w3.org/2001/XMLSchema" xmlns:p="http://schemas.microsoft.com/office/2006/metadata/properties" xmlns:ns3="7ac54d59-15ae-468f-8833-3c6b8f4d3013" xmlns:ns4="21682d76-7fed-41ad-9dab-ad3c63b4cd86" targetNamespace="http://schemas.microsoft.com/office/2006/metadata/properties" ma:root="true" ma:fieldsID="58c09d5d67a50e8ecc1c90833eadf2cb" ns3:_="" ns4:_="">
    <xsd:import namespace="7ac54d59-15ae-468f-8833-3c6b8f4d3013"/>
    <xsd:import namespace="21682d76-7fed-41ad-9dab-ad3c63b4cd8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AutoKeyPoints" minOccurs="0"/>
                <xsd:element ref="ns3:MediaServiceKeyPoints"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c54d59-15ae-468f-8833-3c6b8f4d301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682d76-7fed-41ad-9dab-ad3c63b4cd8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D1FD86F-34FB-4DF0-8C50-A38C794E22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c54d59-15ae-468f-8833-3c6b8f4d3013"/>
    <ds:schemaRef ds:uri="21682d76-7fed-41ad-9dab-ad3c63b4cd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68BE70-F78D-49E6-8B4F-A0F3126FDB61}">
  <ds:schemaRefs>
    <ds:schemaRef ds:uri="21682d76-7fed-41ad-9dab-ad3c63b4cd86"/>
    <ds:schemaRef ds:uri="http://purl.org/dc/terms/"/>
    <ds:schemaRef ds:uri="http://schemas.microsoft.com/office/infopath/2007/PartnerControls"/>
    <ds:schemaRef ds:uri="http://schemas.microsoft.com/office/2006/documentManagement/types"/>
    <ds:schemaRef ds:uri="7ac54d59-15ae-468f-8833-3c6b8f4d3013"/>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6F4F13C4-6ABF-4F21-83C2-6B8C3A260D5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Lumped Mass model</vt:lpstr>
      <vt:lpstr>Clutch and velocity</vt:lpstr>
      <vt:lpstr>Yaw</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vijay</dc:creator>
  <cp:lastModifiedBy>vijay</cp:lastModifiedBy>
  <dcterms:created xsi:type="dcterms:W3CDTF">2020-05-07T16:15:51Z</dcterms:created>
  <dcterms:modified xsi:type="dcterms:W3CDTF">2020-05-20T09:27:22Z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0x01010071DCDABCFA65E84D8B810BF0C5457A5E</vt:lpwstr>
  </property>
</Properties>
</file>