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IT Skills 2\2018-19 assignments\"/>
    </mc:Choice>
  </mc:AlternateContent>
  <xr:revisionPtr revIDLastSave="0" documentId="13_ncr:1_{64BB89B9-FB5A-4B1B-96CF-D4F68E8EE3FE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Cash Budget" sheetId="1" r:id="rId1"/>
    <sheet name="Workings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8" i="1" l="1"/>
  <c r="G38" i="1"/>
  <c r="H38" i="1"/>
  <c r="I38" i="1"/>
  <c r="E29" i="1" l="1"/>
  <c r="F29" i="1"/>
  <c r="G29" i="1"/>
  <c r="H29" i="1"/>
  <c r="I29" i="1"/>
  <c r="D29" i="1"/>
  <c r="E28" i="1"/>
  <c r="F28" i="1"/>
  <c r="G28" i="1"/>
  <c r="H28" i="1"/>
  <c r="I28" i="1"/>
  <c r="D28" i="1"/>
  <c r="E30" i="1" l="1"/>
  <c r="F30" i="1"/>
  <c r="G30" i="1"/>
  <c r="H30" i="1"/>
  <c r="I30" i="1"/>
  <c r="D30" i="1"/>
  <c r="E36" i="2"/>
  <c r="F36" i="2"/>
  <c r="G36" i="2"/>
  <c r="H36" i="2"/>
  <c r="I36" i="2"/>
  <c r="D36" i="2"/>
  <c r="I23" i="1" l="1"/>
  <c r="H23" i="1"/>
  <c r="E23" i="1"/>
  <c r="F23" i="1"/>
  <c r="G23" i="1"/>
  <c r="D23" i="1"/>
  <c r="I10" i="1"/>
  <c r="F70" i="2" l="1"/>
  <c r="E9" i="2"/>
  <c r="F9" i="2"/>
  <c r="G9" i="2"/>
  <c r="H9" i="2"/>
  <c r="I9" i="2"/>
  <c r="D9" i="2"/>
  <c r="E18" i="1" l="1"/>
  <c r="F18" i="1"/>
  <c r="I49" i="2" l="1"/>
  <c r="H49" i="2"/>
  <c r="G49" i="2"/>
  <c r="H54" i="2" s="1"/>
  <c r="F49" i="2"/>
  <c r="E49" i="2"/>
  <c r="I63" i="2"/>
  <c r="H53" i="2"/>
  <c r="D49" i="2"/>
  <c r="F51" i="2" s="1"/>
  <c r="H63" i="2"/>
  <c r="G63" i="2"/>
  <c r="F63" i="2"/>
  <c r="E63" i="2"/>
  <c r="D63" i="2"/>
  <c r="D10" i="1"/>
  <c r="D18" i="1" s="1"/>
  <c r="E27" i="1"/>
  <c r="F76" i="2"/>
  <c r="I55" i="2"/>
  <c r="I54" i="2"/>
  <c r="G53" i="2"/>
  <c r="G52" i="2"/>
  <c r="F52" i="2"/>
  <c r="G10" i="2"/>
  <c r="G12" i="2" s="1"/>
  <c r="G31" i="2" s="1"/>
  <c r="D12" i="2"/>
  <c r="D31" i="2" s="1"/>
  <c r="D57" i="2"/>
  <c r="I10" i="2"/>
  <c r="F10" i="2"/>
  <c r="F12" i="2" s="1"/>
  <c r="F31" i="2" s="1"/>
  <c r="D39" i="2" l="1"/>
  <c r="E33" i="2"/>
  <c r="H33" i="2"/>
  <c r="G33" i="2"/>
  <c r="G39" i="2" s="1"/>
  <c r="E51" i="2"/>
  <c r="E57" i="2" s="1"/>
  <c r="F75" i="2"/>
  <c r="F85" i="2" s="1"/>
  <c r="F74" i="2"/>
  <c r="F84" i="2" s="1"/>
  <c r="G57" i="2"/>
  <c r="D43" i="1"/>
  <c r="D45" i="1" s="1"/>
  <c r="E35" i="1" s="1"/>
  <c r="E38" i="1" s="1"/>
  <c r="I57" i="2"/>
  <c r="E10" i="2"/>
  <c r="E12" i="2" s="1"/>
  <c r="E31" i="2" s="1"/>
  <c r="F22" i="2"/>
  <c r="F17" i="2"/>
  <c r="G22" i="2"/>
  <c r="G17" i="2"/>
  <c r="I12" i="2"/>
  <c r="I31" i="2" s="1"/>
  <c r="H10" i="2"/>
  <c r="H12" i="2" s="1"/>
  <c r="H31" i="2" s="1"/>
  <c r="F57" i="2"/>
  <c r="H57" i="2"/>
  <c r="D17" i="2"/>
  <c r="D22" i="2"/>
  <c r="E39" i="2" l="1"/>
  <c r="I33" i="2"/>
  <c r="I39" i="2" s="1"/>
  <c r="H39" i="2"/>
  <c r="F33" i="2"/>
  <c r="F39" i="2" s="1"/>
  <c r="G19" i="2"/>
  <c r="D19" i="2"/>
  <c r="K12" i="2"/>
  <c r="F19" i="2"/>
  <c r="F78" i="2"/>
  <c r="H25" i="2"/>
  <c r="G24" i="2"/>
  <c r="E25" i="2"/>
  <c r="D24" i="2"/>
  <c r="D27" i="2" s="1"/>
  <c r="F24" i="2"/>
  <c r="G25" i="2"/>
  <c r="E41" i="1"/>
  <c r="E22" i="2"/>
  <c r="E17" i="2"/>
  <c r="I22" i="2"/>
  <c r="I24" i="2" s="1"/>
  <c r="I17" i="2"/>
  <c r="I19" i="2" s="1"/>
  <c r="H22" i="2"/>
  <c r="H17" i="2"/>
  <c r="E43" i="1" l="1"/>
  <c r="E45" i="1" s="1"/>
  <c r="F35" i="1" s="1"/>
  <c r="F38" i="1" s="1"/>
  <c r="H19" i="2"/>
  <c r="E19" i="2"/>
  <c r="G27" i="2"/>
  <c r="H24" i="2"/>
  <c r="H27" i="2" s="1"/>
  <c r="I25" i="2"/>
  <c r="I27" i="2" s="1"/>
  <c r="F25" i="2"/>
  <c r="F27" i="2" s="1"/>
  <c r="E24" i="2"/>
  <c r="E27" i="2" s="1"/>
  <c r="F41" i="1" l="1"/>
  <c r="F43" i="1" l="1"/>
  <c r="F45" i="1" s="1"/>
  <c r="G16" i="1" s="1"/>
  <c r="G18" i="1" s="1"/>
  <c r="G41" i="1" l="1"/>
  <c r="G43" i="1"/>
  <c r="G45" i="1" l="1"/>
  <c r="H16" i="1" s="1"/>
  <c r="H18" i="1" s="1"/>
  <c r="H43" i="1" s="1"/>
  <c r="H41" i="1"/>
  <c r="H45" i="1" l="1"/>
  <c r="I16" i="1" l="1"/>
  <c r="I18" i="1" s="1"/>
  <c r="I43" i="1" s="1"/>
  <c r="I41" i="1"/>
  <c r="I45" i="1" l="1"/>
</calcChain>
</file>

<file path=xl/sharedStrings.xml><?xml version="1.0" encoding="utf-8"?>
<sst xmlns="http://schemas.openxmlformats.org/spreadsheetml/2006/main" count="119" uniqueCount="71">
  <si>
    <t>Jan</t>
  </si>
  <si>
    <t>Feb</t>
  </si>
  <si>
    <t>March</t>
  </si>
  <si>
    <t>April</t>
  </si>
  <si>
    <t>May</t>
  </si>
  <si>
    <t>June</t>
  </si>
  <si>
    <t>£</t>
  </si>
  <si>
    <t>Receipts :</t>
  </si>
  <si>
    <t>Cash sales</t>
  </si>
  <si>
    <t>Credit sales</t>
  </si>
  <si>
    <t>Total Receipts</t>
  </si>
  <si>
    <t>Payments :</t>
  </si>
  <si>
    <t xml:space="preserve"> Office Premises</t>
  </si>
  <si>
    <t>Fixtures and fittings</t>
  </si>
  <si>
    <t>Machine</t>
  </si>
  <si>
    <t>Direct labour</t>
  </si>
  <si>
    <t>Variable overhead</t>
  </si>
  <si>
    <t>Direct material</t>
  </si>
  <si>
    <t>Rent and rates</t>
  </si>
  <si>
    <t>Light and power</t>
  </si>
  <si>
    <t>Advertising</t>
  </si>
  <si>
    <t>Interest</t>
  </si>
  <si>
    <t>Total payments</t>
  </si>
  <si>
    <t>Balance b / f</t>
  </si>
  <si>
    <t>nil</t>
  </si>
  <si>
    <t>Cashflow in month</t>
  </si>
  <si>
    <t>Balance c / f</t>
  </si>
  <si>
    <t>WORKINGS :</t>
  </si>
  <si>
    <t>(1)  Budgeted production (units)</t>
  </si>
  <si>
    <t>July</t>
  </si>
  <si>
    <t>Sales</t>
  </si>
  <si>
    <t>Closing stock</t>
  </si>
  <si>
    <t>Opening stock</t>
  </si>
  <si>
    <t>Production</t>
  </si>
  <si>
    <t>(a)   Direct labour (at  £12.75)</t>
  </si>
  <si>
    <t>Paid</t>
  </si>
  <si>
    <t>(b)    Variable overhead (at £2.45)</t>
  </si>
  <si>
    <t>(c)    Direct material  (at £3.65)</t>
  </si>
  <si>
    <t>January</t>
  </si>
  <si>
    <t>February</t>
  </si>
  <si>
    <t>Made up as follows :</t>
  </si>
  <si>
    <t>Cashflow :</t>
  </si>
  <si>
    <t>Rent and Rates</t>
  </si>
  <si>
    <t>per month</t>
  </si>
  <si>
    <t>per quarter</t>
  </si>
  <si>
    <t>Depreciation has no cash impact</t>
  </si>
  <si>
    <t>(2)    Cash received from customers</t>
  </si>
  <si>
    <t>(3)  Fixed Overheads</t>
  </si>
  <si>
    <t>Delivery Vehicle</t>
  </si>
  <si>
    <t>Enterprise Grant</t>
  </si>
  <si>
    <t>Interest Received</t>
  </si>
  <si>
    <t>65% in month</t>
  </si>
  <si>
    <t>35% following month</t>
  </si>
  <si>
    <t>Rent and rates  (20%)</t>
  </si>
  <si>
    <t>Light and power  (49%)</t>
  </si>
  <si>
    <t>Depreciation  (31%)</t>
  </si>
  <si>
    <t>Interim Dividend</t>
  </si>
  <si>
    <t xml:space="preserve"> Share Issue</t>
  </si>
  <si>
    <t>STAR SKATEBOARDS LTD -- CASH BUDGET FOR 6 MONTHS TO JUNE 2019</t>
  </si>
  <si>
    <t xml:space="preserve">Total fixed overhead 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</si>
  <si>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</si>
  <si>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</si>
  <si>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</si>
  <si>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</si>
  <si>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</si>
  <si>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</si>
  <si>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Welsh Assembly Loan</t>
  </si>
  <si>
    <t>Overdraft Fee</t>
  </si>
  <si>
    <t>Lloyds Bank loan</t>
  </si>
  <si>
    <t>Bank loan repayments</t>
  </si>
  <si>
    <t>Loan 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</si>
</sst>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12"/>
      <name val="Arial"/>
      <family val="2"/>
    </font>
    <font>
      <b/>
      <i/>
      <sz val="12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i/>
      <sz val="12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37" fontId="0" fillId="0" borderId="0"/>
  </cellStyleXfs>
  <cellXfs count="22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2" fillId="0" borderId="0" xfId="0" applyFont="1"/>
    <xf numFmtId="37" fontId="1" fillId="0" borderId="1" xfId="0" applyFont="1" applyBorder="1"/>
    <xf numFmtId="37" fontId="1" fillId="0" borderId="0" xfId="0" applyFont="1" applyBorder="1"/>
    <xf numFmtId="37" fontId="3" fillId="0" borderId="0" xfId="0" applyFont="1"/>
    <xf numFmtId="37" fontId="1" fillId="0" borderId="1" xfId="0" applyFont="1" applyBorder="1" applyAlignment="1">
      <alignment horizontal="center"/>
    </xf>
    <xf numFmtId="37" fontId="1" fillId="0" borderId="2" xfId="0" applyFont="1" applyBorder="1"/>
    <xf numFmtId="37" fontId="2" fillId="0" borderId="1" xfId="0" applyFont="1" applyBorder="1"/>
    <xf numFmtId="37" fontId="2" fillId="0" borderId="0" xfId="0" applyFont="1" applyBorder="1"/>
    <xf numFmtId="37" fontId="4" fillId="0" borderId="0" xfId="0" applyFont="1"/>
    <xf numFmtId="37" fontId="4" fillId="0" borderId="0" xfId="0" applyFont="1" applyBorder="1"/>
    <xf numFmtId="37" fontId="4" fillId="0" borderId="3" xfId="0" applyFont="1" applyBorder="1"/>
    <xf numFmtId="37" fontId="4" fillId="0" borderId="2" xfId="0" applyFont="1" applyBorder="1"/>
    <xf numFmtId="37" fontId="5" fillId="0" borderId="0" xfId="0" applyFont="1"/>
    <xf numFmtId="37" fontId="6" fillId="0" borderId="1" xfId="0" applyFont="1" applyBorder="1"/>
    <xf numFmtId="37" fontId="6" fillId="0" borderId="0" xfId="0" applyFont="1"/>
    <xf numFmtId="37" fontId="6" fillId="0" borderId="0" xfId="0" applyFont="1" applyBorder="1"/>
    <xf numFmtId="37" fontId="6" fillId="0" borderId="0" xfId="0" applyFont="1" applyAlignment="1">
      <alignment horizontal="center"/>
    </xf>
    <xf numFmtId="37" fontId="7" fillId="0" borderId="0" xfId="0" applyFont="1"/>
    <xf numFmtId="37" fontId="7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tabSelected="1" topLeftCell="A15" workbookViewId="0">
      <selection activeCell="P45" sqref="P45"/>
    </sheetView>
  </sheetViews>
  <sheetFormatPr defaultRowHeight="12.75" x14ac:dyDescent="0.2"/>
  <cols>
    <col min="1" max="1" width="22.85546875" customWidth="1"/>
    <col min="2" max="2" width="2.140625" hidden="1" customWidth="1"/>
    <col min="3" max="3" width="0.28515625" customWidth="1"/>
    <col min="4" max="4" width="15.7109375" customWidth="1"/>
    <col min="5" max="5" width="17.28515625" customWidth="1"/>
    <col min="6" max="6" width="16" customWidth="1"/>
    <col min="7" max="7" width="16.42578125" customWidth="1"/>
    <col min="8" max="8" width="15.85546875" customWidth="1"/>
    <col min="9" max="9" width="15.7109375" customWidth="1"/>
  </cols>
  <sheetData>
    <row r="1" spans="1:9" ht="20.25" x14ac:dyDescent="0.3">
      <c r="A1" s="15" t="s">
        <v>58</v>
      </c>
    </row>
    <row r="2" spans="1:9" ht="20.25" x14ac:dyDescent="0.3">
      <c r="A2" s="15"/>
    </row>
    <row r="4" spans="1:9" ht="15" x14ac:dyDescent="0.2">
      <c r="A4" s="1"/>
      <c r="B4" s="1"/>
      <c r="C4" s="1"/>
      <c r="D4" s="2" t="s">
        <v>0</v>
      </c>
      <c r="E4" s="2" t="s">
        <v>1</v>
      </c>
      <c r="F4" s="2" t="s">
        <v>2</v>
      </c>
      <c r="G4" s="2" t="s">
        <v>3</v>
      </c>
      <c r="H4" s="2" t="s">
        <v>4</v>
      </c>
      <c r="I4" s="2" t="s">
        <v>5</v>
      </c>
    </row>
    <row r="5" spans="1:9" ht="15" x14ac:dyDescent="0.2">
      <c r="A5" s="1"/>
      <c r="B5" s="1"/>
      <c r="C5" s="1"/>
      <c r="D5" s="2" t="s">
        <v>6</v>
      </c>
      <c r="E5" s="2" t="s">
        <v>6</v>
      </c>
      <c r="F5" s="2" t="s">
        <v>6</v>
      </c>
      <c r="G5" s="2" t="s">
        <v>6</v>
      </c>
      <c r="H5" s="2" t="s">
        <v>6</v>
      </c>
      <c r="I5" s="2" t="s">
        <v>6</v>
      </c>
    </row>
    <row r="6" spans="1:9" ht="15" x14ac:dyDescent="0.2">
      <c r="A6" s="1"/>
      <c r="B6" s="1"/>
      <c r="C6" s="1"/>
      <c r="D6" s="2"/>
      <c r="E6" s="2"/>
      <c r="F6" s="2"/>
      <c r="G6" s="2"/>
      <c r="H6" s="2"/>
      <c r="I6" s="2"/>
    </row>
    <row r="7" spans="1:9" ht="15" x14ac:dyDescent="0.2">
      <c r="A7" s="1"/>
      <c r="B7" s="1"/>
      <c r="C7" s="1"/>
      <c r="D7" s="2"/>
      <c r="E7" s="2"/>
      <c r="F7" s="2"/>
      <c r="G7" s="2"/>
      <c r="H7" s="2"/>
      <c r="I7" s="2"/>
    </row>
    <row r="8" spans="1:9" ht="15" x14ac:dyDescent="0.2">
      <c r="A8" s="3" t="s">
        <v>7</v>
      </c>
      <c r="B8" s="1"/>
      <c r="C8" s="1"/>
      <c r="D8" s="2"/>
      <c r="E8" s="2"/>
      <c r="F8" s="2"/>
      <c r="G8" s="2"/>
      <c r="H8" s="2"/>
      <c r="I8" s="2"/>
    </row>
    <row r="9" spans="1:9" ht="15" x14ac:dyDescent="0.2">
      <c r="A9" s="1"/>
      <c r="B9" s="1"/>
      <c r="C9" s="1"/>
      <c r="D9" s="2"/>
      <c r="E9" s="2"/>
      <c r="F9" s="2"/>
      <c r="G9" s="2"/>
      <c r="H9" s="2"/>
      <c r="I9" s="2"/>
    </row>
    <row r="10" spans="1:9" ht="20.25" x14ac:dyDescent="0.3">
      <c r="A10" s="1" t="s">
        <v>57</v>
      </c>
      <c r="B10" s="1"/>
      <c r="C10" s="1"/>
      <c r="D10" s="17">
        <f>6000*1.9*0.5</f>
        <v>5700</v>
      </c>
      <c r="E10" s="17"/>
      <c r="F10" s="17"/>
      <c r="G10" s="17"/>
      <c r="H10" s="17"/>
      <c r="I10" s="17">
        <f>5000*2.2*0.5</f>
        <v>5500</v>
      </c>
    </row>
    <row r="11" spans="1:9" ht="20.25" x14ac:dyDescent="0.3">
      <c r="A11" s="1" t="s">
        <v>66</v>
      </c>
      <c r="B11" s="1"/>
      <c r="C11" s="1"/>
      <c r="D11" s="17"/>
      <c r="E11" s="17"/>
      <c r="F11" s="17">
        <v>140000</v>
      </c>
      <c r="G11" s="17"/>
      <c r="H11" s="17"/>
      <c r="I11" s="17"/>
    </row>
    <row r="12" spans="1:9" ht="20.25" x14ac:dyDescent="0.3">
      <c r="A12" s="1" t="s">
        <v>68</v>
      </c>
      <c r="B12" s="1"/>
      <c r="C12" s="1"/>
      <c r="D12" s="17">
        <v>75000</v>
      </c>
      <c r="E12" s="17"/>
      <c r="F12" s="17"/>
      <c r="G12" s="17"/>
      <c r="H12" s="17"/>
      <c r="I12" s="17"/>
    </row>
    <row r="13" spans="1:9" ht="20.25" x14ac:dyDescent="0.3">
      <c r="A13" s="1" t="s">
        <v>49</v>
      </c>
      <c r="B13" s="1"/>
      <c r="C13" s="1"/>
      <c r="D13" s="17">
        <v>60000</v>
      </c>
      <c r="E13" s="17">
        <v>60000</v>
      </c>
      <c r="F13" s="17">
        <v>60000</v>
      </c>
      <c r="G13" s="17">
        <v>60000</v>
      </c>
      <c r="H13" s="17">
        <v>60000</v>
      </c>
      <c r="I13" s="17"/>
    </row>
    <row r="14" spans="1:9" ht="20.25" x14ac:dyDescent="0.3">
      <c r="A14" s="1" t="s">
        <v>8</v>
      </c>
      <c r="B14" s="1"/>
      <c r="C14" s="1"/>
      <c r="D14" s="17">
        <v>592800</v>
      </c>
      <c r="E14" s="17">
        <v>829920</v>
      </c>
      <c r="F14" s="17">
        <v>869440</v>
      </c>
      <c r="G14" s="17">
        <v>908960</v>
      </c>
      <c r="H14" s="17">
        <v>1007760</v>
      </c>
      <c r="I14" s="17">
        <v>968240</v>
      </c>
    </row>
    <row r="15" spans="1:9" ht="20.25" x14ac:dyDescent="0.3">
      <c r="A15" s="1" t="s">
        <v>9</v>
      </c>
      <c r="B15" s="1"/>
      <c r="C15" s="1"/>
      <c r="D15" s="18">
        <v>0</v>
      </c>
      <c r="E15" s="18">
        <v>110635.2</v>
      </c>
      <c r="F15" s="18">
        <v>229769.28</v>
      </c>
      <c r="G15" s="18">
        <v>267096.95999999996</v>
      </c>
      <c r="H15" s="18">
        <v>279464.64</v>
      </c>
      <c r="I15" s="18">
        <v>302895.83999999997</v>
      </c>
    </row>
    <row r="16" spans="1:9" ht="20.25" x14ac:dyDescent="0.3">
      <c r="A16" s="1" t="s">
        <v>50</v>
      </c>
      <c r="B16" s="1"/>
      <c r="C16" s="1"/>
      <c r="D16" s="19"/>
      <c r="E16" s="19"/>
      <c r="F16" s="19"/>
      <c r="G16" s="19">
        <f>F45*0.029/12</f>
        <v>95.260839739438282</v>
      </c>
      <c r="H16" s="19">
        <f>G45*0.029/12</f>
        <v>897.8477317688081</v>
      </c>
      <c r="I16" s="19">
        <f>H45*0.029/12</f>
        <v>1798.8861846205834</v>
      </c>
    </row>
    <row r="17" spans="1:9" ht="20.25" x14ac:dyDescent="0.3">
      <c r="A17" s="1"/>
      <c r="B17" s="1"/>
      <c r="C17" s="1"/>
      <c r="D17" s="19"/>
      <c r="E17" s="19"/>
      <c r="F17" s="19"/>
      <c r="G17" s="19"/>
      <c r="H17" s="19"/>
      <c r="I17" s="19"/>
    </row>
    <row r="18" spans="1:9" ht="21" thickBot="1" x14ac:dyDescent="0.35">
      <c r="A18" s="1" t="s">
        <v>10</v>
      </c>
      <c r="B18" s="1"/>
      <c r="C18" s="1"/>
      <c r="D18" s="16">
        <f t="shared" ref="D18:I18" si="0">SUM(D10:D17)</f>
        <v>733500</v>
      </c>
      <c r="E18" s="16">
        <f t="shared" si="0"/>
        <v>1000555.2</v>
      </c>
      <c r="F18" s="16">
        <f t="shared" si="0"/>
        <v>1299209.28</v>
      </c>
      <c r="G18" s="16">
        <f t="shared" si="0"/>
        <v>1236152.2208397393</v>
      </c>
      <c r="H18" s="16">
        <f t="shared" si="0"/>
        <v>1348122.487731769</v>
      </c>
      <c r="I18" s="16">
        <f t="shared" si="0"/>
        <v>1278434.7261846205</v>
      </c>
    </row>
    <row r="19" spans="1:9" ht="21" thickTop="1" x14ac:dyDescent="0.3">
      <c r="A19" s="1"/>
      <c r="B19" s="1"/>
      <c r="C19" s="1"/>
      <c r="D19" s="18"/>
      <c r="E19" s="18"/>
      <c r="F19" s="18"/>
      <c r="G19" s="18"/>
      <c r="H19" s="18"/>
      <c r="I19" s="18"/>
    </row>
    <row r="20" spans="1:9" ht="20.25" x14ac:dyDescent="0.3">
      <c r="A20" s="1"/>
      <c r="B20" s="1"/>
      <c r="C20" s="1"/>
      <c r="D20" s="19"/>
      <c r="E20" s="19"/>
      <c r="F20" s="19"/>
      <c r="G20" s="19"/>
      <c r="H20" s="19"/>
      <c r="I20" s="19"/>
    </row>
    <row r="21" spans="1:9" ht="20.25" x14ac:dyDescent="0.3">
      <c r="A21" s="3" t="s">
        <v>11</v>
      </c>
      <c r="B21" s="1"/>
      <c r="C21" s="1"/>
      <c r="D21" s="19"/>
      <c r="E21" s="19"/>
      <c r="F21" s="19"/>
      <c r="G21" s="19"/>
      <c r="H21" s="19"/>
      <c r="I21" s="19"/>
    </row>
    <row r="22" spans="1:9" ht="20.25" x14ac:dyDescent="0.3">
      <c r="A22" s="1" t="s">
        <v>69</v>
      </c>
      <c r="B22" s="1"/>
      <c r="C22" s="1"/>
      <c r="D22" s="19"/>
      <c r="E22" s="19"/>
      <c r="F22" s="19"/>
      <c r="G22" s="19"/>
      <c r="H22" s="19"/>
      <c r="I22" s="19">
        <v>2500</v>
      </c>
    </row>
    <row r="23" spans="1:9" ht="20.25" x14ac:dyDescent="0.3">
      <c r="A23" s="1" t="s">
        <v>70</v>
      </c>
      <c r="B23" s="1"/>
      <c r="C23" s="1"/>
      <c r="D23" s="19">
        <f>0.01*75000</f>
        <v>750</v>
      </c>
      <c r="E23" s="19">
        <f t="shared" ref="E23:H23" si="1">0.01*75000</f>
        <v>750</v>
      </c>
      <c r="F23" s="19">
        <f t="shared" si="1"/>
        <v>750</v>
      </c>
      <c r="G23" s="19">
        <f t="shared" si="1"/>
        <v>750</v>
      </c>
      <c r="H23" s="19">
        <f t="shared" si="1"/>
        <v>750</v>
      </c>
      <c r="I23" s="19">
        <f>0.01*(75000-2500)</f>
        <v>725</v>
      </c>
    </row>
    <row r="24" spans="1:9" ht="20.25" x14ac:dyDescent="0.3">
      <c r="A24" s="1" t="s">
        <v>12</v>
      </c>
      <c r="B24" s="1"/>
      <c r="C24" s="1"/>
      <c r="D24" s="19">
        <v>220000</v>
      </c>
      <c r="E24" s="19">
        <v>55000</v>
      </c>
      <c r="F24" s="19">
        <v>55000</v>
      </c>
      <c r="G24" s="19"/>
      <c r="H24" s="19"/>
      <c r="I24" s="19"/>
    </row>
    <row r="25" spans="1:9" ht="20.25" x14ac:dyDescent="0.3">
      <c r="A25" s="1" t="s">
        <v>13</v>
      </c>
      <c r="B25" s="1"/>
      <c r="C25" s="1"/>
      <c r="D25" s="17">
        <v>144000</v>
      </c>
      <c r="E25" s="17"/>
      <c r="F25" s="17"/>
      <c r="G25" s="17"/>
      <c r="H25" s="17"/>
      <c r="I25" s="17"/>
    </row>
    <row r="26" spans="1:9" ht="20.25" x14ac:dyDescent="0.3">
      <c r="A26" s="1" t="s">
        <v>48</v>
      </c>
      <c r="B26" s="1"/>
      <c r="C26" s="1"/>
      <c r="D26" s="17"/>
      <c r="E26" s="17"/>
      <c r="F26" s="17"/>
      <c r="G26" s="17">
        <v>1640</v>
      </c>
      <c r="H26" s="17"/>
      <c r="I26" s="17"/>
    </row>
    <row r="27" spans="1:9" ht="20.25" x14ac:dyDescent="0.3">
      <c r="A27" s="1" t="s">
        <v>14</v>
      </c>
      <c r="B27" s="1"/>
      <c r="C27" s="1"/>
      <c r="D27" s="17">
        <v>1950</v>
      </c>
      <c r="E27" s="17">
        <f>27800-1950</f>
        <v>25850</v>
      </c>
      <c r="F27" s="17"/>
      <c r="G27" s="17"/>
      <c r="H27" s="17"/>
      <c r="I27" s="17"/>
    </row>
    <row r="28" spans="1:9" ht="20.25" x14ac:dyDescent="0.3">
      <c r="A28" s="1" t="s">
        <v>15</v>
      </c>
      <c r="B28" s="1"/>
      <c r="C28" s="1"/>
      <c r="D28" s="17">
        <f>Workings!D19</f>
        <v>468180</v>
      </c>
      <c r="E28" s="17">
        <f>Workings!E19</f>
        <v>539580</v>
      </c>
      <c r="F28" s="17">
        <f>Workings!F19</f>
        <v>565080</v>
      </c>
      <c r="G28" s="17">
        <f>Workings!G19</f>
        <v>596700</v>
      </c>
      <c r="H28" s="17">
        <f>Workings!H19</f>
        <v>646170</v>
      </c>
      <c r="I28" s="17">
        <f>Workings!I19</f>
        <v>624750</v>
      </c>
    </row>
    <row r="29" spans="1:9" ht="20.25" x14ac:dyDescent="0.3">
      <c r="A29" s="1" t="s">
        <v>16</v>
      </c>
      <c r="B29" s="1"/>
      <c r="C29" s="1"/>
      <c r="D29" s="17">
        <f>Workings!D27</f>
        <v>58476.6</v>
      </c>
      <c r="E29" s="17">
        <f>Workings!E27</f>
        <v>98882</v>
      </c>
      <c r="F29" s="17">
        <f>Workings!F27</f>
        <v>106869</v>
      </c>
      <c r="G29" s="17">
        <f>Workings!G27</f>
        <v>112533.40000000002</v>
      </c>
      <c r="H29" s="17">
        <f>Workings!H27</f>
        <v>120838.90000000001</v>
      </c>
      <c r="I29" s="17">
        <f>Workings!I27</f>
        <v>121490.60000000002</v>
      </c>
    </row>
    <row r="30" spans="1:9" ht="20.25" x14ac:dyDescent="0.3">
      <c r="A30" s="1" t="s">
        <v>17</v>
      </c>
      <c r="B30" s="1"/>
      <c r="C30" s="1"/>
      <c r="D30" s="17">
        <f>Workings!D39</f>
        <v>66343.86</v>
      </c>
      <c r="E30" s="17">
        <f>Workings!E39</f>
        <v>143475.66</v>
      </c>
      <c r="F30" s="17">
        <f>Workings!F39</f>
        <v>157309.16</v>
      </c>
      <c r="G30" s="17">
        <f>Workings!G39</f>
        <v>165439.9</v>
      </c>
      <c r="H30" s="17">
        <f>Workings!H39</f>
        <v>176976.09</v>
      </c>
      <c r="I30" s="17">
        <f>Workings!I39</f>
        <v>181021.75</v>
      </c>
    </row>
    <row r="31" spans="1:9" ht="20.25" x14ac:dyDescent="0.3">
      <c r="A31" s="1" t="s">
        <v>18</v>
      </c>
      <c r="B31" s="1"/>
      <c r="C31" s="1"/>
      <c r="D31" s="17">
        <v>26984</v>
      </c>
      <c r="E31" s="17">
        <v>26984</v>
      </c>
      <c r="F31" s="17">
        <v>26984</v>
      </c>
      <c r="G31" s="17">
        <v>26984</v>
      </c>
      <c r="H31" s="17">
        <v>26984</v>
      </c>
      <c r="I31" s="17">
        <v>26984</v>
      </c>
    </row>
    <row r="32" spans="1:9" ht="20.25" x14ac:dyDescent="0.3">
      <c r="A32" s="1" t="s">
        <v>19</v>
      </c>
      <c r="B32" s="1"/>
      <c r="C32" s="1"/>
      <c r="D32" s="19"/>
      <c r="E32" s="19"/>
      <c r="F32" s="19">
        <v>198332</v>
      </c>
      <c r="G32" s="19"/>
      <c r="H32" s="19"/>
      <c r="I32" s="19">
        <v>198332</v>
      </c>
    </row>
    <row r="33" spans="1:9" ht="20.25" x14ac:dyDescent="0.3">
      <c r="A33" s="1" t="s">
        <v>56</v>
      </c>
      <c r="B33" s="1"/>
      <c r="C33" s="1"/>
      <c r="D33" s="19"/>
      <c r="E33" s="19"/>
      <c r="F33" s="19"/>
      <c r="G33" s="19"/>
      <c r="H33" s="19">
        <v>1760</v>
      </c>
      <c r="I33" s="19"/>
    </row>
    <row r="34" spans="1:9" ht="20.25" x14ac:dyDescent="0.3">
      <c r="A34" s="1" t="s">
        <v>20</v>
      </c>
      <c r="B34" s="1"/>
      <c r="C34" s="1"/>
      <c r="D34" s="19"/>
      <c r="E34" s="19">
        <v>4600</v>
      </c>
      <c r="F34" s="19"/>
      <c r="G34" s="19"/>
      <c r="H34" s="19">
        <v>1800</v>
      </c>
      <c r="I34" s="19"/>
    </row>
    <row r="35" spans="1:9" ht="20.25" x14ac:dyDescent="0.3">
      <c r="A35" s="1" t="s">
        <v>21</v>
      </c>
      <c r="B35" s="1"/>
      <c r="C35" s="1"/>
      <c r="D35" s="19"/>
      <c r="E35" s="19">
        <f>-D45*0.043/12</f>
        <v>907.2443149999998</v>
      </c>
      <c r="F35" s="19">
        <f t="shared" ref="F35" si="2">-E45*0.043/12</f>
        <v>533.67717212875016</v>
      </c>
      <c r="G35" s="19"/>
      <c r="H35" s="19"/>
      <c r="I35" s="19"/>
    </row>
    <row r="36" spans="1:9" ht="20.25" x14ac:dyDescent="0.3">
      <c r="A36" s="1" t="s">
        <v>67</v>
      </c>
      <c r="B36" s="1"/>
      <c r="C36" s="1"/>
      <c r="D36" s="19"/>
      <c r="E36" s="19">
        <v>275</v>
      </c>
      <c r="F36" s="19"/>
      <c r="G36" s="19"/>
      <c r="H36" s="19"/>
      <c r="I36" s="19"/>
    </row>
    <row r="37" spans="1:9" ht="20.25" x14ac:dyDescent="0.3">
      <c r="A37" s="1"/>
      <c r="B37" s="1"/>
      <c r="C37" s="1"/>
      <c r="D37" s="19"/>
      <c r="E37" s="19"/>
      <c r="F37" s="19"/>
      <c r="G37" s="19"/>
      <c r="H37" s="19"/>
      <c r="I37" s="19"/>
    </row>
    <row r="38" spans="1:9" ht="21" thickBot="1" x14ac:dyDescent="0.35">
      <c r="A38" s="1" t="s">
        <v>22</v>
      </c>
      <c r="B38" s="1"/>
      <c r="C38" s="1"/>
      <c r="D38" s="16">
        <f>SUM(D22:D37)</f>
        <v>986684.46</v>
      </c>
      <c r="E38" s="16">
        <f>SUM(E22:E37)</f>
        <v>896303.90431500005</v>
      </c>
      <c r="F38" s="16">
        <f>SUM(F22:F37)</f>
        <v>1110857.837172129</v>
      </c>
      <c r="G38" s="16">
        <f>SUM(G22:G37)</f>
        <v>904047.3</v>
      </c>
      <c r="H38" s="16">
        <f>SUM(H22:H37)</f>
        <v>975278.99</v>
      </c>
      <c r="I38" s="16">
        <f>SUM(I22:I37)</f>
        <v>1155803.3500000001</v>
      </c>
    </row>
    <row r="39" spans="1:9" ht="21" thickTop="1" x14ac:dyDescent="0.3">
      <c r="A39" s="1"/>
      <c r="B39" s="1"/>
      <c r="C39" s="1"/>
      <c r="D39" s="18"/>
      <c r="E39" s="18"/>
      <c r="F39" s="18"/>
      <c r="G39" s="18"/>
      <c r="H39" s="18"/>
      <c r="I39" s="18"/>
    </row>
    <row r="40" spans="1:9" ht="20.25" x14ac:dyDescent="0.3">
      <c r="A40" s="1"/>
      <c r="B40" s="1"/>
      <c r="C40" s="1"/>
      <c r="D40" s="19"/>
      <c r="E40" s="19"/>
      <c r="F40" s="19"/>
      <c r="G40" s="19"/>
      <c r="H40" s="19"/>
      <c r="I40" s="19"/>
    </row>
    <row r="41" spans="1:9" ht="20.25" x14ac:dyDescent="0.3">
      <c r="A41" s="1" t="s">
        <v>23</v>
      </c>
      <c r="B41" s="1"/>
      <c r="C41" s="1"/>
      <c r="D41" s="19" t="s">
        <v>24</v>
      </c>
      <c r="E41" s="17">
        <f>D45</f>
        <v>-253184.45999999996</v>
      </c>
      <c r="F41" s="17">
        <f>E45</f>
        <v>-148933.16431500006</v>
      </c>
      <c r="G41" s="17">
        <f>F45</f>
        <v>39418.278512871009</v>
      </c>
      <c r="H41" s="17">
        <f>G45</f>
        <v>371523.19935261027</v>
      </c>
      <c r="I41" s="17">
        <f>H45</f>
        <v>744366.69708437927</v>
      </c>
    </row>
    <row r="42" spans="1:9" ht="20.25" x14ac:dyDescent="0.3">
      <c r="A42" s="1"/>
      <c r="B42" s="1"/>
      <c r="C42" s="1"/>
      <c r="D42" s="17"/>
      <c r="E42" s="17"/>
      <c r="F42" s="17"/>
      <c r="G42" s="17"/>
      <c r="H42" s="17"/>
      <c r="I42" s="17"/>
    </row>
    <row r="43" spans="1:9" ht="20.25" x14ac:dyDescent="0.3">
      <c r="A43" s="1" t="s">
        <v>25</v>
      </c>
      <c r="B43" s="1"/>
      <c r="C43" s="1"/>
      <c r="D43" s="17">
        <f t="shared" ref="D43:I43" si="3">D18-D38</f>
        <v>-253184.45999999996</v>
      </c>
      <c r="E43" s="17">
        <f t="shared" si="3"/>
        <v>104251.2956849999</v>
      </c>
      <c r="F43" s="17">
        <f t="shared" si="3"/>
        <v>188351.44282787107</v>
      </c>
      <c r="G43" s="17">
        <f t="shared" si="3"/>
        <v>332104.92083973926</v>
      </c>
      <c r="H43" s="17">
        <f t="shared" si="3"/>
        <v>372843.49773176899</v>
      </c>
      <c r="I43" s="17">
        <f t="shared" si="3"/>
        <v>122631.37618462043</v>
      </c>
    </row>
    <row r="44" spans="1:9" ht="20.25" x14ac:dyDescent="0.3">
      <c r="A44" s="1"/>
      <c r="B44" s="1"/>
      <c r="C44" s="1"/>
      <c r="D44" s="17"/>
      <c r="E44" s="17"/>
      <c r="F44" s="17"/>
      <c r="G44" s="17"/>
      <c r="H44" s="17"/>
      <c r="I44" s="17"/>
    </row>
    <row r="45" spans="1:9" ht="21" thickBot="1" x14ac:dyDescent="0.35">
      <c r="A45" s="1" t="s">
        <v>26</v>
      </c>
      <c r="B45" s="1"/>
      <c r="C45" s="1"/>
      <c r="D45" s="16">
        <f>+D43</f>
        <v>-253184.45999999996</v>
      </c>
      <c r="E45" s="16">
        <f>E41+E43</f>
        <v>-148933.16431500006</v>
      </c>
      <c r="F45" s="16">
        <f t="shared" ref="F45:I45" si="4">F41+F43</f>
        <v>39418.278512871009</v>
      </c>
      <c r="G45" s="16">
        <f t="shared" si="4"/>
        <v>371523.19935261027</v>
      </c>
      <c r="H45" s="16">
        <f t="shared" si="4"/>
        <v>744366.69708437927</v>
      </c>
      <c r="I45" s="16">
        <f t="shared" si="4"/>
        <v>866998.07326899969</v>
      </c>
    </row>
    <row r="46" spans="1:9" ht="15.75" thickTop="1" x14ac:dyDescent="0.2">
      <c r="A46" s="1"/>
      <c r="B46" s="1"/>
      <c r="C46" s="1"/>
      <c r="D46" s="2"/>
      <c r="E46" s="2"/>
      <c r="F46" s="2"/>
      <c r="G46" s="2"/>
      <c r="H46" s="2"/>
      <c r="I46" s="2"/>
    </row>
    <row r="47" spans="1:9" ht="15" x14ac:dyDescent="0.2">
      <c r="A47" s="1"/>
      <c r="B47" s="1"/>
      <c r="C47" s="1"/>
      <c r="D47" s="2"/>
      <c r="E47" s="2"/>
      <c r="F47" s="2"/>
      <c r="G47" s="2"/>
      <c r="H47" s="2"/>
      <c r="I47" s="2"/>
    </row>
  </sheetData>
  <printOptions gridLines="1" gridLinesSet="0"/>
  <pageMargins left="0.74803149606299213" right="0.74803149606299213" top="0.98425196850393704" bottom="0.98425196850393704" header="0.51181102362204722" footer="0.51181102362204722"/>
  <pageSetup paperSize="9" scale="70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6"/>
  <sheetViews>
    <sheetView topLeftCell="A45" workbookViewId="0">
      <selection activeCell="D63" sqref="D63"/>
    </sheetView>
  </sheetViews>
  <sheetFormatPr defaultRowHeight="12.75" x14ac:dyDescent="0.2"/>
  <cols>
    <col min="3" max="3" width="16.85546875" customWidth="1"/>
    <col min="4" max="5" width="10.42578125" customWidth="1"/>
    <col min="6" max="6" width="11.85546875" customWidth="1"/>
    <col min="7" max="7" width="11" customWidth="1"/>
    <col min="8" max="8" width="11.140625" customWidth="1"/>
    <col min="9" max="9" width="11.42578125" customWidth="1"/>
    <col min="11" max="11" width="11" customWidth="1"/>
  </cols>
  <sheetData>
    <row r="1" spans="1:11" ht="15.75" x14ac:dyDescent="0.25">
      <c r="A1" s="6" t="s">
        <v>27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" x14ac:dyDescent="0.2">
      <c r="A4" s="3" t="s">
        <v>28</v>
      </c>
      <c r="B4" s="3"/>
      <c r="C4" s="3"/>
      <c r="D4" s="1"/>
      <c r="E4" s="1"/>
      <c r="F4" s="1"/>
      <c r="G4" s="1"/>
      <c r="H4" s="1"/>
      <c r="I4" s="1"/>
      <c r="J4" s="1"/>
      <c r="K4" s="1"/>
    </row>
    <row r="5" spans="1:11" ht="1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5" x14ac:dyDescent="0.2">
      <c r="A6" s="1"/>
      <c r="B6" s="1"/>
      <c r="C6" s="1"/>
      <c r="D6" s="2" t="s">
        <v>0</v>
      </c>
      <c r="E6" s="2" t="s">
        <v>1</v>
      </c>
      <c r="F6" s="2" t="s">
        <v>2</v>
      </c>
      <c r="G6" s="2" t="s">
        <v>3</v>
      </c>
      <c r="H6" s="2" t="s">
        <v>4</v>
      </c>
      <c r="I6" s="2" t="s">
        <v>5</v>
      </c>
      <c r="J6" s="1" t="s">
        <v>29</v>
      </c>
      <c r="K6" s="1"/>
    </row>
    <row r="7" spans="1:11" ht="15" x14ac:dyDescent="0.2">
      <c r="A7" s="1"/>
      <c r="B7" s="1"/>
      <c r="C7" s="1"/>
      <c r="D7" s="2"/>
      <c r="E7" s="2"/>
      <c r="F7" s="2"/>
      <c r="G7" s="2"/>
      <c r="H7" s="2"/>
      <c r="I7" s="2"/>
      <c r="J7" s="1"/>
      <c r="K7" s="1"/>
    </row>
    <row r="8" spans="1:11" ht="15" x14ac:dyDescent="0.2">
      <c r="A8" s="1" t="s">
        <v>30</v>
      </c>
      <c r="B8" s="1"/>
      <c r="C8" s="1"/>
      <c r="D8" s="1">
        <v>30000</v>
      </c>
      <c r="E8" s="1">
        <v>42000</v>
      </c>
      <c r="F8" s="1">
        <v>44000</v>
      </c>
      <c r="G8" s="1">
        <v>46000</v>
      </c>
      <c r="H8" s="1">
        <v>51000</v>
      </c>
      <c r="I8" s="1">
        <v>49000</v>
      </c>
      <c r="J8" s="1">
        <v>49000</v>
      </c>
      <c r="K8" s="1"/>
    </row>
    <row r="9" spans="1:11" ht="15" x14ac:dyDescent="0.2">
      <c r="A9" s="1" t="s">
        <v>31</v>
      </c>
      <c r="B9" s="1"/>
      <c r="C9" s="1"/>
      <c r="D9" s="1">
        <f>E8*0.16</f>
        <v>6720</v>
      </c>
      <c r="E9" s="1">
        <f t="shared" ref="E9:I9" si="0">F8*0.16</f>
        <v>7040</v>
      </c>
      <c r="F9" s="1">
        <f t="shared" si="0"/>
        <v>7360</v>
      </c>
      <c r="G9" s="1">
        <f t="shared" si="0"/>
        <v>8160</v>
      </c>
      <c r="H9" s="1">
        <f t="shared" si="0"/>
        <v>7840</v>
      </c>
      <c r="I9" s="1">
        <f t="shared" si="0"/>
        <v>7840</v>
      </c>
      <c r="J9" s="1"/>
      <c r="K9" s="1"/>
    </row>
    <row r="10" spans="1:11" ht="15" x14ac:dyDescent="0.2">
      <c r="A10" s="1" t="s">
        <v>32</v>
      </c>
      <c r="B10" s="1"/>
      <c r="C10" s="1"/>
      <c r="D10" s="1"/>
      <c r="E10" s="1">
        <f>-D9</f>
        <v>-6720</v>
      </c>
      <c r="F10" s="1">
        <f t="shared" ref="F10:I10" si="1">-E9</f>
        <v>-7040</v>
      </c>
      <c r="G10" s="1">
        <f t="shared" si="1"/>
        <v>-7360</v>
      </c>
      <c r="H10" s="1">
        <f t="shared" si="1"/>
        <v>-8160</v>
      </c>
      <c r="I10" s="1">
        <f t="shared" si="1"/>
        <v>-7840</v>
      </c>
      <c r="J10" s="1"/>
      <c r="K10" s="1"/>
    </row>
    <row r="11" spans="1:11" ht="15" x14ac:dyDescent="0.2">
      <c r="A11" s="1"/>
      <c r="B11" s="1"/>
      <c r="C11" s="1"/>
      <c r="D11" s="2"/>
      <c r="E11" s="2"/>
      <c r="F11" s="2"/>
      <c r="G11" s="2"/>
      <c r="H11" s="2"/>
      <c r="I11" s="2"/>
      <c r="J11" s="1"/>
      <c r="K11" s="1"/>
    </row>
    <row r="12" spans="1:11" ht="15.75" thickBot="1" x14ac:dyDescent="0.25">
      <c r="A12" s="1" t="s">
        <v>33</v>
      </c>
      <c r="B12" s="1"/>
      <c r="C12" s="1"/>
      <c r="D12" s="7">
        <f>SUM(D8:D11)</f>
        <v>36720</v>
      </c>
      <c r="E12" s="7">
        <f t="shared" ref="E12:I12" si="2">SUM(E8:E11)</f>
        <v>42320</v>
      </c>
      <c r="F12" s="7">
        <f t="shared" si="2"/>
        <v>44320</v>
      </c>
      <c r="G12" s="7">
        <f t="shared" si="2"/>
        <v>46800</v>
      </c>
      <c r="H12" s="7">
        <f t="shared" si="2"/>
        <v>50680</v>
      </c>
      <c r="I12" s="7">
        <f t="shared" si="2"/>
        <v>49000</v>
      </c>
      <c r="J12" s="1"/>
      <c r="K12" s="1">
        <f>SUM(D12:J12)</f>
        <v>269840</v>
      </c>
    </row>
    <row r="13" spans="1:11" ht="15.75" thickTop="1" x14ac:dyDescent="0.2">
      <c r="A13" s="1"/>
      <c r="B13" s="1"/>
      <c r="C13" s="1"/>
      <c r="D13" s="2"/>
      <c r="E13" s="2"/>
      <c r="F13" s="2"/>
      <c r="G13" s="2"/>
      <c r="H13" s="2"/>
      <c r="I13" s="2"/>
      <c r="J13" s="1"/>
      <c r="K13" s="1"/>
    </row>
    <row r="14" spans="1:11" ht="15" x14ac:dyDescent="0.2">
      <c r="A14" s="1"/>
      <c r="B14" s="1"/>
      <c r="C14" s="1"/>
      <c r="D14" s="2"/>
      <c r="E14" s="2"/>
      <c r="F14" s="2"/>
      <c r="G14" s="2"/>
      <c r="H14" s="2"/>
      <c r="I14" s="2"/>
      <c r="J14" s="1"/>
      <c r="K14" s="1"/>
    </row>
    <row r="15" spans="1:11" ht="15" x14ac:dyDescent="0.2">
      <c r="A15" s="1"/>
      <c r="B15" s="1"/>
      <c r="C15" s="1"/>
      <c r="D15" s="2" t="s">
        <v>6</v>
      </c>
      <c r="E15" s="2" t="s">
        <v>6</v>
      </c>
      <c r="F15" s="2" t="s">
        <v>6</v>
      </c>
      <c r="G15" s="2" t="s">
        <v>6</v>
      </c>
      <c r="H15" s="2" t="s">
        <v>6</v>
      </c>
      <c r="I15" s="2" t="s">
        <v>6</v>
      </c>
      <c r="J15" s="1"/>
      <c r="K15" s="1"/>
    </row>
    <row r="16" spans="1:11" ht="15" x14ac:dyDescent="0.2">
      <c r="A16" s="1"/>
      <c r="B16" s="1"/>
      <c r="C16" s="1"/>
      <c r="D16" s="2"/>
      <c r="E16" s="2"/>
      <c r="F16" s="2"/>
      <c r="G16" s="2"/>
      <c r="H16" s="2"/>
      <c r="I16" s="2"/>
      <c r="J16" s="1"/>
      <c r="K16" s="1"/>
    </row>
    <row r="17" spans="1:11" ht="15" x14ac:dyDescent="0.2">
      <c r="A17" s="1" t="s">
        <v>34</v>
      </c>
      <c r="B17" s="1"/>
      <c r="C17" s="1"/>
      <c r="D17" s="5">
        <f>D12*12.75</f>
        <v>468180</v>
      </c>
      <c r="E17" s="5">
        <f t="shared" ref="E17:I17" si="3">E12*12.75</f>
        <v>539580</v>
      </c>
      <c r="F17" s="5">
        <f t="shared" si="3"/>
        <v>565080</v>
      </c>
      <c r="G17" s="5">
        <f t="shared" si="3"/>
        <v>596700</v>
      </c>
      <c r="H17" s="5">
        <f t="shared" si="3"/>
        <v>646170</v>
      </c>
      <c r="I17" s="5">
        <f t="shared" si="3"/>
        <v>624750</v>
      </c>
      <c r="J17" s="1"/>
      <c r="K17" s="1"/>
    </row>
    <row r="18" spans="1:11" ht="15" x14ac:dyDescent="0.2">
      <c r="A18" s="1"/>
      <c r="B18" s="1"/>
      <c r="C18" s="1"/>
      <c r="D18" s="5"/>
      <c r="E18" s="5"/>
      <c r="F18" s="5"/>
      <c r="G18" s="5"/>
      <c r="H18" s="5"/>
      <c r="I18" s="5"/>
      <c r="J18" s="1"/>
      <c r="K18" s="1"/>
    </row>
    <row r="19" spans="1:11" ht="15.75" x14ac:dyDescent="0.25">
      <c r="A19" s="1"/>
      <c r="B19" s="1" t="s">
        <v>35</v>
      </c>
      <c r="C19" s="1"/>
      <c r="D19" s="11">
        <f>D17</f>
        <v>468180</v>
      </c>
      <c r="E19" s="11">
        <f t="shared" ref="E19:I19" si="4">E17</f>
        <v>539580</v>
      </c>
      <c r="F19" s="11">
        <f t="shared" si="4"/>
        <v>565080</v>
      </c>
      <c r="G19" s="11">
        <f t="shared" si="4"/>
        <v>596700</v>
      </c>
      <c r="H19" s="11">
        <f t="shared" si="4"/>
        <v>646170</v>
      </c>
      <c r="I19" s="11">
        <f t="shared" si="4"/>
        <v>624750</v>
      </c>
      <c r="J19" s="1"/>
      <c r="K19" s="1"/>
    </row>
    <row r="20" spans="1:11" ht="1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5" x14ac:dyDescent="0.2">
      <c r="A22" s="1" t="s">
        <v>36</v>
      </c>
      <c r="B22" s="1"/>
      <c r="C22" s="1"/>
      <c r="D22" s="5">
        <f>D12*2.45</f>
        <v>89964</v>
      </c>
      <c r="E22" s="5">
        <f t="shared" ref="E22:I22" si="5">E12*2.45</f>
        <v>103684.00000000001</v>
      </c>
      <c r="F22" s="5">
        <f t="shared" si="5"/>
        <v>108584.00000000001</v>
      </c>
      <c r="G22" s="5">
        <f t="shared" si="5"/>
        <v>114660.00000000001</v>
      </c>
      <c r="H22" s="5">
        <f t="shared" si="5"/>
        <v>124166.00000000001</v>
      </c>
      <c r="I22" s="5">
        <f t="shared" si="5"/>
        <v>120050.00000000001</v>
      </c>
      <c r="J22" s="1"/>
      <c r="K22" s="1"/>
    </row>
    <row r="23" spans="1:11" ht="15" x14ac:dyDescent="0.2">
      <c r="A23" s="1"/>
      <c r="B23" s="1"/>
      <c r="C23" s="1"/>
      <c r="D23" s="5"/>
      <c r="E23" s="5"/>
      <c r="F23" s="5"/>
      <c r="G23" s="5"/>
      <c r="H23" s="5"/>
      <c r="I23" s="5"/>
      <c r="J23" s="1"/>
      <c r="K23" s="1"/>
    </row>
    <row r="24" spans="1:11" ht="15" x14ac:dyDescent="0.2">
      <c r="A24" s="1"/>
      <c r="B24" s="1" t="s">
        <v>51</v>
      </c>
      <c r="C24" s="1"/>
      <c r="D24" s="1">
        <f>0.65*D22</f>
        <v>58476.6</v>
      </c>
      <c r="E24" s="1">
        <f t="shared" ref="E24:I24" si="6">0.65*E22</f>
        <v>67394.600000000006</v>
      </c>
      <c r="F24" s="1">
        <f t="shared" si="6"/>
        <v>70579.600000000006</v>
      </c>
      <c r="G24" s="1">
        <f t="shared" si="6"/>
        <v>74529.000000000015</v>
      </c>
      <c r="H24" s="1">
        <f t="shared" si="6"/>
        <v>80707.900000000009</v>
      </c>
      <c r="I24" s="1">
        <f t="shared" si="6"/>
        <v>78032.500000000015</v>
      </c>
      <c r="J24" s="1"/>
      <c r="K24" s="1"/>
    </row>
    <row r="25" spans="1:11" ht="15" x14ac:dyDescent="0.2">
      <c r="A25" s="1"/>
      <c r="B25" s="1" t="s">
        <v>52</v>
      </c>
      <c r="C25" s="1"/>
      <c r="D25" s="1"/>
      <c r="E25" s="1">
        <f>0.35*D22</f>
        <v>31487.399999999998</v>
      </c>
      <c r="F25" s="1">
        <f t="shared" ref="F25:I25" si="7">0.35*E22</f>
        <v>36289.4</v>
      </c>
      <c r="G25" s="1">
        <f t="shared" si="7"/>
        <v>38004.400000000001</v>
      </c>
      <c r="H25" s="1">
        <f t="shared" si="7"/>
        <v>40131</v>
      </c>
      <c r="I25" s="1">
        <f t="shared" si="7"/>
        <v>43458.100000000006</v>
      </c>
      <c r="J25" s="1"/>
      <c r="K25" s="1"/>
    </row>
    <row r="26" spans="1:11" ht="15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5.75" x14ac:dyDescent="0.25">
      <c r="A27" s="1"/>
      <c r="B27" s="1"/>
      <c r="C27" s="1"/>
      <c r="D27" s="13">
        <f>SUM(D24:D26)</f>
        <v>58476.6</v>
      </c>
      <c r="E27" s="13">
        <f t="shared" ref="E27:I27" si="8">SUM(E24:E26)</f>
        <v>98882</v>
      </c>
      <c r="F27" s="13">
        <f t="shared" si="8"/>
        <v>106869</v>
      </c>
      <c r="G27" s="13">
        <f t="shared" si="8"/>
        <v>112533.40000000002</v>
      </c>
      <c r="H27" s="13">
        <f t="shared" si="8"/>
        <v>120838.90000000001</v>
      </c>
      <c r="I27" s="13">
        <f t="shared" si="8"/>
        <v>121490.60000000002</v>
      </c>
      <c r="J27" s="1"/>
      <c r="K27" s="1"/>
    </row>
    <row r="28" spans="1:11" ht="15.75" x14ac:dyDescent="0.25">
      <c r="A28" s="1"/>
      <c r="B28" s="1"/>
      <c r="C28" s="1"/>
      <c r="D28" s="12"/>
      <c r="E28" s="12"/>
      <c r="F28" s="12"/>
      <c r="G28" s="12"/>
      <c r="H28" s="12"/>
      <c r="I28" s="12"/>
      <c r="J28" s="1"/>
      <c r="K28" s="1"/>
    </row>
    <row r="29" spans="1:11" ht="15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5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15" x14ac:dyDescent="0.2">
      <c r="A31" s="1" t="s">
        <v>37</v>
      </c>
      <c r="B31" s="1"/>
      <c r="C31" s="1"/>
      <c r="D31" s="5">
        <f t="shared" ref="D31:I31" si="9">D12*3.65</f>
        <v>134028</v>
      </c>
      <c r="E31" s="5">
        <f t="shared" si="9"/>
        <v>154468</v>
      </c>
      <c r="F31" s="5">
        <f t="shared" si="9"/>
        <v>161768</v>
      </c>
      <c r="G31" s="5">
        <f t="shared" si="9"/>
        <v>170820</v>
      </c>
      <c r="H31" s="5">
        <f t="shared" si="9"/>
        <v>184982</v>
      </c>
      <c r="I31" s="5">
        <f t="shared" si="9"/>
        <v>178850</v>
      </c>
      <c r="J31" s="1"/>
      <c r="K31" s="1"/>
    </row>
    <row r="32" spans="1:11" ht="15" x14ac:dyDescent="0.2">
      <c r="A32" s="1"/>
      <c r="B32" s="1"/>
      <c r="C32" s="1"/>
      <c r="D32" s="5"/>
      <c r="E32" s="5"/>
      <c r="F32" s="5"/>
      <c r="G32" s="5"/>
      <c r="H32" s="5"/>
      <c r="I32" s="5"/>
      <c r="J32" s="1"/>
      <c r="K32" s="1"/>
    </row>
    <row r="33" spans="1:11" ht="15" x14ac:dyDescent="0.2">
      <c r="A33" s="1" t="s">
        <v>60</v>
      </c>
      <c r="B33" s="1"/>
      <c r="C33" s="2"/>
      <c r="D33" s="2"/>
      <c r="E33" s="2">
        <f>D31*0.5</f>
        <v>67014</v>
      </c>
      <c r="F33" s="2">
        <f t="shared" ref="F33:I33" si="10">E31*0.5</f>
        <v>77234</v>
      </c>
      <c r="G33" s="2">
        <f t="shared" si="10"/>
        <v>80884</v>
      </c>
      <c r="H33" s="2">
        <f t="shared" si="10"/>
        <v>85410</v>
      </c>
      <c r="I33" s="2">
        <f t="shared" si="10"/>
        <v>92491</v>
      </c>
      <c r="J33" s="2"/>
    </row>
    <row r="34" spans="1:11" ht="15" x14ac:dyDescent="0.2">
      <c r="A34" s="1" t="s">
        <v>61</v>
      </c>
      <c r="B34" s="1"/>
      <c r="C34" s="2"/>
      <c r="D34" s="2"/>
      <c r="E34" s="2"/>
      <c r="F34" s="2"/>
      <c r="G34" s="2"/>
      <c r="H34" s="2"/>
      <c r="I34" s="2"/>
      <c r="J34" s="2"/>
    </row>
    <row r="35" spans="1:11" ht="15" x14ac:dyDescent="0.2">
      <c r="A35" s="1"/>
      <c r="B35" s="1"/>
      <c r="C35" s="2"/>
      <c r="D35" s="2"/>
      <c r="E35" s="2"/>
      <c r="F35" s="2"/>
      <c r="G35" s="2"/>
      <c r="H35" s="2"/>
      <c r="I35" s="2"/>
      <c r="J35" s="2"/>
    </row>
    <row r="36" spans="1:11" ht="15" x14ac:dyDescent="0.2">
      <c r="A36" s="1" t="s">
        <v>62</v>
      </c>
      <c r="B36" s="1"/>
      <c r="C36" s="2"/>
      <c r="D36" s="2">
        <f>D31*0.5*0.99</f>
        <v>66343.86</v>
      </c>
      <c r="E36" s="2">
        <f t="shared" ref="E36:I36" si="11">E31*0.5*0.99</f>
        <v>76461.66</v>
      </c>
      <c r="F36" s="2">
        <f t="shared" si="11"/>
        <v>80075.16</v>
      </c>
      <c r="G36" s="2">
        <f t="shared" si="11"/>
        <v>84555.9</v>
      </c>
      <c r="H36" s="2">
        <f t="shared" si="11"/>
        <v>91566.09</v>
      </c>
      <c r="I36" s="2">
        <f t="shared" si="11"/>
        <v>88530.75</v>
      </c>
      <c r="J36" s="2"/>
    </row>
    <row r="37" spans="1:11" ht="15" x14ac:dyDescent="0.2">
      <c r="A37" s="1" t="s">
        <v>63</v>
      </c>
      <c r="B37" s="1"/>
      <c r="C37" s="2"/>
      <c r="D37" s="2"/>
      <c r="E37" s="2"/>
      <c r="F37" s="2"/>
      <c r="G37" s="2"/>
      <c r="H37" s="2"/>
      <c r="I37" s="2"/>
      <c r="J37" s="2"/>
    </row>
    <row r="38" spans="1:11" ht="15" x14ac:dyDescent="0.2">
      <c r="A38" s="1"/>
      <c r="B38" s="1"/>
      <c r="C38" s="2"/>
      <c r="D38" s="2"/>
      <c r="E38" s="2"/>
      <c r="F38" s="2"/>
      <c r="G38" s="2"/>
      <c r="H38" s="2"/>
      <c r="I38" s="2"/>
      <c r="J38" s="2"/>
    </row>
    <row r="39" spans="1:11" ht="15.75" thickBot="1" x14ac:dyDescent="0.25">
      <c r="A39" s="20" t="s">
        <v>64</v>
      </c>
      <c r="B39" s="20"/>
      <c r="C39" s="21"/>
      <c r="D39" s="21">
        <f t="shared" ref="D39:I39" si="12">SUM(D33:D38)</f>
        <v>66343.86</v>
      </c>
      <c r="E39" s="21">
        <f t="shared" si="12"/>
        <v>143475.66</v>
      </c>
      <c r="F39" s="21">
        <f t="shared" si="12"/>
        <v>157309.16</v>
      </c>
      <c r="G39" s="21">
        <f t="shared" si="12"/>
        <v>165439.9</v>
      </c>
      <c r="H39" s="21">
        <f t="shared" si="12"/>
        <v>176976.09</v>
      </c>
      <c r="I39" s="21">
        <f t="shared" si="12"/>
        <v>181021.75</v>
      </c>
    </row>
    <row r="40" spans="1:11" ht="15" x14ac:dyDescent="0.2">
      <c r="A40" s="20" t="s">
        <v>65</v>
      </c>
      <c r="B40" s="20"/>
      <c r="C40" s="2"/>
      <c r="D40" s="2"/>
      <c r="E40" s="2"/>
      <c r="F40" s="2"/>
      <c r="G40" s="2"/>
      <c r="H40" s="2"/>
      <c r="I40" s="2"/>
      <c r="J40" s="2"/>
    </row>
    <row r="41" spans="1:11" ht="15" x14ac:dyDescent="0.2">
      <c r="A41" s="1"/>
      <c r="B41" s="1"/>
      <c r="C41" s="1"/>
      <c r="D41" s="5"/>
      <c r="E41" s="5"/>
      <c r="F41" s="5"/>
      <c r="G41" s="5"/>
      <c r="H41" s="5"/>
      <c r="I41" s="5"/>
      <c r="J41" s="1"/>
      <c r="K41" s="1"/>
    </row>
    <row r="42" spans="1:11" ht="1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1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5" x14ac:dyDescent="0.2">
      <c r="A44" s="3" t="s">
        <v>46</v>
      </c>
      <c r="B44" s="3"/>
      <c r="C44" s="3"/>
      <c r="D44" s="3"/>
      <c r="E44" s="1"/>
      <c r="F44" s="1"/>
      <c r="G44" s="1"/>
      <c r="H44" s="1"/>
      <c r="I44" s="1"/>
      <c r="J44" s="1"/>
      <c r="K44" s="1"/>
    </row>
    <row r="45" spans="1:11" ht="1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15" x14ac:dyDescent="0.2">
      <c r="A46" s="1"/>
      <c r="B46" s="1"/>
      <c r="C46" s="1"/>
      <c r="D46" s="2" t="s">
        <v>0</v>
      </c>
      <c r="E46" s="2" t="s">
        <v>1</v>
      </c>
      <c r="F46" s="2" t="s">
        <v>2</v>
      </c>
      <c r="G46" s="2" t="s">
        <v>3</v>
      </c>
      <c r="H46" s="2" t="s">
        <v>4</v>
      </c>
      <c r="I46" s="2" t="s">
        <v>5</v>
      </c>
      <c r="J46" s="1"/>
      <c r="K46" s="1"/>
    </row>
    <row r="47" spans="1:11" ht="15" x14ac:dyDescent="0.2">
      <c r="A47" s="1"/>
      <c r="B47" s="1"/>
      <c r="C47" s="1"/>
      <c r="D47" s="2" t="s">
        <v>6</v>
      </c>
      <c r="E47" s="2" t="s">
        <v>6</v>
      </c>
      <c r="F47" s="2" t="s">
        <v>6</v>
      </c>
      <c r="G47" s="2" t="s">
        <v>6</v>
      </c>
      <c r="H47" s="2" t="s">
        <v>6</v>
      </c>
      <c r="I47" s="2" t="s">
        <v>6</v>
      </c>
      <c r="J47" s="1"/>
      <c r="K47" s="1"/>
    </row>
    <row r="48" spans="1:11" ht="1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15.75" thickBot="1" x14ac:dyDescent="0.25">
      <c r="A49" s="1" t="s">
        <v>9</v>
      </c>
      <c r="B49" s="1"/>
      <c r="C49" s="1"/>
      <c r="D49" s="8">
        <f t="shared" ref="D49" si="13">30000*0.24*26</f>
        <v>187200</v>
      </c>
      <c r="E49" s="8">
        <f>42000*0.24*26</f>
        <v>262080</v>
      </c>
      <c r="F49" s="8">
        <f>44000*0.24*26</f>
        <v>274560</v>
      </c>
      <c r="G49" s="8">
        <f>46000*0.24*26</f>
        <v>287040</v>
      </c>
      <c r="H49" s="8">
        <f>51000*0.24*26</f>
        <v>318240</v>
      </c>
      <c r="I49" s="8">
        <f>49000*0.24*26</f>
        <v>305760</v>
      </c>
      <c r="J49" s="1"/>
      <c r="K49" s="1"/>
    </row>
    <row r="50" spans="1:11" ht="1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15" x14ac:dyDescent="0.2">
      <c r="A51" s="1" t="s">
        <v>38</v>
      </c>
      <c r="B51" s="1"/>
      <c r="C51" s="1"/>
      <c r="D51" s="1"/>
      <c r="E51" s="1">
        <f>D49*0.6*0.985</f>
        <v>110635.2</v>
      </c>
      <c r="F51" s="1">
        <f>D49*0.4</f>
        <v>74880</v>
      </c>
      <c r="G51" s="1"/>
      <c r="H51" s="1"/>
      <c r="I51" s="1"/>
      <c r="J51" s="1"/>
      <c r="K51" s="1"/>
    </row>
    <row r="52" spans="1:11" ht="15" x14ac:dyDescent="0.2">
      <c r="A52" s="1" t="s">
        <v>39</v>
      </c>
      <c r="B52" s="1"/>
      <c r="C52" s="1"/>
      <c r="D52" s="1"/>
      <c r="E52" s="1"/>
      <c r="F52" s="1">
        <f>E49*0.6*0.985</f>
        <v>154889.28</v>
      </c>
      <c r="G52" s="1">
        <f>E49*0.4</f>
        <v>104832</v>
      </c>
      <c r="H52" s="1"/>
      <c r="I52" s="1"/>
      <c r="J52" s="1"/>
      <c r="K52" s="1"/>
    </row>
    <row r="53" spans="1:11" ht="15" x14ac:dyDescent="0.2">
      <c r="A53" s="1" t="s">
        <v>2</v>
      </c>
      <c r="B53" s="1"/>
      <c r="C53" s="1"/>
      <c r="D53" s="1"/>
      <c r="E53" s="1"/>
      <c r="F53" s="1"/>
      <c r="G53" s="1">
        <f>F49*0.6*0.985</f>
        <v>162264.95999999999</v>
      </c>
      <c r="H53" s="1">
        <f>F49*0.4</f>
        <v>109824</v>
      </c>
      <c r="I53" s="1"/>
      <c r="J53" s="1"/>
      <c r="K53" s="1"/>
    </row>
    <row r="54" spans="1:11" ht="15" x14ac:dyDescent="0.2">
      <c r="A54" s="1" t="s">
        <v>3</v>
      </c>
      <c r="B54" s="1"/>
      <c r="C54" s="1"/>
      <c r="D54" s="1"/>
      <c r="E54" s="1"/>
      <c r="F54" s="1"/>
      <c r="G54" s="1"/>
      <c r="H54" s="1">
        <f>G49*0.6*0.985</f>
        <v>169640.63999999998</v>
      </c>
      <c r="I54" s="1">
        <f>G49*0.4</f>
        <v>114816</v>
      </c>
      <c r="J54" s="1"/>
      <c r="K54" s="1"/>
    </row>
    <row r="55" spans="1:11" ht="15" x14ac:dyDescent="0.2">
      <c r="A55" s="1" t="s">
        <v>4</v>
      </c>
      <c r="B55" s="1"/>
      <c r="C55" s="1"/>
      <c r="D55" s="1"/>
      <c r="E55" s="1"/>
      <c r="F55" s="1"/>
      <c r="G55" s="1"/>
      <c r="H55" s="1"/>
      <c r="I55" s="1">
        <f>H49*0.6*0.985</f>
        <v>188079.84</v>
      </c>
      <c r="J55" s="1"/>
      <c r="K55" s="1"/>
    </row>
    <row r="56" spans="1:11" ht="1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5.75" thickBot="1" x14ac:dyDescent="0.25">
      <c r="A57" s="3"/>
      <c r="B57" s="3"/>
      <c r="C57" s="3"/>
      <c r="D57" s="9">
        <f>SUM(D51:D56)</f>
        <v>0</v>
      </c>
      <c r="E57" s="9">
        <f t="shared" ref="E57:I57" si="14">SUM(E51:E56)</f>
        <v>110635.2</v>
      </c>
      <c r="F57" s="9">
        <f t="shared" si="14"/>
        <v>229769.28</v>
      </c>
      <c r="G57" s="9">
        <f t="shared" si="14"/>
        <v>267096.95999999996</v>
      </c>
      <c r="H57" s="9">
        <f t="shared" si="14"/>
        <v>279464.64</v>
      </c>
      <c r="I57" s="9">
        <f t="shared" si="14"/>
        <v>302895.83999999997</v>
      </c>
      <c r="J57" s="1"/>
      <c r="K57" s="1"/>
    </row>
    <row r="58" spans="1:11" ht="15.75" thickTop="1" x14ac:dyDescent="0.2">
      <c r="A58" s="3"/>
      <c r="B58" s="3"/>
      <c r="C58" s="3"/>
      <c r="D58" s="10"/>
      <c r="E58" s="10"/>
      <c r="F58" s="10"/>
      <c r="G58" s="10"/>
      <c r="H58" s="10"/>
      <c r="I58" s="10"/>
      <c r="J58" s="1"/>
      <c r="K58" s="1"/>
    </row>
    <row r="59" spans="1:11" ht="15" x14ac:dyDescent="0.2">
      <c r="A59" s="3"/>
      <c r="B59" s="3"/>
      <c r="C59" s="3"/>
      <c r="D59" s="1"/>
      <c r="E59" s="1"/>
      <c r="F59" s="1"/>
      <c r="G59" s="1"/>
      <c r="H59" s="1"/>
      <c r="I59" s="1"/>
      <c r="J59" s="1"/>
      <c r="K59" s="1"/>
    </row>
    <row r="60" spans="1:11" ht="15" x14ac:dyDescent="0.2">
      <c r="A60" s="1"/>
      <c r="B60" s="1"/>
      <c r="C60" s="1"/>
      <c r="D60" s="2" t="s">
        <v>0</v>
      </c>
      <c r="E60" s="2" t="s">
        <v>1</v>
      </c>
      <c r="F60" s="2" t="s">
        <v>2</v>
      </c>
      <c r="G60" s="2" t="s">
        <v>3</v>
      </c>
      <c r="H60" s="2" t="s">
        <v>4</v>
      </c>
      <c r="I60" s="2" t="s">
        <v>5</v>
      </c>
      <c r="J60" s="1"/>
      <c r="K60" s="1"/>
    </row>
    <row r="61" spans="1:11" ht="15" x14ac:dyDescent="0.2">
      <c r="A61" s="1"/>
      <c r="B61" s="1"/>
      <c r="C61" s="1"/>
      <c r="D61" s="2" t="s">
        <v>6</v>
      </c>
      <c r="E61" s="2" t="s">
        <v>6</v>
      </c>
      <c r="F61" s="2" t="s">
        <v>6</v>
      </c>
      <c r="G61" s="2" t="s">
        <v>6</v>
      </c>
      <c r="H61" s="2" t="s">
        <v>6</v>
      </c>
      <c r="I61" s="2" t="s">
        <v>6</v>
      </c>
      <c r="J61" s="1"/>
      <c r="K61" s="1"/>
    </row>
    <row r="62" spans="1:11" ht="1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6.5" thickBot="1" x14ac:dyDescent="0.3">
      <c r="A63" s="1" t="s">
        <v>8</v>
      </c>
      <c r="B63" s="1"/>
      <c r="C63" s="1"/>
      <c r="D63" s="14">
        <f>30000*0.76*26</f>
        <v>592800</v>
      </c>
      <c r="E63" s="14">
        <f>42000*0.76*26</f>
        <v>829920</v>
      </c>
      <c r="F63" s="14">
        <f>44000*0.76*26</f>
        <v>869440</v>
      </c>
      <c r="G63" s="14">
        <f>46000*0.76*26</f>
        <v>908960</v>
      </c>
      <c r="H63" s="14">
        <f>51000*0.76*26</f>
        <v>1007760</v>
      </c>
      <c r="I63" s="14">
        <f>49000*0.76*26</f>
        <v>968240</v>
      </c>
      <c r="J63" s="1"/>
      <c r="K63" s="1"/>
    </row>
    <row r="64" spans="1:11" ht="15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5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5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5" x14ac:dyDescent="0.2">
      <c r="A67" s="3" t="s">
        <v>47</v>
      </c>
      <c r="B67" s="3"/>
      <c r="C67" s="3"/>
      <c r="D67" s="1"/>
      <c r="E67" s="1"/>
      <c r="F67" s="1"/>
      <c r="G67" s="1"/>
      <c r="H67" s="1"/>
      <c r="I67" s="1"/>
      <c r="J67" s="1"/>
      <c r="K67" s="1"/>
    </row>
    <row r="68" spans="1:11" ht="15" x14ac:dyDescent="0.2">
      <c r="A68" s="3"/>
      <c r="B68" s="3"/>
      <c r="C68" s="3"/>
      <c r="D68" s="1"/>
      <c r="E68" s="1"/>
      <c r="F68" s="1"/>
      <c r="G68" s="1"/>
      <c r="H68" s="1"/>
      <c r="I68" s="1"/>
      <c r="J68" s="1"/>
      <c r="K68" s="1"/>
    </row>
    <row r="69" spans="1:11" ht="15" x14ac:dyDescent="0.2">
      <c r="A69" s="1"/>
      <c r="B69" s="1"/>
      <c r="C69" s="1"/>
      <c r="D69" s="1"/>
      <c r="E69" s="1"/>
      <c r="F69" s="2" t="s">
        <v>6</v>
      </c>
      <c r="G69" s="1"/>
      <c r="H69" s="1"/>
      <c r="I69" s="1"/>
      <c r="J69" s="1"/>
      <c r="K69" s="1"/>
    </row>
    <row r="70" spans="1:11" ht="15.75" thickBot="1" x14ac:dyDescent="0.25">
      <c r="A70" s="1" t="s">
        <v>59</v>
      </c>
      <c r="B70" s="1"/>
      <c r="C70" s="1"/>
      <c r="D70" s="1"/>
      <c r="E70" s="1"/>
      <c r="F70" s="8">
        <f>269840*3</f>
        <v>809520</v>
      </c>
      <c r="G70" s="1"/>
      <c r="H70" s="1"/>
      <c r="I70" s="1"/>
      <c r="J70" s="1"/>
      <c r="K70" s="1"/>
    </row>
    <row r="71" spans="1:11" ht="1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5" x14ac:dyDescent="0.2">
      <c r="A72" s="1" t="s">
        <v>40</v>
      </c>
      <c r="B72" s="1"/>
      <c r="C72" s="1"/>
      <c r="D72" s="1"/>
      <c r="E72" s="1"/>
      <c r="F72" s="2"/>
      <c r="G72" s="1"/>
      <c r="H72" s="1"/>
      <c r="I72" s="1"/>
      <c r="J72" s="1"/>
      <c r="K72" s="1"/>
    </row>
    <row r="73" spans="1:11" ht="1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5" x14ac:dyDescent="0.2">
      <c r="A74" s="1"/>
      <c r="B74" s="1" t="s">
        <v>53</v>
      </c>
      <c r="C74" s="1"/>
      <c r="D74" s="1"/>
      <c r="E74" s="1"/>
      <c r="F74" s="1">
        <f>F70*0.2</f>
        <v>161904</v>
      </c>
      <c r="G74" s="1"/>
      <c r="H74" s="1"/>
      <c r="I74" s="1"/>
      <c r="J74" s="1"/>
      <c r="K74" s="1"/>
    </row>
    <row r="75" spans="1:11" ht="15" x14ac:dyDescent="0.2">
      <c r="A75" s="1"/>
      <c r="B75" s="1" t="s">
        <v>54</v>
      </c>
      <c r="C75" s="1"/>
      <c r="D75" s="1"/>
      <c r="E75" s="1"/>
      <c r="F75" s="1">
        <f>F70*0.49</f>
        <v>396664.8</v>
      </c>
      <c r="G75" s="1"/>
      <c r="H75" s="1"/>
      <c r="I75" s="1"/>
      <c r="J75" s="1"/>
      <c r="K75" s="1"/>
    </row>
    <row r="76" spans="1:11" ht="15" x14ac:dyDescent="0.2">
      <c r="A76" s="1"/>
      <c r="B76" s="1" t="s">
        <v>55</v>
      </c>
      <c r="C76" s="1"/>
      <c r="D76" s="1"/>
      <c r="E76" s="1"/>
      <c r="F76" s="1">
        <f>F70*0.31</f>
        <v>250951.2</v>
      </c>
      <c r="G76" s="1"/>
      <c r="H76" s="1"/>
      <c r="I76" s="1"/>
      <c r="J76" s="1"/>
      <c r="K76" s="1"/>
    </row>
    <row r="77" spans="1:11" ht="1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5.75" thickBot="1" x14ac:dyDescent="0.25">
      <c r="A78" s="1"/>
      <c r="B78" s="1"/>
      <c r="C78" s="1"/>
      <c r="D78" s="1"/>
      <c r="E78" s="1"/>
      <c r="F78" s="4">
        <f>SUM(F74:F76)</f>
        <v>809520</v>
      </c>
      <c r="G78" s="1"/>
      <c r="H78" s="1"/>
      <c r="I78" s="1"/>
      <c r="J78" s="1"/>
      <c r="K78" s="1"/>
    </row>
    <row r="79" spans="1:11" ht="15.75" thickTop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5.75" x14ac:dyDescent="0.25">
      <c r="A82" s="11" t="s">
        <v>41</v>
      </c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5" x14ac:dyDescent="0.2">
      <c r="A84" s="1"/>
      <c r="B84" s="1" t="s">
        <v>42</v>
      </c>
      <c r="C84" s="1"/>
      <c r="D84" s="1"/>
      <c r="E84" s="1"/>
      <c r="F84" s="1">
        <f>F74/6</f>
        <v>26984</v>
      </c>
      <c r="G84" s="1" t="s">
        <v>43</v>
      </c>
      <c r="H84" s="1"/>
      <c r="I84" s="1"/>
      <c r="J84" s="1"/>
      <c r="K84" s="1"/>
    </row>
    <row r="85" spans="1:11" ht="15" x14ac:dyDescent="0.2">
      <c r="A85" s="1"/>
      <c r="B85" s="1" t="s">
        <v>19</v>
      </c>
      <c r="C85" s="1"/>
      <c r="D85" s="1"/>
      <c r="E85" s="1"/>
      <c r="F85" s="1">
        <f>F75/2</f>
        <v>198332.4</v>
      </c>
      <c r="G85" s="1" t="s">
        <v>44</v>
      </c>
      <c r="H85" s="1"/>
      <c r="I85" s="1"/>
      <c r="J85" s="1"/>
      <c r="K85" s="1"/>
    </row>
    <row r="86" spans="1:11" ht="15" x14ac:dyDescent="0.2">
      <c r="A86" s="1"/>
      <c r="B86" s="1" t="s">
        <v>45</v>
      </c>
      <c r="C86" s="1"/>
      <c r="D86" s="1"/>
      <c r="E86" s="1"/>
      <c r="F86" s="1"/>
      <c r="G86" s="1"/>
      <c r="H86" s="1"/>
      <c r="I86" s="1"/>
      <c r="J86" s="1"/>
      <c r="K86" s="1"/>
    </row>
  </sheetData>
  <printOptions gridLines="1" gridLinesSet="0"/>
  <pageMargins left="0.74803149606299213" right="0.74803149606299213" top="0.98425196850393704" bottom="0.98425196850393704" header="0.51181102362204722" footer="0.51181102362204722"/>
  <pageSetup paperSize="9" orientation="landscape" verticalDpi="36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Cash Budget</vt:lpstr>
      <vt:lpstr>Workings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2019-01-11T11:28:14Z</cp:lastPrinted>
  <dcterms:created xsi:type="dcterms:W3CDTF">2011-01-20T13:49:36Z</dcterms:created>
  <dcterms:modified xsi:type="dcterms:W3CDTF">2019-01-22T15:18:48Z</dcterms:modified>
</cp:coreProperties>
</file>