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Ex1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68B7C8A7-8D9D-46C0-B458-D68C6D4DAF32}" xr6:coauthVersionLast="47" xr6:coauthVersionMax="47" xr10:uidLastSave="{00000000-0000-0000-0000-000000000000}"/>
  <bookViews>
    <workbookView xWindow="-108" yWindow="-108" windowWidth="23256" windowHeight="12456" tabRatio="840" xr2:uid="{00000000-000D-0000-FFFF-FFFF00000000}"/>
  </bookViews>
  <sheets>
    <sheet name="Private Sector Value" sheetId="46" r:id="rId1"/>
    <sheet name="Public Sector Value" sheetId="44" r:id="rId2"/>
    <sheet name="Firm Size" sheetId="52" r:id="rId3"/>
    <sheet name="No. of Firms - Turnover" sheetId="61" r:id="rId4"/>
  </sheets>
  <definedNames>
    <definedName name="_xlchart.v2.0" hidden="1">'No. of Firms - Turnover'!$B$20</definedName>
    <definedName name="_xlchart.v2.1" hidden="1">'No. of Firms - Turnover'!$B$21:$B$33</definedName>
    <definedName name="_xlchart.v2.2" hidden="1">'No. of Firms - Turnover'!$C$20</definedName>
    <definedName name="_xlchart.v2.3" hidden="1">'No. of Firms - Turnover'!$C$21:$C$33</definedName>
    <definedName name="_xlchart.v2.4" hidden="1">'No. of Firms - Turnover'!$D$20</definedName>
    <definedName name="_xlchart.v2.5" hidden="1">'No. of Firms - Turnover'!$D$21:$D$33</definedName>
    <definedName name="_xlchart.v2.6" hidden="1">'No. of Firms - Turnover'!$E$20</definedName>
    <definedName name="_xlchart.v2.7" hidden="1">'No. of Firms - Turnover'!$E$21:$E$33</definedName>
    <definedName name="_xlchart.v2.8" hidden="1">'No. of Firms - Turnover'!$F$20</definedName>
    <definedName name="_xlchart.v2.9" hidden="1">'No. of Firms - Turnover'!$F$21:$F$33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61" l="1"/>
  <c r="E35" i="61"/>
  <c r="D35" i="61"/>
  <c r="C35" i="61"/>
  <c r="B35" i="61"/>
  <c r="F22" i="61"/>
  <c r="F23" i="61"/>
  <c r="F24" i="61"/>
  <c r="F25" i="61"/>
  <c r="F26" i="61"/>
  <c r="F27" i="61"/>
  <c r="F28" i="61"/>
  <c r="F29" i="61"/>
  <c r="F30" i="61"/>
  <c r="F31" i="61"/>
  <c r="F32" i="61"/>
  <c r="E22" i="61"/>
  <c r="E23" i="61"/>
  <c r="E24" i="61"/>
  <c r="E25" i="61"/>
  <c r="E26" i="61"/>
  <c r="E27" i="61"/>
  <c r="E28" i="61"/>
  <c r="E29" i="61"/>
  <c r="E30" i="61"/>
  <c r="E31" i="61"/>
  <c r="E32" i="61"/>
  <c r="D22" i="61"/>
  <c r="D23" i="61"/>
  <c r="D24" i="61"/>
  <c r="D25" i="61"/>
  <c r="D26" i="61"/>
  <c r="D27" i="61"/>
  <c r="D28" i="61"/>
  <c r="D29" i="61"/>
  <c r="D30" i="61"/>
  <c r="D31" i="61"/>
  <c r="D32" i="61"/>
  <c r="C22" i="61"/>
  <c r="C23" i="61"/>
  <c r="C24" i="61"/>
  <c r="C25" i="61"/>
  <c r="C26" i="61"/>
  <c r="C27" i="61"/>
  <c r="C28" i="61"/>
  <c r="C29" i="61"/>
  <c r="C30" i="61"/>
  <c r="C31" i="61"/>
  <c r="C32" i="61"/>
  <c r="F21" i="61"/>
  <c r="E21" i="61"/>
  <c r="D21" i="61"/>
  <c r="C21" i="61"/>
  <c r="B32" i="61"/>
  <c r="B22" i="61"/>
  <c r="B23" i="61"/>
  <c r="B24" i="61"/>
  <c r="B25" i="61"/>
  <c r="B26" i="61"/>
  <c r="B27" i="61"/>
  <c r="B28" i="61"/>
  <c r="B29" i="61"/>
  <c r="B30" i="61"/>
  <c r="B31" i="61"/>
  <c r="B21" i="61"/>
  <c r="F37" i="52"/>
  <c r="E37" i="52"/>
  <c r="D37" i="52"/>
  <c r="C37" i="52"/>
  <c r="B37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E23" i="52"/>
  <c r="E24" i="52"/>
  <c r="E25" i="52"/>
  <c r="E26" i="52"/>
  <c r="E27" i="52"/>
  <c r="E28" i="52"/>
  <c r="E29" i="52"/>
  <c r="E30" i="52"/>
  <c r="E31" i="52"/>
  <c r="E32" i="52"/>
  <c r="E33" i="52"/>
  <c r="E34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F22" i="52"/>
  <c r="E22" i="52"/>
  <c r="D22" i="52"/>
  <c r="C23" i="52"/>
  <c r="C24" i="52"/>
  <c r="C25" i="52"/>
  <c r="C26" i="52"/>
  <c r="C27" i="52"/>
  <c r="C28" i="52"/>
  <c r="C29" i="52"/>
  <c r="C30" i="52"/>
  <c r="C31" i="52"/>
  <c r="C32" i="52"/>
  <c r="C33" i="52"/>
  <c r="C34" i="52"/>
  <c r="C22" i="52"/>
  <c r="B23" i="52"/>
  <c r="B24" i="52"/>
  <c r="B25" i="52"/>
  <c r="B26" i="52"/>
  <c r="B27" i="52"/>
  <c r="B28" i="52"/>
  <c r="B29" i="52"/>
  <c r="B30" i="52"/>
  <c r="B31" i="52"/>
  <c r="B32" i="52"/>
  <c r="B33" i="52"/>
  <c r="B34" i="52"/>
  <c r="B22" i="52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6" i="46"/>
  <c r="B35" i="46"/>
  <c r="B34" i="46"/>
  <c r="B33" i="46"/>
  <c r="B32" i="46"/>
  <c r="C36" i="44"/>
  <c r="D36" i="44"/>
  <c r="E36" i="44"/>
  <c r="F36" i="44"/>
  <c r="G36" i="44"/>
  <c r="H36" i="44"/>
  <c r="I36" i="44"/>
  <c r="J36" i="44"/>
  <c r="K36" i="44"/>
  <c r="L36" i="44"/>
  <c r="M36" i="44"/>
  <c r="N36" i="44"/>
  <c r="O36" i="44"/>
  <c r="B36" i="44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  <c r="B33" i="44"/>
  <c r="M32" i="44"/>
  <c r="N32" i="44"/>
  <c r="O32" i="44"/>
  <c r="C32" i="44"/>
  <c r="D32" i="44"/>
  <c r="E32" i="44"/>
  <c r="F32" i="44"/>
  <c r="G32" i="44"/>
  <c r="H32" i="44"/>
  <c r="I32" i="44"/>
  <c r="J32" i="44"/>
  <c r="K32" i="44"/>
  <c r="L32" i="44"/>
  <c r="B32" i="44"/>
</calcChain>
</file>

<file path=xl/sharedStrings.xml><?xml version="1.0" encoding="utf-8"?>
<sst xmlns="http://schemas.openxmlformats.org/spreadsheetml/2006/main" count="144" uniqueCount="117">
  <si>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</si>
  <si>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</si>
  <si>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</si>
  <si>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</si>
  <si>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</si>
  <si>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</si>
  <si>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</si>
  <si>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</si>
  <si>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</si>
  <si>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</si>
  <si>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</si>
  <si>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</si>
  <si>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</si>
  <si>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</si>
  <si>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</si>
  <si>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</si>
  <si>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</si>
  <si>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</si>
  <si>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</si>
  <si>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</si>
  <si>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</si>
  <si>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</si>
  <si>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</si>
  <si>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</si>
  <si>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</si>
  <si>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</si>
  <si>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</si>
  <si>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</si>
  <si>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</si>
  <si>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</si>
  <si>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</si>
  <si>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</si>
  <si>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</si>
  <si>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</si>
  <si>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</si>
  <si>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</si>
  <si>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</si>
  <si>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</si>
  <si>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</si>
  <si>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</si>
  <si>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</si>
  <si>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</si>
  <si>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</si>
  <si>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</si>
  <si>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</si>
  <si>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</si>
  <si>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</si>
  <si>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</si>
  <si>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</si>
  <si>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</si>
  <si>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</si>
  <si>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</si>
  <si>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</si>
  <si>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</si>
  <si>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</si>
  <si>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</si>
  <si>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</si>
  <si>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</si>
  <si>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</si>
  <si>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</si>
  <si>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</si>
  <si>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</si>
  <si>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</si>
  <si>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</si>
  <si>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</si>
  <si>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</si>
  <si>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</si>
  <si>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</si>
  <si>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</si>
  <si>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</si>
  <si>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</si>
  <si>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</si>
  <si>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</si>
  <si>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</si>
  <si>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</si>
  <si>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</si>
  <si>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</si>
  <si>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</si>
  <si>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</si>
  <si>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</si>
  <si>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</si>
  <si>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</si>
  <si>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</si>
  <si>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</si>
  <si>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</si>
  <si>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</si>
  <si>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</si>
  <si>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</si>
  <si>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</si>
  <si>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</si>
  <si>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</si>
  <si>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</si>
  <si>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</si>
  <si>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</si>
  <si>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</si>
  <si>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</si>
  <si>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</si>
  <si>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</si>
  <si>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</si>
  <si>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</si>
  <si>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</si>
  <si>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</si>
  <si>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</si>
  <si>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</si>
  <si>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</si>
  <si>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 xml:space="preserve">median </t>
  </si>
  <si>
    <t>mean</t>
  </si>
  <si>
    <t>mode</t>
  </si>
  <si>
    <t>range</t>
  </si>
  <si>
    <t>median</t>
  </si>
  <si>
    <t xml:space="preserve">range </t>
  </si>
  <si>
    <t>standard deviation</t>
  </si>
  <si>
    <t xml:space="preserve">standard deviation </t>
  </si>
  <si>
    <t xml:space="preserve">All firms </t>
  </si>
  <si>
    <t xml:space="preserve">mean </t>
  </si>
  <si>
    <t xml:space="preserve">all firms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</si>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</sst>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3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private</a:t>
            </a:r>
            <a:r>
              <a:rPr lang="en-GB" baseline="0"/>
              <a:t> sctor value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percentStacked"/>
        <c:varyColors val="0"/>
        <c:ser>
          <c:idx val="0"/>
          <c:order val="0"/>
          <c:tx>
            <c:strRef>
              <c:f>'Private Sector Value'!$A$4</c:f>
              <c:strCache>
                <c:ptCount val="1"/>
                <c:pt idx="0">
                  <c:v>Time period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42-4C61-B7A2-3D542C21640D}"/>
            </c:ext>
          </c:extLst>
        </c:ser>
        <c:ser>
          <c:idx val="1"/>
          <c:order val="1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42-4C61-B7A2-3D542C21640D}"/>
            </c:ext>
          </c:extLst>
        </c:ser>
        <c:ser>
          <c:idx val="2"/>
          <c:order val="2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42-4C61-B7A2-3D542C21640D}"/>
            </c:ext>
          </c:extLst>
        </c:ser>
        <c:ser>
          <c:idx val="3"/>
          <c:order val="3"/>
          <c:tx>
            <c:strRef>
              <c:f>'Private Sector Value'!$D$4</c:f>
              <c:strCache>
                <c:ptCount val="1"/>
                <c:pt idx="0">
                  <c:v>Private industrial: factories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val>
            <c:numRef>
              <c:f>'Private Sector Value'!$D$5:$D$30</c:f>
              <c:numCache>
                <c:formatCode>#,##0</c:formatCode>
                <c:ptCount val="26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142-4C61-B7A2-3D542C21640D}"/>
            </c:ext>
          </c:extLst>
        </c:ser>
        <c:ser>
          <c:idx val="4"/>
          <c:order val="4"/>
          <c:tx>
            <c:strRef>
              <c:f>'Private Sector Value'!$E$4</c:f>
              <c:strCache>
                <c:ptCount val="1"/>
                <c:pt idx="0">
                  <c:v>Private industrial: warehouses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val>
            <c:numRef>
              <c:f>'Private Sector Value'!$E$5:$E$30</c:f>
              <c:numCache>
                <c:formatCode>#,##0</c:formatCode>
                <c:ptCount val="26"/>
                <c:pt idx="0">
                  <c:v>1492</c:v>
                </c:pt>
                <c:pt idx="1">
                  <c:v>1600</c:v>
                </c:pt>
                <c:pt idx="2">
                  <c:v>1828</c:v>
                </c:pt>
                <c:pt idx="3">
                  <c:v>1761</c:v>
                </c:pt>
                <c:pt idx="4">
                  <c:v>1616</c:v>
                </c:pt>
                <c:pt idx="5">
                  <c:v>1765</c:v>
                </c:pt>
                <c:pt idx="6">
                  <c:v>2096</c:v>
                </c:pt>
                <c:pt idx="7">
                  <c:v>2666</c:v>
                </c:pt>
                <c:pt idx="8">
                  <c:v>2987</c:v>
                </c:pt>
                <c:pt idx="9">
                  <c:v>3082</c:v>
                </c:pt>
                <c:pt idx="10">
                  <c:v>2174</c:v>
                </c:pt>
                <c:pt idx="11">
                  <c:v>1392</c:v>
                </c:pt>
                <c:pt idx="12">
                  <c:v>1384</c:v>
                </c:pt>
                <c:pt idx="13">
                  <c:v>1417</c:v>
                </c:pt>
                <c:pt idx="14">
                  <c:v>1295</c:v>
                </c:pt>
                <c:pt idx="15">
                  <c:v>1157</c:v>
                </c:pt>
                <c:pt idx="16">
                  <c:v>1749</c:v>
                </c:pt>
                <c:pt idx="17">
                  <c:v>2010</c:v>
                </c:pt>
                <c:pt idx="18">
                  <c:v>2120</c:v>
                </c:pt>
                <c:pt idx="19">
                  <c:v>2041</c:v>
                </c:pt>
                <c:pt idx="20">
                  <c:v>2850</c:v>
                </c:pt>
                <c:pt idx="21">
                  <c:v>3812</c:v>
                </c:pt>
                <c:pt idx="22">
                  <c:v>2942</c:v>
                </c:pt>
                <c:pt idx="23">
                  <c:v>2789</c:v>
                </c:pt>
                <c:pt idx="24">
                  <c:v>4614</c:v>
                </c:pt>
                <c:pt idx="25">
                  <c:v>4686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142-4C61-B7A2-3D542C21640D}"/>
            </c:ext>
          </c:extLst>
        </c:ser>
        <c:ser>
          <c:idx val="5"/>
          <c:order val="5"/>
          <c:tx>
            <c:strRef>
              <c:f>'Private Sector Value'!$F$4</c:f>
              <c:strCache>
                <c:ptCount val="1"/>
                <c:pt idx="0">
                  <c:v>Private industrial: oil, steel &amp; coal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val>
            <c:numRef>
              <c:f>'Private Sector Value'!$F$5:$F$30</c:f>
              <c:numCache>
                <c:formatCode>#,##0</c:formatCode>
                <c:ptCount val="26"/>
                <c:pt idx="0">
                  <c:v>130</c:v>
                </c:pt>
                <c:pt idx="1">
                  <c:v>133</c:v>
                </c:pt>
                <c:pt idx="2">
                  <c:v>69</c:v>
                </c:pt>
                <c:pt idx="3">
                  <c:v>63</c:v>
                </c:pt>
                <c:pt idx="4">
                  <c:v>73</c:v>
                </c:pt>
                <c:pt idx="5">
                  <c:v>131</c:v>
                </c:pt>
                <c:pt idx="6">
                  <c:v>178</c:v>
                </c:pt>
                <c:pt idx="7">
                  <c:v>216</c:v>
                </c:pt>
                <c:pt idx="8">
                  <c:v>243</c:v>
                </c:pt>
                <c:pt idx="9">
                  <c:v>179</c:v>
                </c:pt>
                <c:pt idx="10">
                  <c:v>244</c:v>
                </c:pt>
                <c:pt idx="11">
                  <c:v>175</c:v>
                </c:pt>
                <c:pt idx="12">
                  <c:v>169</c:v>
                </c:pt>
                <c:pt idx="13">
                  <c:v>274</c:v>
                </c:pt>
                <c:pt idx="14">
                  <c:v>348</c:v>
                </c:pt>
                <c:pt idx="15">
                  <c:v>305</c:v>
                </c:pt>
                <c:pt idx="16">
                  <c:v>198</c:v>
                </c:pt>
                <c:pt idx="17">
                  <c:v>73</c:v>
                </c:pt>
                <c:pt idx="18">
                  <c:v>52</c:v>
                </c:pt>
                <c:pt idx="19">
                  <c:v>74</c:v>
                </c:pt>
                <c:pt idx="20">
                  <c:v>57</c:v>
                </c:pt>
                <c:pt idx="21">
                  <c:v>14</c:v>
                </c:pt>
                <c:pt idx="22">
                  <c:v>34</c:v>
                </c:pt>
                <c:pt idx="23">
                  <c:v>116</c:v>
                </c:pt>
                <c:pt idx="24">
                  <c:v>260</c:v>
                </c:pt>
                <c:pt idx="25">
                  <c:v>438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142-4C61-B7A2-3D542C21640D}"/>
            </c:ext>
          </c:extLst>
        </c:ser>
        <c:ser>
          <c:idx val="6"/>
          <c:order val="6"/>
          <c:tx>
            <c:strRef>
              <c:f>'Private Sector Value'!$G$4</c:f>
              <c:strCache>
                <c:ptCount val="1"/>
                <c:pt idx="0">
                  <c:v>All private industrial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plus"/>
            <c:size val="6"/>
            <c:spPr>
              <a:noFill/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'Private Sector Value'!$G$5:$G$30</c:f>
              <c:numCache>
                <c:formatCode>#,##0</c:formatCode>
                <c:ptCount val="26"/>
                <c:pt idx="0">
                  <c:v>4893</c:v>
                </c:pt>
                <c:pt idx="1">
                  <c:v>5030</c:v>
                </c:pt>
                <c:pt idx="2">
                  <c:v>4717</c:v>
                </c:pt>
                <c:pt idx="3">
                  <c:v>4709</c:v>
                </c:pt>
                <c:pt idx="4">
                  <c:v>4323</c:v>
                </c:pt>
                <c:pt idx="5">
                  <c:v>4765</c:v>
                </c:pt>
                <c:pt idx="6">
                  <c:v>5210</c:v>
                </c:pt>
                <c:pt idx="7">
                  <c:v>5610</c:v>
                </c:pt>
                <c:pt idx="8">
                  <c:v>6308</c:v>
                </c:pt>
                <c:pt idx="9">
                  <c:v>6438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4588</c:v>
                </c:pt>
                <c:pt idx="19">
                  <c:v>4826</c:v>
                </c:pt>
                <c:pt idx="20">
                  <c:v>5521</c:v>
                </c:pt>
                <c:pt idx="21">
                  <c:v>5962</c:v>
                </c:pt>
                <c:pt idx="22">
                  <c:v>4901</c:v>
                </c:pt>
                <c:pt idx="23">
                  <c:v>5201</c:v>
                </c:pt>
                <c:pt idx="24">
                  <c:v>8170</c:v>
                </c:pt>
                <c:pt idx="25">
                  <c:v>8509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142-4C61-B7A2-3D542C21640D}"/>
            </c:ext>
          </c:extLst>
        </c:ser>
        <c:ser>
          <c:idx val="7"/>
          <c:order val="7"/>
          <c:tx>
            <c:strRef>
              <c:f>'Private Sector Value'!$H$4</c:f>
              <c:strCache>
                <c:ptCount val="1"/>
                <c:pt idx="0">
                  <c:v>Private commercial: schools &amp; universities</c:v>
                </c:pt>
              </c:strCache>
            </c:strRef>
          </c:tx>
          <c:spPr>
            <a:ln w="222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dot"/>
            <c:size val="6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'Private Sector Value'!$H$5:$H$30</c:f>
              <c:numCache>
                <c:formatCode>#,##0</c:formatCode>
                <c:ptCount val="26"/>
                <c:pt idx="0">
                  <c:v>396</c:v>
                </c:pt>
                <c:pt idx="1">
                  <c:v>503</c:v>
                </c:pt>
                <c:pt idx="2">
                  <c:v>979</c:v>
                </c:pt>
                <c:pt idx="3">
                  <c:v>1355</c:v>
                </c:pt>
                <c:pt idx="4">
                  <c:v>1611</c:v>
                </c:pt>
                <c:pt idx="5">
                  <c:v>2182</c:v>
                </c:pt>
                <c:pt idx="6">
                  <c:v>2003</c:v>
                </c:pt>
                <c:pt idx="7">
                  <c:v>2541</c:v>
                </c:pt>
                <c:pt idx="8">
                  <c:v>3834</c:v>
                </c:pt>
                <c:pt idx="9">
                  <c:v>3818</c:v>
                </c:pt>
                <c:pt idx="10">
                  <c:v>3338</c:v>
                </c:pt>
                <c:pt idx="11">
                  <c:v>2656</c:v>
                </c:pt>
                <c:pt idx="12">
                  <c:v>3039</c:v>
                </c:pt>
                <c:pt idx="13">
                  <c:v>2093</c:v>
                </c:pt>
                <c:pt idx="14">
                  <c:v>2294</c:v>
                </c:pt>
                <c:pt idx="15">
                  <c:v>2724</c:v>
                </c:pt>
                <c:pt idx="16">
                  <c:v>4052</c:v>
                </c:pt>
                <c:pt idx="17">
                  <c:v>4548</c:v>
                </c:pt>
                <c:pt idx="18">
                  <c:v>5208</c:v>
                </c:pt>
                <c:pt idx="19">
                  <c:v>5796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3929</c:v>
                </c:pt>
                <c:pt idx="25">
                  <c:v>3870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142-4C61-B7A2-3D542C21640D}"/>
            </c:ext>
          </c:extLst>
        </c:ser>
        <c:ser>
          <c:idx val="8"/>
          <c:order val="8"/>
          <c:tx>
            <c:strRef>
              <c:f>'Private Sector Value'!$I$4</c:f>
              <c:strCache>
                <c:ptCount val="1"/>
                <c:pt idx="0">
                  <c:v>Private commercial: health</c:v>
                </c:pt>
              </c:strCache>
            </c:strRef>
          </c:tx>
          <c:spPr>
            <a:ln w="222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dash"/>
            <c:size val="6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'Private Sector Value'!$I$5:$I$30</c:f>
              <c:numCache>
                <c:formatCode>#,##0</c:formatCode>
                <c:ptCount val="26"/>
                <c:pt idx="0">
                  <c:v>578</c:v>
                </c:pt>
                <c:pt idx="1">
                  <c:v>694</c:v>
                </c:pt>
                <c:pt idx="2">
                  <c:v>914</c:v>
                </c:pt>
                <c:pt idx="3">
                  <c:v>803</c:v>
                </c:pt>
                <c:pt idx="4">
                  <c:v>895</c:v>
                </c:pt>
                <c:pt idx="5">
                  <c:v>999</c:v>
                </c:pt>
                <c:pt idx="6">
                  <c:v>2091</c:v>
                </c:pt>
                <c:pt idx="7">
                  <c:v>1982</c:v>
                </c:pt>
                <c:pt idx="8">
                  <c:v>2272</c:v>
                </c:pt>
                <c:pt idx="9">
                  <c:v>2622</c:v>
                </c:pt>
                <c:pt idx="10">
                  <c:v>4218</c:v>
                </c:pt>
                <c:pt idx="11">
                  <c:v>2923</c:v>
                </c:pt>
                <c:pt idx="12">
                  <c:v>2054</c:v>
                </c:pt>
                <c:pt idx="13">
                  <c:v>1976</c:v>
                </c:pt>
                <c:pt idx="14">
                  <c:v>1623</c:v>
                </c:pt>
                <c:pt idx="15">
                  <c:v>1431</c:v>
                </c:pt>
                <c:pt idx="16">
                  <c:v>1144</c:v>
                </c:pt>
                <c:pt idx="17">
                  <c:v>1099</c:v>
                </c:pt>
                <c:pt idx="18">
                  <c:v>1204</c:v>
                </c:pt>
                <c:pt idx="19">
                  <c:v>1198</c:v>
                </c:pt>
                <c:pt idx="20">
                  <c:v>966</c:v>
                </c:pt>
                <c:pt idx="21">
                  <c:v>1173</c:v>
                </c:pt>
                <c:pt idx="22">
                  <c:v>727</c:v>
                </c:pt>
                <c:pt idx="23">
                  <c:v>794</c:v>
                </c:pt>
                <c:pt idx="24">
                  <c:v>1195</c:v>
                </c:pt>
                <c:pt idx="25">
                  <c:v>1505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2142-4C61-B7A2-3D542C21640D}"/>
            </c:ext>
          </c:extLst>
        </c:ser>
        <c:ser>
          <c:idx val="9"/>
          <c:order val="9"/>
          <c:tx>
            <c:strRef>
              <c:f>'Private Sector Value'!$J$4</c:f>
              <c:strCache>
                <c:ptCount val="1"/>
                <c:pt idx="0">
                  <c:v>Private commercial: offices</c:v>
                </c:pt>
              </c:strCache>
            </c:strRef>
          </c:tx>
          <c:spPr>
            <a:ln w="2222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'Private Sector Value'!$J$5:$J$30</c:f>
              <c:numCache>
                <c:formatCode>#,##0</c:formatCode>
                <c:ptCount val="26"/>
                <c:pt idx="0">
                  <c:v>5186</c:v>
                </c:pt>
                <c:pt idx="1">
                  <c:v>6037</c:v>
                </c:pt>
                <c:pt idx="2">
                  <c:v>7397</c:v>
                </c:pt>
                <c:pt idx="3">
                  <c:v>8946</c:v>
                </c:pt>
                <c:pt idx="4">
                  <c:v>8881</c:v>
                </c:pt>
                <c:pt idx="5">
                  <c:v>7815</c:v>
                </c:pt>
                <c:pt idx="6">
                  <c:v>7973</c:v>
                </c:pt>
                <c:pt idx="7">
                  <c:v>8886</c:v>
                </c:pt>
                <c:pt idx="8">
                  <c:v>10390</c:v>
                </c:pt>
                <c:pt idx="9">
                  <c:v>12981</c:v>
                </c:pt>
                <c:pt idx="10">
                  <c:v>12634</c:v>
                </c:pt>
                <c:pt idx="11">
                  <c:v>7802</c:v>
                </c:pt>
                <c:pt idx="12">
                  <c:v>6235</c:v>
                </c:pt>
                <c:pt idx="13">
                  <c:v>6344</c:v>
                </c:pt>
                <c:pt idx="14">
                  <c:v>5811</c:v>
                </c:pt>
                <c:pt idx="15">
                  <c:v>6454</c:v>
                </c:pt>
                <c:pt idx="16">
                  <c:v>7633</c:v>
                </c:pt>
                <c:pt idx="17">
                  <c:v>8974</c:v>
                </c:pt>
                <c:pt idx="18">
                  <c:v>10613</c:v>
                </c:pt>
                <c:pt idx="19">
                  <c:v>11227</c:v>
                </c:pt>
                <c:pt idx="20">
                  <c:v>10553</c:v>
                </c:pt>
                <c:pt idx="21">
                  <c:v>10307</c:v>
                </c:pt>
                <c:pt idx="22">
                  <c:v>8404</c:v>
                </c:pt>
                <c:pt idx="23">
                  <c:v>9125</c:v>
                </c:pt>
                <c:pt idx="24">
                  <c:v>9605</c:v>
                </c:pt>
                <c:pt idx="25">
                  <c:v>10879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2142-4C61-B7A2-3D542C21640D}"/>
            </c:ext>
          </c:extLst>
        </c:ser>
        <c:ser>
          <c:idx val="10"/>
          <c:order val="10"/>
          <c:tx>
            <c:strRef>
              <c:f>'Private Sector Value'!$K$4</c:f>
              <c:strCache>
                <c:ptCount val="1"/>
                <c:pt idx="0">
                  <c:v>Private commercial: entertainment</c:v>
                </c:pt>
              </c:strCache>
            </c:strRef>
          </c:tx>
          <c:spPr>
            <a:ln w="2222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'Private Sector Value'!$K$5:$K$30</c:f>
              <c:numCache>
                <c:formatCode>#,##0</c:formatCode>
                <c:ptCount val="26"/>
                <c:pt idx="0">
                  <c:v>3561</c:v>
                </c:pt>
                <c:pt idx="1">
                  <c:v>4195</c:v>
                </c:pt>
                <c:pt idx="2">
                  <c:v>4134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5377</c:v>
                </c:pt>
                <c:pt idx="11">
                  <c:v>4463</c:v>
                </c:pt>
                <c:pt idx="12">
                  <c:v>4036</c:v>
                </c:pt>
                <c:pt idx="13">
                  <c:v>4934</c:v>
                </c:pt>
                <c:pt idx="14">
                  <c:v>4152</c:v>
                </c:pt>
                <c:pt idx="15">
                  <c:v>4424</c:v>
                </c:pt>
                <c:pt idx="16">
                  <c:v>4846</c:v>
                </c:pt>
                <c:pt idx="17">
                  <c:v>5614</c:v>
                </c:pt>
                <c:pt idx="18">
                  <c:v>6000</c:v>
                </c:pt>
                <c:pt idx="19">
                  <c:v>7385</c:v>
                </c:pt>
                <c:pt idx="20">
                  <c:v>8442</c:v>
                </c:pt>
                <c:pt idx="21">
                  <c:v>8773</c:v>
                </c:pt>
                <c:pt idx="22">
                  <c:v>7477</c:v>
                </c:pt>
                <c:pt idx="23">
                  <c:v>6584</c:v>
                </c:pt>
                <c:pt idx="24">
                  <c:v>6298</c:v>
                </c:pt>
                <c:pt idx="25">
                  <c:v>7631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2142-4C61-B7A2-3D542C21640D}"/>
            </c:ext>
          </c:extLst>
        </c:ser>
        <c:ser>
          <c:idx val="11"/>
          <c:order val="11"/>
          <c:tx>
            <c:strRef>
              <c:f>'Private Sector Value'!$L$4</c:f>
              <c:strCache>
                <c:ptCount val="1"/>
                <c:pt idx="0">
                  <c:v>Private commercial: garages</c:v>
                </c:pt>
              </c:strCache>
            </c:strRef>
          </c:tx>
          <c:spPr>
            <a:ln w="2222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  <a:round/>
              </a:ln>
              <a:effectLst/>
            </c:spPr>
          </c:marker>
          <c:val>
            <c:numRef>
              <c:f>'Private Sector Value'!$L$5:$L$30</c:f>
              <c:numCache>
                <c:formatCode>#,##0</c:formatCode>
                <c:ptCount val="26"/>
                <c:pt idx="0">
                  <c:v>606</c:v>
                </c:pt>
                <c:pt idx="1">
                  <c:v>703</c:v>
                </c:pt>
                <c:pt idx="2">
                  <c:v>481</c:v>
                </c:pt>
                <c:pt idx="3">
                  <c:v>363</c:v>
                </c:pt>
                <c:pt idx="4">
                  <c:v>418</c:v>
                </c:pt>
                <c:pt idx="5">
                  <c:v>459</c:v>
                </c:pt>
                <c:pt idx="6">
                  <c:v>621</c:v>
                </c:pt>
                <c:pt idx="7">
                  <c:v>625</c:v>
                </c:pt>
                <c:pt idx="8">
                  <c:v>517</c:v>
                </c:pt>
                <c:pt idx="9">
                  <c:v>624</c:v>
                </c:pt>
                <c:pt idx="10">
                  <c:v>740</c:v>
                </c:pt>
                <c:pt idx="11">
                  <c:v>667</c:v>
                </c:pt>
                <c:pt idx="12">
                  <c:v>589</c:v>
                </c:pt>
                <c:pt idx="13">
                  <c:v>377</c:v>
                </c:pt>
                <c:pt idx="14">
                  <c:v>406</c:v>
                </c:pt>
                <c:pt idx="15">
                  <c:v>403</c:v>
                </c:pt>
                <c:pt idx="16">
                  <c:v>356</c:v>
                </c:pt>
                <c:pt idx="17">
                  <c:v>246</c:v>
                </c:pt>
                <c:pt idx="18">
                  <c:v>379</c:v>
                </c:pt>
                <c:pt idx="19">
                  <c:v>578</c:v>
                </c:pt>
                <c:pt idx="20">
                  <c:v>574</c:v>
                </c:pt>
                <c:pt idx="21">
                  <c:v>741</c:v>
                </c:pt>
                <c:pt idx="22">
                  <c:v>541</c:v>
                </c:pt>
                <c:pt idx="23">
                  <c:v>378</c:v>
                </c:pt>
                <c:pt idx="24">
                  <c:v>413</c:v>
                </c:pt>
                <c:pt idx="25">
                  <c:v>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142-4C61-B7A2-3D542C21640D}"/>
            </c:ext>
          </c:extLst>
        </c:ser>
        <c:ser>
          <c:idx val="12"/>
          <c:order val="12"/>
          <c:tx>
            <c:strRef>
              <c:f>'Private Sector Value'!$M$4</c:f>
              <c:strCache>
                <c:ptCount val="1"/>
                <c:pt idx="0">
                  <c:v>Private commercial: shops</c:v>
                </c:pt>
              </c:strCache>
            </c:strRef>
          </c:tx>
          <c:spPr>
            <a:ln w="222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val>
            <c:numRef>
              <c:f>'Private Sector Value'!$M$5:$M$30</c:f>
              <c:numCache>
                <c:formatCode>#,##0</c:formatCode>
                <c:ptCount val="26"/>
                <c:pt idx="0">
                  <c:v>3800</c:v>
                </c:pt>
                <c:pt idx="1">
                  <c:v>4864</c:v>
                </c:pt>
                <c:pt idx="2">
                  <c:v>3884</c:v>
                </c:pt>
                <c:pt idx="3">
                  <c:v>4182</c:v>
                </c:pt>
                <c:pt idx="4">
                  <c:v>5369</c:v>
                </c:pt>
                <c:pt idx="5">
                  <c:v>6290</c:v>
                </c:pt>
                <c:pt idx="6">
                  <c:v>6888</c:v>
                </c:pt>
                <c:pt idx="7">
                  <c:v>6794</c:v>
                </c:pt>
                <c:pt idx="8">
                  <c:v>6949</c:v>
                </c:pt>
                <c:pt idx="9">
                  <c:v>7549</c:v>
                </c:pt>
                <c:pt idx="10">
                  <c:v>7384</c:v>
                </c:pt>
                <c:pt idx="11">
                  <c:v>5508</c:v>
                </c:pt>
                <c:pt idx="12">
                  <c:v>5962</c:v>
                </c:pt>
                <c:pt idx="13">
                  <c:v>5044</c:v>
                </c:pt>
                <c:pt idx="14">
                  <c:v>4642</c:v>
                </c:pt>
                <c:pt idx="15">
                  <c:v>4708</c:v>
                </c:pt>
                <c:pt idx="16">
                  <c:v>5701</c:v>
                </c:pt>
                <c:pt idx="17">
                  <c:v>5285</c:v>
                </c:pt>
                <c:pt idx="18">
                  <c:v>5269</c:v>
                </c:pt>
                <c:pt idx="19">
                  <c:v>4935</c:v>
                </c:pt>
                <c:pt idx="20">
                  <c:v>4590</c:v>
                </c:pt>
                <c:pt idx="21">
                  <c:v>3981</c:v>
                </c:pt>
                <c:pt idx="22">
                  <c:v>2840</c:v>
                </c:pt>
                <c:pt idx="23">
                  <c:v>2209</c:v>
                </c:pt>
                <c:pt idx="24">
                  <c:v>2546</c:v>
                </c:pt>
                <c:pt idx="25">
                  <c:v>2462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142-4C61-B7A2-3D542C21640D}"/>
            </c:ext>
          </c:extLst>
        </c:ser>
        <c:ser>
          <c:idx val="13"/>
          <c:order val="13"/>
          <c:tx>
            <c:strRef>
              <c:f>'Private Sector Value'!$N$4</c:f>
              <c:strCache>
                <c:ptCount val="1"/>
                <c:pt idx="0">
                  <c:v>Private commercial: agriculture &amp; miscellaneous</c:v>
                </c:pt>
              </c:strCache>
            </c:strRef>
          </c:tx>
          <c:spPr>
            <a:ln w="222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val>
            <c:numRef>
              <c:f>'Private Sector Value'!$N$5:$N$30</c:f>
              <c:numCache>
                <c:formatCode>#,##0</c:formatCode>
                <c:ptCount val="26"/>
                <c:pt idx="0">
                  <c:v>621</c:v>
                </c:pt>
                <c:pt idx="1">
                  <c:v>717</c:v>
                </c:pt>
                <c:pt idx="2">
                  <c:v>819</c:v>
                </c:pt>
                <c:pt idx="3">
                  <c:v>760</c:v>
                </c:pt>
                <c:pt idx="4">
                  <c:v>872</c:v>
                </c:pt>
                <c:pt idx="5">
                  <c:v>1240</c:v>
                </c:pt>
                <c:pt idx="6">
                  <c:v>1282</c:v>
                </c:pt>
                <c:pt idx="7">
                  <c:v>1111</c:v>
                </c:pt>
                <c:pt idx="8">
                  <c:v>1604</c:v>
                </c:pt>
                <c:pt idx="9">
                  <c:v>1849</c:v>
                </c:pt>
                <c:pt idx="10">
                  <c:v>1500</c:v>
                </c:pt>
                <c:pt idx="11">
                  <c:v>1539</c:v>
                </c:pt>
                <c:pt idx="12">
                  <c:v>1795</c:v>
                </c:pt>
                <c:pt idx="13">
                  <c:v>3263</c:v>
                </c:pt>
                <c:pt idx="14">
                  <c:v>3404</c:v>
                </c:pt>
                <c:pt idx="15">
                  <c:v>3358</c:v>
                </c:pt>
                <c:pt idx="16">
                  <c:v>2137</c:v>
                </c:pt>
                <c:pt idx="17">
                  <c:v>1081</c:v>
                </c:pt>
                <c:pt idx="18">
                  <c:v>1078</c:v>
                </c:pt>
                <c:pt idx="19">
                  <c:v>1251</c:v>
                </c:pt>
                <c:pt idx="20">
                  <c:v>1106</c:v>
                </c:pt>
                <c:pt idx="21">
                  <c:v>1565</c:v>
                </c:pt>
                <c:pt idx="22">
                  <c:v>1190</c:v>
                </c:pt>
                <c:pt idx="23">
                  <c:v>1054</c:v>
                </c:pt>
                <c:pt idx="24">
                  <c:v>1661</c:v>
                </c:pt>
                <c:pt idx="25">
                  <c:v>2187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2142-4C61-B7A2-3D542C21640D}"/>
            </c:ext>
          </c:extLst>
        </c:ser>
        <c:ser>
          <c:idx val="14"/>
          <c:order val="14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ln w="222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val>
            <c:numRef>
              <c:f>'Private Sector Value'!$O$5:$O$30</c:f>
              <c:numCache>
                <c:formatCode>#,##0</c:formatCode>
                <c:ptCount val="26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2142-4C61-B7A2-3D542C21640D}"/>
            </c:ext>
          </c:extLst>
        </c:ser>
        <c:ser>
          <c:idx val="15"/>
          <c:order val="15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222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plus"/>
            <c:size val="6"/>
            <c:spPr>
              <a:noFill/>
              <a:ln w="9525">
                <a:solidFill>
                  <a:schemeClr val="accent4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2142-4C61-B7A2-3D542C2164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420048"/>
        <c:axId val="1074420528"/>
      </c:lineChart>
      <c:catAx>
        <c:axId val="107442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4420528"/>
        <c:crosses val="autoZero"/>
        <c:auto val="1"/>
        <c:lblAlgn val="ctr"/>
        <c:lblOffset val="100"/>
        <c:noMultiLvlLbl val="0"/>
      </c:catAx>
      <c:valAx>
        <c:axId val="1074420528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442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'Private Sector Value'!$B$32:$P$32</c:f>
              <c:numCache>
                <c:formatCode>General</c:formatCode>
                <c:ptCount val="15"/>
                <c:pt idx="0">
                  <c:v>19846</c:v>
                </c:pt>
                <c:pt idx="1">
                  <c:v>8715.5</c:v>
                </c:pt>
                <c:pt idx="2">
                  <c:v>2678</c:v>
                </c:pt>
                <c:pt idx="3">
                  <c:v>2025.5</c:v>
                </c:pt>
                <c:pt idx="4">
                  <c:v>151</c:v>
                </c:pt>
                <c:pt idx="5">
                  <c:v>4859.5</c:v>
                </c:pt>
                <c:pt idx="6">
                  <c:v>3188.5</c:v>
                </c:pt>
                <c:pt idx="7">
                  <c:v>1196.5</c:v>
                </c:pt>
                <c:pt idx="8">
                  <c:v>8883.5</c:v>
                </c:pt>
                <c:pt idx="9">
                  <c:v>4749</c:v>
                </c:pt>
                <c:pt idx="10">
                  <c:v>499</c:v>
                </c:pt>
                <c:pt idx="11">
                  <c:v>4989.5</c:v>
                </c:pt>
                <c:pt idx="12">
                  <c:v>1266.5</c:v>
                </c:pt>
                <c:pt idx="13">
                  <c:v>25533.5</c:v>
                </c:pt>
                <c:pt idx="14">
                  <c:v>60478.5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64-46C4-BBD3-ABE1FA9FF55B}"/>
            </c:ext>
          </c:extLst>
        </c:ser>
        <c:ser>
          <c:idx val="1"/>
          <c:order val="1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'Private Sector Value'!$B$33:$P$33</c:f>
              <c:numCache>
                <c:formatCode>General</c:formatCode>
                <c:ptCount val="15"/>
                <c:pt idx="0">
                  <c:v>23301.807692307691</c:v>
                </c:pt>
                <c:pt idx="1">
                  <c:v>8636.1923076923085</c:v>
                </c:pt>
                <c:pt idx="2">
                  <c:v>2613.6153846153848</c:v>
                </c:pt>
                <c:pt idx="3">
                  <c:v>2281.7307692307691</c:v>
                </c:pt>
                <c:pt idx="4">
                  <c:v>163.30769230769232</c:v>
                </c:pt>
                <c:pt idx="5">
                  <c:v>5058.6923076923076</c:v>
                </c:pt>
                <c:pt idx="6">
                  <c:v>3076.3076923076924</c:v>
                </c:pt>
                <c:pt idx="7">
                  <c:v>1503.0769230769231</c:v>
                </c:pt>
                <c:pt idx="8">
                  <c:v>8734.3076923076915</c:v>
                </c:pt>
                <c:pt idx="9">
                  <c:v>5328.5</c:v>
                </c:pt>
                <c:pt idx="10">
                  <c:v>510.84615384615387</c:v>
                </c:pt>
                <c:pt idx="11">
                  <c:v>4985.9615384615381</c:v>
                </c:pt>
                <c:pt idx="12">
                  <c:v>1540.1538461538462</c:v>
                </c:pt>
                <c:pt idx="13">
                  <c:v>25678.807692307691</c:v>
                </c:pt>
                <c:pt idx="14">
                  <c:v>62675.5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64-46C4-BBD3-ABE1FA9FF55B}"/>
            </c:ext>
          </c:extLst>
        </c:ser>
        <c:ser>
          <c:idx val="2"/>
          <c:order val="2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'Private Sector Value'!$B$34:$P$34</c:f>
              <c:numCache>
                <c:formatCode>General</c:formatCode>
                <c:ptCount val="15"/>
                <c:pt idx="0">
                  <c:v>#N/A</c:v>
                </c:pt>
                <c:pt idx="1">
                  <c:v>5305</c:v>
                </c:pt>
                <c:pt idx="2">
                  <c:v>3296</c:v>
                </c:pt>
                <c:pt idx="3">
                  <c:v>#N/A</c:v>
                </c:pt>
                <c:pt idx="4">
                  <c:v>73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64-46C4-BBD3-ABE1FA9FF55B}"/>
            </c:ext>
          </c:extLst>
        </c:ser>
        <c:ser>
          <c:idx val="3"/>
          <c:order val="3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'Private Sector Value'!$B$35:$P$35</c:f>
              <c:numCache>
                <c:formatCode>#,##0</c:formatCode>
                <c:ptCount val="15"/>
                <c:pt idx="0">
                  <c:v>42400</c:v>
                </c:pt>
                <c:pt idx="1">
                  <c:v>11836</c:v>
                </c:pt>
                <c:pt idx="2">
                  <c:v>1726</c:v>
                </c:pt>
                <c:pt idx="3">
                  <c:v>3529</c:v>
                </c:pt>
                <c:pt idx="4">
                  <c:v>424</c:v>
                </c:pt>
                <c:pt idx="5">
                  <c:v>5160</c:v>
                </c:pt>
                <c:pt idx="6">
                  <c:v>5400</c:v>
                </c:pt>
                <c:pt idx="7">
                  <c:v>3640</c:v>
                </c:pt>
                <c:pt idx="8">
                  <c:v>7795</c:v>
                </c:pt>
                <c:pt idx="9">
                  <c:v>5212</c:v>
                </c:pt>
                <c:pt idx="10">
                  <c:v>495</c:v>
                </c:pt>
                <c:pt idx="11">
                  <c:v>5340</c:v>
                </c:pt>
                <c:pt idx="12">
                  <c:v>2783</c:v>
                </c:pt>
                <c:pt idx="13">
                  <c:v>20443</c:v>
                </c:pt>
                <c:pt idx="14">
                  <c:v>67708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864-46C4-BBD3-ABE1FA9FF55B}"/>
            </c:ext>
          </c:extLst>
        </c:ser>
        <c:ser>
          <c:idx val="4"/>
          <c:order val="4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'Private Sector Value'!$B$36:$P$36</c:f>
              <c:numCache>
                <c:formatCode>General</c:formatCode>
                <c:ptCount val="15"/>
                <c:pt idx="0">
                  <c:v>12315.36673272617</c:v>
                </c:pt>
                <c:pt idx="1">
                  <c:v>3395.0424211692052</c:v>
                </c:pt>
                <c:pt idx="2">
                  <c:v>501.18069211996368</c:v>
                </c:pt>
                <c:pt idx="3">
                  <c:v>963.5538203003423</c:v>
                </c:pt>
                <c:pt idx="4">
                  <c:v>105.8254295453675</c:v>
                </c:pt>
                <c:pt idx="5">
                  <c:v>1272.6617388522618</c:v>
                </c:pt>
                <c:pt idx="6">
                  <c:v>1453.219398968532</c:v>
                </c:pt>
                <c:pt idx="7">
                  <c:v>834.15753538894194</c:v>
                </c:pt>
                <c:pt idx="8">
                  <c:v>2079.8119678322983</c:v>
                </c:pt>
                <c:pt idx="9">
                  <c:v>1524.3703815018187</c:v>
                </c:pt>
                <c:pt idx="10">
                  <c:v>133.24164283216939</c:v>
                </c:pt>
                <c:pt idx="11">
                  <c:v>1498.0525619822349</c:v>
                </c:pt>
                <c:pt idx="12">
                  <c:v>779.65359960986223</c:v>
                </c:pt>
                <c:pt idx="13">
                  <c:v>5047.2798695474048</c:v>
                </c:pt>
                <c:pt idx="14">
                  <c:v>19252.42941605033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864-46C4-BBD3-ABE1FA9FF5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6093088"/>
        <c:axId val="986106048"/>
      </c:lineChart>
      <c:catAx>
        <c:axId val="9860930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106048"/>
        <c:crosses val="autoZero"/>
        <c:auto val="1"/>
        <c:lblAlgn val="ctr"/>
        <c:lblOffset val="100"/>
        <c:noMultiLvlLbl val="0"/>
      </c:catAx>
      <c:valAx>
        <c:axId val="98610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09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A3-4B7A-8A8A-C47068F93232}"/>
            </c:ext>
          </c:extLst>
        </c:ser>
        <c:ser>
          <c:idx val="1"/>
          <c:order val="1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9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B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D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F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1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3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5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7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9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B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D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F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1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3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5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7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9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B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D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F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1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3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5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7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A3-4B7A-8A8A-C47068F93232}"/>
            </c:ext>
          </c:extLst>
        </c:ser>
        <c:ser>
          <c:idx val="2"/>
          <c:order val="2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9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B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D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F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1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3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5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7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9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B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D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F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1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3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5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7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9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B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D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F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1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3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5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7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9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B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A3-4B7A-8A8A-C47068F93232}"/>
            </c:ext>
          </c:extLst>
        </c:ser>
        <c:ser>
          <c:idx val="3"/>
          <c:order val="3"/>
          <c:tx>
            <c:strRef>
              <c:f>'Public Sector Value'!$D$4</c:f>
              <c:strCache>
                <c:ptCount val="1"/>
                <c:pt idx="0">
                  <c:v>Public other new work: factories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D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F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1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3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5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7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9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B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D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F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1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3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5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7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9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B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D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F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1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3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5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7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9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B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D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F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Value'!$D$5:$D$30</c:f>
              <c:numCache>
                <c:formatCode>#,##0</c:formatCode>
                <c:ptCount val="26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A3-4B7A-8A8A-C47068F93232}"/>
            </c:ext>
          </c:extLst>
        </c:ser>
        <c:ser>
          <c:idx val="4"/>
          <c:order val="4"/>
          <c:tx>
            <c:strRef>
              <c:f>'Public Sector Value'!$E$4</c:f>
              <c:strCache>
                <c:ptCount val="1"/>
                <c:pt idx="0">
                  <c:v>Public other new work: warehouses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1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3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5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7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9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B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D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F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1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3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5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7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9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B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D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F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1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3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5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7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9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B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D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F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1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3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Value'!$E$5:$E$30</c:f>
              <c:numCache>
                <c:formatCode>#,##0</c:formatCode>
                <c:ptCount val="26"/>
                <c:pt idx="0">
                  <c:v>29</c:v>
                </c:pt>
                <c:pt idx="1">
                  <c:v>36</c:v>
                </c:pt>
                <c:pt idx="2">
                  <c:v>21</c:v>
                </c:pt>
                <c:pt idx="3">
                  <c:v>14</c:v>
                </c:pt>
                <c:pt idx="4">
                  <c:v>9</c:v>
                </c:pt>
                <c:pt idx="5">
                  <c:v>23</c:v>
                </c:pt>
                <c:pt idx="6">
                  <c:v>35</c:v>
                </c:pt>
                <c:pt idx="7">
                  <c:v>32</c:v>
                </c:pt>
                <c:pt idx="8">
                  <c:v>29</c:v>
                </c:pt>
                <c:pt idx="9">
                  <c:v>26</c:v>
                </c:pt>
                <c:pt idx="10">
                  <c:v>25</c:v>
                </c:pt>
                <c:pt idx="11">
                  <c:v>29</c:v>
                </c:pt>
                <c:pt idx="12">
                  <c:v>43</c:v>
                </c:pt>
                <c:pt idx="13">
                  <c:v>20</c:v>
                </c:pt>
                <c:pt idx="14">
                  <c:v>18</c:v>
                </c:pt>
                <c:pt idx="15">
                  <c:v>33</c:v>
                </c:pt>
                <c:pt idx="16">
                  <c:v>42</c:v>
                </c:pt>
                <c:pt idx="17">
                  <c:v>7</c:v>
                </c:pt>
                <c:pt idx="18">
                  <c:v>12</c:v>
                </c:pt>
                <c:pt idx="19">
                  <c:v>22</c:v>
                </c:pt>
                <c:pt idx="20">
                  <c:v>19</c:v>
                </c:pt>
                <c:pt idx="21">
                  <c:v>41</c:v>
                </c:pt>
                <c:pt idx="22">
                  <c:v>51</c:v>
                </c:pt>
                <c:pt idx="23">
                  <c:v>53</c:v>
                </c:pt>
                <c:pt idx="24">
                  <c:v>72</c:v>
                </c:pt>
                <c:pt idx="25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A3-4B7A-8A8A-C47068F93232}"/>
            </c:ext>
          </c:extLst>
        </c:ser>
        <c:ser>
          <c:idx val="5"/>
          <c:order val="5"/>
          <c:tx>
            <c:strRef>
              <c:f>'Public Sector Value'!$F$4</c:f>
              <c:strCache>
                <c:ptCount val="1"/>
                <c:pt idx="0">
                  <c:v>Public other new work: oil, steel &amp; coal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5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7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9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B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D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F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1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3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5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7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9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B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D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F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1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3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5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7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9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B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D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F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1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3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5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7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Value'!$F$5:$F$30</c:f>
              <c:numCache>
                <c:formatCode>#,##0</c:formatCode>
                <c:ptCount val="26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11</c:v>
                </c:pt>
                <c:pt idx="11">
                  <c:v>15</c:v>
                </c:pt>
                <c:pt idx="12">
                  <c:v>10</c:v>
                </c:pt>
                <c:pt idx="13">
                  <c:v>8</c:v>
                </c:pt>
                <c:pt idx="14">
                  <c:v>25</c:v>
                </c:pt>
                <c:pt idx="15">
                  <c:v>42</c:v>
                </c:pt>
                <c:pt idx="16">
                  <c:v>27</c:v>
                </c:pt>
                <c:pt idx="17">
                  <c:v>11</c:v>
                </c:pt>
                <c:pt idx="18">
                  <c:v>3</c:v>
                </c:pt>
                <c:pt idx="19">
                  <c:v>0</c:v>
                </c:pt>
                <c:pt idx="20">
                  <c:v>5</c:v>
                </c:pt>
                <c:pt idx="21">
                  <c:v>44</c:v>
                </c:pt>
                <c:pt idx="22">
                  <c:v>10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AA3-4B7A-8A8A-C47068F93232}"/>
            </c:ext>
          </c:extLst>
        </c:ser>
        <c:ser>
          <c:idx val="6"/>
          <c:order val="6"/>
          <c:tx>
            <c:strRef>
              <c:f>'Public Sector Value'!$G$4</c:f>
              <c:strCache>
                <c:ptCount val="1"/>
                <c:pt idx="0">
                  <c:v>Public other new work: schools &amp; colleges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9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B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D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F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1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3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5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7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9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B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D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F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1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3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5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7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9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B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D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F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1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3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5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7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9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B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Value'!$G$5:$G$30</c:f>
              <c:numCache>
                <c:formatCode>#,##0</c:formatCode>
                <c:ptCount val="26"/>
                <c:pt idx="0">
                  <c:v>801</c:v>
                </c:pt>
                <c:pt idx="1">
                  <c:v>984</c:v>
                </c:pt>
                <c:pt idx="2">
                  <c:v>1014</c:v>
                </c:pt>
                <c:pt idx="3">
                  <c:v>1357</c:v>
                </c:pt>
                <c:pt idx="4">
                  <c:v>1810</c:v>
                </c:pt>
                <c:pt idx="5">
                  <c:v>2183</c:v>
                </c:pt>
                <c:pt idx="6">
                  <c:v>3029</c:v>
                </c:pt>
                <c:pt idx="7">
                  <c:v>3279</c:v>
                </c:pt>
                <c:pt idx="8">
                  <c:v>3424</c:v>
                </c:pt>
                <c:pt idx="9">
                  <c:v>3321</c:v>
                </c:pt>
                <c:pt idx="10">
                  <c:v>4108</c:v>
                </c:pt>
                <c:pt idx="11">
                  <c:v>5212</c:v>
                </c:pt>
                <c:pt idx="12">
                  <c:v>6939</c:v>
                </c:pt>
                <c:pt idx="13">
                  <c:v>6026</c:v>
                </c:pt>
                <c:pt idx="14">
                  <c:v>4983</c:v>
                </c:pt>
                <c:pt idx="15">
                  <c:v>4373</c:v>
                </c:pt>
                <c:pt idx="16">
                  <c:v>4150</c:v>
                </c:pt>
                <c:pt idx="17">
                  <c:v>4369</c:v>
                </c:pt>
                <c:pt idx="18">
                  <c:v>4828</c:v>
                </c:pt>
                <c:pt idx="19">
                  <c:v>4250</c:v>
                </c:pt>
                <c:pt idx="20">
                  <c:v>3928</c:v>
                </c:pt>
                <c:pt idx="21">
                  <c:v>4142</c:v>
                </c:pt>
                <c:pt idx="22">
                  <c:v>4185</c:v>
                </c:pt>
                <c:pt idx="23">
                  <c:v>4026</c:v>
                </c:pt>
                <c:pt idx="24">
                  <c:v>3793</c:v>
                </c:pt>
                <c:pt idx="25">
                  <c:v>3579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A3-4B7A-8A8A-C47068F93232}"/>
            </c:ext>
          </c:extLst>
        </c:ser>
        <c:ser>
          <c:idx val="7"/>
          <c:order val="7"/>
          <c:tx>
            <c:strRef>
              <c:f>'Public Sector Value'!$H$4</c:f>
              <c:strCache>
                <c:ptCount val="1"/>
                <c:pt idx="0">
                  <c:v>Public other new work: universities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D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F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1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3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5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7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9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B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D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7F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1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3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5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7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9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B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D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8F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1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3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5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7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9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B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D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9F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Value'!$H$5:$H$30</c:f>
              <c:numCache>
                <c:formatCode>#,##0</c:formatCode>
                <c:ptCount val="26"/>
                <c:pt idx="0">
                  <c:v>332</c:v>
                </c:pt>
                <c:pt idx="1">
                  <c:v>386</c:v>
                </c:pt>
                <c:pt idx="2">
                  <c:v>369</c:v>
                </c:pt>
                <c:pt idx="3">
                  <c:v>445</c:v>
                </c:pt>
                <c:pt idx="4">
                  <c:v>611</c:v>
                </c:pt>
                <c:pt idx="5">
                  <c:v>929</c:v>
                </c:pt>
                <c:pt idx="6">
                  <c:v>981</c:v>
                </c:pt>
                <c:pt idx="7">
                  <c:v>912</c:v>
                </c:pt>
                <c:pt idx="8">
                  <c:v>909</c:v>
                </c:pt>
                <c:pt idx="9">
                  <c:v>940</c:v>
                </c:pt>
                <c:pt idx="10">
                  <c:v>1258</c:v>
                </c:pt>
                <c:pt idx="11">
                  <c:v>1042</c:v>
                </c:pt>
                <c:pt idx="12">
                  <c:v>1134</c:v>
                </c:pt>
                <c:pt idx="13">
                  <c:v>1321</c:v>
                </c:pt>
                <c:pt idx="14">
                  <c:v>843</c:v>
                </c:pt>
                <c:pt idx="15">
                  <c:v>997</c:v>
                </c:pt>
                <c:pt idx="16">
                  <c:v>1518</c:v>
                </c:pt>
                <c:pt idx="17">
                  <c:v>1894</c:v>
                </c:pt>
                <c:pt idx="18">
                  <c:v>1540</c:v>
                </c:pt>
                <c:pt idx="19">
                  <c:v>1537</c:v>
                </c:pt>
                <c:pt idx="20">
                  <c:v>1498</c:v>
                </c:pt>
                <c:pt idx="21">
                  <c:v>1443</c:v>
                </c:pt>
                <c:pt idx="22">
                  <c:v>1140</c:v>
                </c:pt>
                <c:pt idx="23">
                  <c:v>715</c:v>
                </c:pt>
                <c:pt idx="24">
                  <c:v>500</c:v>
                </c:pt>
                <c:pt idx="25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AA3-4B7A-8A8A-C47068F93232}"/>
            </c:ext>
          </c:extLst>
        </c:ser>
        <c:ser>
          <c:idx val="8"/>
          <c:order val="8"/>
          <c:tx>
            <c:strRef>
              <c:f>'Public Sector Value'!$I$4</c:f>
              <c:strCache>
                <c:ptCount val="1"/>
                <c:pt idx="0">
                  <c:v>Public other new work: health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1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3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5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7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9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B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D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AF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1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3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5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7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9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B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D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BF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1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3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5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7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9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B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D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CF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1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3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Value'!$I$5:$I$30</c:f>
              <c:numCache>
                <c:formatCode>#,##0</c:formatCode>
                <c:ptCount val="26"/>
                <c:pt idx="0">
                  <c:v>636</c:v>
                </c:pt>
                <c:pt idx="1">
                  <c:v>712</c:v>
                </c:pt>
                <c:pt idx="2">
                  <c:v>755</c:v>
                </c:pt>
                <c:pt idx="3">
                  <c:v>883</c:v>
                </c:pt>
                <c:pt idx="4">
                  <c:v>1087</c:v>
                </c:pt>
                <c:pt idx="5">
                  <c:v>1402</c:v>
                </c:pt>
                <c:pt idx="6">
                  <c:v>1722</c:v>
                </c:pt>
                <c:pt idx="7">
                  <c:v>1518</c:v>
                </c:pt>
                <c:pt idx="8">
                  <c:v>1226</c:v>
                </c:pt>
                <c:pt idx="9">
                  <c:v>1260</c:v>
                </c:pt>
                <c:pt idx="10">
                  <c:v>1665</c:v>
                </c:pt>
                <c:pt idx="11">
                  <c:v>2004</c:v>
                </c:pt>
                <c:pt idx="12">
                  <c:v>2079</c:v>
                </c:pt>
                <c:pt idx="13">
                  <c:v>2400</c:v>
                </c:pt>
                <c:pt idx="14">
                  <c:v>1806</c:v>
                </c:pt>
                <c:pt idx="15">
                  <c:v>1688</c:v>
                </c:pt>
                <c:pt idx="16">
                  <c:v>1948</c:v>
                </c:pt>
                <c:pt idx="17">
                  <c:v>1631</c:v>
                </c:pt>
                <c:pt idx="18">
                  <c:v>2145</c:v>
                </c:pt>
                <c:pt idx="19">
                  <c:v>1994</c:v>
                </c:pt>
                <c:pt idx="20">
                  <c:v>1512</c:v>
                </c:pt>
                <c:pt idx="21">
                  <c:v>1788</c:v>
                </c:pt>
                <c:pt idx="22">
                  <c:v>1390</c:v>
                </c:pt>
                <c:pt idx="23">
                  <c:v>2213</c:v>
                </c:pt>
                <c:pt idx="24">
                  <c:v>2267</c:v>
                </c:pt>
                <c:pt idx="25">
                  <c:v>2538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AA3-4B7A-8A8A-C47068F93232}"/>
            </c:ext>
          </c:extLst>
        </c:ser>
        <c:ser>
          <c:idx val="9"/>
          <c:order val="9"/>
          <c:tx>
            <c:strRef>
              <c:f>'Public Sector Value'!$J$4</c:f>
              <c:strCache>
                <c:ptCount val="1"/>
                <c:pt idx="0">
                  <c:v>Public other new work: offices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5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7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9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B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D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DF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1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3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5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7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9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B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D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EF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1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3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5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7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9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B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D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FF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1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3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5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7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Value'!$J$5:$J$30</c:f>
              <c:numCache>
                <c:formatCode>#,##0</c:formatCode>
                <c:ptCount val="26"/>
                <c:pt idx="0">
                  <c:v>454</c:v>
                </c:pt>
                <c:pt idx="1">
                  <c:v>519</c:v>
                </c:pt>
                <c:pt idx="2">
                  <c:v>399</c:v>
                </c:pt>
                <c:pt idx="3">
                  <c:v>380</c:v>
                </c:pt>
                <c:pt idx="4">
                  <c:v>686</c:v>
                </c:pt>
                <c:pt idx="5">
                  <c:v>918</c:v>
                </c:pt>
                <c:pt idx="6">
                  <c:v>914</c:v>
                </c:pt>
                <c:pt idx="7">
                  <c:v>872</c:v>
                </c:pt>
                <c:pt idx="8">
                  <c:v>821</c:v>
                </c:pt>
                <c:pt idx="9">
                  <c:v>862</c:v>
                </c:pt>
                <c:pt idx="10">
                  <c:v>879</c:v>
                </c:pt>
                <c:pt idx="11">
                  <c:v>909</c:v>
                </c:pt>
                <c:pt idx="12">
                  <c:v>1008</c:v>
                </c:pt>
                <c:pt idx="13">
                  <c:v>816</c:v>
                </c:pt>
                <c:pt idx="14">
                  <c:v>706</c:v>
                </c:pt>
                <c:pt idx="15">
                  <c:v>929</c:v>
                </c:pt>
                <c:pt idx="16">
                  <c:v>526</c:v>
                </c:pt>
                <c:pt idx="17">
                  <c:v>457</c:v>
                </c:pt>
                <c:pt idx="18">
                  <c:v>695</c:v>
                </c:pt>
                <c:pt idx="19">
                  <c:v>844</c:v>
                </c:pt>
                <c:pt idx="20">
                  <c:v>692</c:v>
                </c:pt>
                <c:pt idx="21">
                  <c:v>813</c:v>
                </c:pt>
                <c:pt idx="22">
                  <c:v>931</c:v>
                </c:pt>
                <c:pt idx="23">
                  <c:v>841</c:v>
                </c:pt>
                <c:pt idx="24">
                  <c:v>683</c:v>
                </c:pt>
                <c:pt idx="25">
                  <c:v>1025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AA3-4B7A-8A8A-C47068F93232}"/>
            </c:ext>
          </c:extLst>
        </c:ser>
        <c:ser>
          <c:idx val="10"/>
          <c:order val="10"/>
          <c:tx>
            <c:strRef>
              <c:f>'Public Sector Value'!$K$4</c:f>
              <c:strCache>
                <c:ptCount val="1"/>
                <c:pt idx="0">
                  <c:v>Public other new work: entertainment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9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B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D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0F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1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3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5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7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9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B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D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1F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1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3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5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7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9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B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D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2F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1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3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5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7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9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B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Value'!$K$5:$K$30</c:f>
              <c:numCache>
                <c:formatCode>#,##0</c:formatCode>
                <c:ptCount val="26"/>
                <c:pt idx="0">
                  <c:v>380</c:v>
                </c:pt>
                <c:pt idx="1">
                  <c:v>445</c:v>
                </c:pt>
                <c:pt idx="2">
                  <c:v>455</c:v>
                </c:pt>
                <c:pt idx="3">
                  <c:v>421</c:v>
                </c:pt>
                <c:pt idx="4">
                  <c:v>517</c:v>
                </c:pt>
                <c:pt idx="5">
                  <c:v>594</c:v>
                </c:pt>
                <c:pt idx="6">
                  <c:v>715</c:v>
                </c:pt>
                <c:pt idx="7">
                  <c:v>697</c:v>
                </c:pt>
                <c:pt idx="8">
                  <c:v>706</c:v>
                </c:pt>
                <c:pt idx="9">
                  <c:v>754</c:v>
                </c:pt>
                <c:pt idx="10">
                  <c:v>969</c:v>
                </c:pt>
                <c:pt idx="11">
                  <c:v>1258</c:v>
                </c:pt>
                <c:pt idx="12">
                  <c:v>1581</c:v>
                </c:pt>
                <c:pt idx="13">
                  <c:v>1076</c:v>
                </c:pt>
                <c:pt idx="14">
                  <c:v>903</c:v>
                </c:pt>
                <c:pt idx="15">
                  <c:v>670</c:v>
                </c:pt>
                <c:pt idx="16">
                  <c:v>855</c:v>
                </c:pt>
                <c:pt idx="17">
                  <c:v>877</c:v>
                </c:pt>
                <c:pt idx="18">
                  <c:v>737</c:v>
                </c:pt>
                <c:pt idx="19">
                  <c:v>844</c:v>
                </c:pt>
                <c:pt idx="20">
                  <c:v>1096</c:v>
                </c:pt>
                <c:pt idx="21">
                  <c:v>867</c:v>
                </c:pt>
                <c:pt idx="22">
                  <c:v>815</c:v>
                </c:pt>
                <c:pt idx="23">
                  <c:v>1169</c:v>
                </c:pt>
                <c:pt idx="24">
                  <c:v>889</c:v>
                </c:pt>
                <c:pt idx="25">
                  <c:v>1047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AA3-4B7A-8A8A-C47068F93232}"/>
            </c:ext>
          </c:extLst>
        </c:ser>
        <c:ser>
          <c:idx val="11"/>
          <c:order val="11"/>
          <c:tx>
            <c:strRef>
              <c:f>'Public Sector Value'!$L$4</c:f>
              <c:strCache>
                <c:ptCount val="1"/>
                <c:pt idx="0">
                  <c:v>Public other new work: garages &amp; shops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D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3F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1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3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5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7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9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B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D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4F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1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3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5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7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9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B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D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5F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1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3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5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7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9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B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D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6F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Value'!$L$5:$L$30</c:f>
              <c:numCache>
                <c:formatCode>#,##0</c:formatCode>
                <c:ptCount val="26"/>
                <c:pt idx="0">
                  <c:v>53</c:v>
                </c:pt>
                <c:pt idx="1">
                  <c:v>55</c:v>
                </c:pt>
                <c:pt idx="2">
                  <c:v>90</c:v>
                </c:pt>
                <c:pt idx="3">
                  <c:v>83</c:v>
                </c:pt>
                <c:pt idx="4">
                  <c:v>103</c:v>
                </c:pt>
                <c:pt idx="5">
                  <c:v>127</c:v>
                </c:pt>
                <c:pt idx="6">
                  <c:v>129</c:v>
                </c:pt>
                <c:pt idx="7">
                  <c:v>130</c:v>
                </c:pt>
                <c:pt idx="8">
                  <c:v>120</c:v>
                </c:pt>
                <c:pt idx="9">
                  <c:v>110</c:v>
                </c:pt>
                <c:pt idx="10">
                  <c:v>113</c:v>
                </c:pt>
                <c:pt idx="11">
                  <c:v>179</c:v>
                </c:pt>
                <c:pt idx="12">
                  <c:v>402</c:v>
                </c:pt>
                <c:pt idx="13">
                  <c:v>182</c:v>
                </c:pt>
                <c:pt idx="14">
                  <c:v>60</c:v>
                </c:pt>
                <c:pt idx="15">
                  <c:v>115</c:v>
                </c:pt>
                <c:pt idx="16">
                  <c:v>190</c:v>
                </c:pt>
                <c:pt idx="17">
                  <c:v>218</c:v>
                </c:pt>
                <c:pt idx="18">
                  <c:v>271</c:v>
                </c:pt>
                <c:pt idx="19">
                  <c:v>672</c:v>
                </c:pt>
                <c:pt idx="20">
                  <c:v>398</c:v>
                </c:pt>
                <c:pt idx="21">
                  <c:v>334</c:v>
                </c:pt>
                <c:pt idx="22">
                  <c:v>266</c:v>
                </c:pt>
                <c:pt idx="23">
                  <c:v>175</c:v>
                </c:pt>
                <c:pt idx="24">
                  <c:v>360</c:v>
                </c:pt>
                <c:pt idx="25">
                  <c:v>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AA3-4B7A-8A8A-C47068F93232}"/>
            </c:ext>
          </c:extLst>
        </c:ser>
        <c:ser>
          <c:idx val="12"/>
          <c:order val="12"/>
          <c:tx>
            <c:strRef>
              <c:f>'Public Sector Value'!$M$4</c:f>
              <c:strCache>
                <c:ptCount val="1"/>
                <c:pt idx="0">
                  <c:v>Public other new work: agriculture &amp; miscellaneous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1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3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5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7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9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B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D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7F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1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3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5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7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9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B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D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8F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1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3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5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7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9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B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D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9F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1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3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Value'!$M$5:$M$30</c:f>
              <c:numCache>
                <c:formatCode>#,##0</c:formatCode>
                <c:ptCount val="26"/>
                <c:pt idx="0">
                  <c:v>578</c:v>
                </c:pt>
                <c:pt idx="1">
                  <c:v>668</c:v>
                </c:pt>
                <c:pt idx="2">
                  <c:v>668</c:v>
                </c:pt>
                <c:pt idx="3">
                  <c:v>614</c:v>
                </c:pt>
                <c:pt idx="4">
                  <c:v>636</c:v>
                </c:pt>
                <c:pt idx="5">
                  <c:v>971</c:v>
                </c:pt>
                <c:pt idx="6">
                  <c:v>990</c:v>
                </c:pt>
                <c:pt idx="7">
                  <c:v>845</c:v>
                </c:pt>
                <c:pt idx="8">
                  <c:v>742</c:v>
                </c:pt>
                <c:pt idx="9">
                  <c:v>995</c:v>
                </c:pt>
                <c:pt idx="10">
                  <c:v>903</c:v>
                </c:pt>
                <c:pt idx="11">
                  <c:v>1161</c:v>
                </c:pt>
                <c:pt idx="12">
                  <c:v>1092</c:v>
                </c:pt>
                <c:pt idx="13">
                  <c:v>1383</c:v>
                </c:pt>
                <c:pt idx="14">
                  <c:v>1361</c:v>
                </c:pt>
                <c:pt idx="15">
                  <c:v>1332</c:v>
                </c:pt>
                <c:pt idx="16">
                  <c:v>1184</c:v>
                </c:pt>
                <c:pt idx="17">
                  <c:v>1200</c:v>
                </c:pt>
                <c:pt idx="18">
                  <c:v>1162</c:v>
                </c:pt>
                <c:pt idx="19">
                  <c:v>1223</c:v>
                </c:pt>
                <c:pt idx="20">
                  <c:v>1289</c:v>
                </c:pt>
                <c:pt idx="21">
                  <c:v>1194</c:v>
                </c:pt>
                <c:pt idx="22">
                  <c:v>1097</c:v>
                </c:pt>
                <c:pt idx="23">
                  <c:v>771</c:v>
                </c:pt>
                <c:pt idx="24">
                  <c:v>1068</c:v>
                </c:pt>
                <c:pt idx="25">
                  <c:v>2320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AA3-4B7A-8A8A-C47068F93232}"/>
            </c:ext>
          </c:extLst>
        </c:ser>
        <c:ser>
          <c:idx val="13"/>
          <c:order val="13"/>
          <c:tx>
            <c:strRef>
              <c:f>'Public Sector Value'!$N$4</c:f>
              <c:strCache>
                <c:ptCount val="1"/>
                <c:pt idx="0">
                  <c:v>Total other new work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5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7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9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B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D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AF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1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3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5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7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9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B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D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BF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1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3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5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7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9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B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D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CF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1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3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5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7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Value'!$N$5:$N$30</c:f>
              <c:numCache>
                <c:formatCode>#,##0</c:formatCode>
                <c:ptCount val="26"/>
                <c:pt idx="0">
                  <c:v>3343</c:v>
                </c:pt>
                <c:pt idx="1">
                  <c:v>3907</c:v>
                </c:pt>
                <c:pt idx="2">
                  <c:v>3863</c:v>
                </c:pt>
                <c:pt idx="3">
                  <c:v>4253</c:v>
                </c:pt>
                <c:pt idx="4">
                  <c:v>5517</c:v>
                </c:pt>
                <c:pt idx="5">
                  <c:v>7280</c:v>
                </c:pt>
                <c:pt idx="6">
                  <c:v>8638</c:v>
                </c:pt>
                <c:pt idx="7">
                  <c:v>8362</c:v>
                </c:pt>
                <c:pt idx="8">
                  <c:v>8047</c:v>
                </c:pt>
                <c:pt idx="9">
                  <c:v>8347</c:v>
                </c:pt>
                <c:pt idx="10">
                  <c:v>9988</c:v>
                </c:pt>
                <c:pt idx="11">
                  <c:v>11857</c:v>
                </c:pt>
                <c:pt idx="12">
                  <c:v>14372</c:v>
                </c:pt>
                <c:pt idx="13">
                  <c:v>13291</c:v>
                </c:pt>
                <c:pt idx="14">
                  <c:v>10826</c:v>
                </c:pt>
                <c:pt idx="15">
                  <c:v>10265</c:v>
                </c:pt>
                <c:pt idx="16">
                  <c:v>10564</c:v>
                </c:pt>
                <c:pt idx="17">
                  <c:v>10755</c:v>
                </c:pt>
                <c:pt idx="18">
                  <c:v>11508</c:v>
                </c:pt>
                <c:pt idx="19">
                  <c:v>11521</c:v>
                </c:pt>
                <c:pt idx="20">
                  <c:v>10572</c:v>
                </c:pt>
                <c:pt idx="21">
                  <c:v>10728</c:v>
                </c:pt>
                <c:pt idx="22">
                  <c:v>9952</c:v>
                </c:pt>
                <c:pt idx="23">
                  <c:v>10111</c:v>
                </c:pt>
                <c:pt idx="24">
                  <c:v>9911</c:v>
                </c:pt>
                <c:pt idx="25">
                  <c:v>11708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AA3-4B7A-8A8A-C47068F93232}"/>
            </c:ext>
          </c:extLst>
        </c:ser>
        <c:ser>
          <c:idx val="14"/>
          <c:order val="14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9-4D6E-44CD-94CD-33CF9D7C04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B-4D6E-44CD-94CD-33CF9D7C04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D-4D6E-44CD-94CD-33CF9D7C04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DF-4D6E-44CD-94CD-33CF9D7C04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1-4D6E-44CD-94CD-33CF9D7C04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3-4D6E-44CD-94CD-33CF9D7C04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5-4D6E-44CD-94CD-33CF9D7C04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7-4D6E-44CD-94CD-33CF9D7C04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9-4D6E-44CD-94CD-33CF9D7C04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B-4D6E-44CD-94CD-33CF9D7C04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D-4D6E-44CD-94CD-33CF9D7C04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EF-4D6E-44CD-94CD-33CF9D7C04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1-4D6E-44CD-94CD-33CF9D7C04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3-4D6E-44CD-94CD-33CF9D7C04A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5-4D6E-44CD-94CD-33CF9D7C04A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7-4D6E-44CD-94CD-33CF9D7C04A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9-4D6E-44CD-94CD-33CF9D7C04A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B-4D6E-44CD-94CD-33CF9D7C04A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D-4D6E-44CD-94CD-33CF9D7C04A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2FF-4D6E-44CD-94CD-33CF9D7C04A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301-4D6E-44CD-94CD-33CF9D7C04A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303-4D6E-44CD-94CD-33CF9D7C04A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305-4D6E-44CD-94CD-33CF9D7C04A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307-4D6E-44CD-94CD-33CF9D7C04A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309-4D6E-44CD-94CD-33CF9D7C04A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30B-4D6E-44CD-94CD-33CF9D7C04A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AA3-4B7A-8A8A-C47068F9323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'Public Sector Value'!$A$32</c:f>
              <c:strCache>
                <c:ptCount val="1"/>
                <c:pt idx="0">
                  <c:v>median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51D-462B-B410-3F147E4D05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51D-462B-B410-3F147E4D05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1D-462B-B410-3F147E4D05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51D-462B-B410-3F147E4D05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1D-462B-B410-3F147E4D05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51D-462B-B410-3F147E4D05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1D-462B-B410-3F147E4D05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51D-462B-B410-3F147E4D05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1D-462B-B410-3F147E4D05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51D-462B-B410-3F147E4D05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1D-462B-B410-3F147E4D05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51D-462B-B410-3F147E4D05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E51D-462B-B410-3F147E4D05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51D-462B-B410-3F147E4D0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Value'!$B$32:$O$32</c:f>
              <c:numCache>
                <c:formatCode>General</c:formatCode>
                <c:ptCount val="14"/>
                <c:pt idx="0">
                  <c:v>4186</c:v>
                </c:pt>
                <c:pt idx="1">
                  <c:v>4599</c:v>
                </c:pt>
                <c:pt idx="2">
                  <c:v>88</c:v>
                </c:pt>
                <c:pt idx="3">
                  <c:v>29</c:v>
                </c:pt>
                <c:pt idx="4">
                  <c:v>4</c:v>
                </c:pt>
                <c:pt idx="5">
                  <c:v>3977</c:v>
                </c:pt>
                <c:pt idx="6">
                  <c:v>960.5</c:v>
                </c:pt>
                <c:pt idx="7">
                  <c:v>1676.5</c:v>
                </c:pt>
                <c:pt idx="8">
                  <c:v>818.5</c:v>
                </c:pt>
                <c:pt idx="9">
                  <c:v>829.5</c:v>
                </c:pt>
                <c:pt idx="10">
                  <c:v>152.5</c:v>
                </c:pt>
                <c:pt idx="11">
                  <c:v>4599</c:v>
                </c:pt>
                <c:pt idx="12">
                  <c:v>88</c:v>
                </c:pt>
                <c:pt idx="13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C9-4729-8CB9-9D609F6A8444}"/>
            </c:ext>
          </c:extLst>
        </c:ser>
        <c:ser>
          <c:idx val="1"/>
          <c:order val="1"/>
          <c:tx>
            <c:strRef>
              <c:f>'Public Sector Value'!$A$33</c:f>
              <c:strCache>
                <c:ptCount val="1"/>
                <c:pt idx="0">
                  <c:v>mean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E51D-462B-B410-3F147E4D05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E51D-462B-B410-3F147E4D05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E51D-462B-B410-3F147E4D05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E51D-462B-B410-3F147E4D05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E51D-462B-B410-3F147E4D05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E51D-462B-B410-3F147E4D05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51D-462B-B410-3F147E4D05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E51D-462B-B410-3F147E4D05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51D-462B-B410-3F147E4D05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E51D-462B-B410-3F147E4D05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E51D-462B-B410-3F147E4D05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E51D-462B-B410-3F147E4D05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E51D-462B-B410-3F147E4D05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51D-462B-B410-3F147E4D0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Value'!$B$33:$O$33</c:f>
              <c:numCache>
                <c:formatCode>#,##0</c:formatCode>
                <c:ptCount val="14"/>
                <c:pt idx="0">
                  <c:v>3837.4230769230771</c:v>
                </c:pt>
                <c:pt idx="1">
                  <c:v>6697.0384615384619</c:v>
                </c:pt>
                <c:pt idx="2">
                  <c:v>103</c:v>
                </c:pt>
                <c:pt idx="3">
                  <c:v>30.76923076923077</c:v>
                </c:pt>
                <c:pt idx="4">
                  <c:v>9.384615384615385</c:v>
                </c:pt>
                <c:pt idx="5">
                  <c:v>3618.9615384615386</c:v>
                </c:pt>
                <c:pt idx="6">
                  <c:v>986.30769230769226</c:v>
                </c:pt>
                <c:pt idx="7">
                  <c:v>1625.7307692307693</c:v>
                </c:pt>
                <c:pt idx="8">
                  <c:v>753.03846153846155</c:v>
                </c:pt>
                <c:pt idx="9">
                  <c:v>820.65384615384619</c:v>
                </c:pt>
                <c:pt idx="10">
                  <c:v>207.26923076923077</c:v>
                </c:pt>
                <c:pt idx="11">
                  <c:v>1055.6538461538462</c:v>
                </c:pt>
                <c:pt idx="12">
                  <c:v>9211</c:v>
                </c:pt>
                <c:pt idx="13">
                  <c:v>19745.423076923078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C9-4729-8CB9-9D609F6A8444}"/>
            </c:ext>
          </c:extLst>
        </c:ser>
        <c:ser>
          <c:idx val="2"/>
          <c:order val="2"/>
          <c:tx>
            <c:strRef>
              <c:f>'Public Sector Value'!$A$34</c:f>
              <c:strCache>
                <c:ptCount val="1"/>
                <c:pt idx="0">
                  <c:v>mode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E51D-462B-B410-3F147E4D05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E51D-462B-B410-3F147E4D05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E51D-462B-B410-3F147E4D05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E51D-462B-B410-3F147E4D05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E51D-462B-B410-3F147E4D05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E51D-462B-B410-3F147E4D05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51D-462B-B410-3F147E4D05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51D-462B-B410-3F147E4D05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E51D-462B-B410-3F147E4D05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51D-462B-B410-3F147E4D05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E51D-462B-B410-3F147E4D05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E51D-462B-B410-3F147E4D05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E51D-462B-B410-3F147E4D05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E51D-462B-B410-3F147E4D0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Value'!$B$34:$O$34</c:f>
              <c:numCache>
                <c:formatCode>General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77</c:v>
                </c:pt>
                <c:pt idx="3">
                  <c:v>29</c:v>
                </c:pt>
                <c:pt idx="4">
                  <c:v>4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668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C9-4729-8CB9-9D609F6A8444}"/>
            </c:ext>
          </c:extLst>
        </c:ser>
        <c:ser>
          <c:idx val="3"/>
          <c:order val="3"/>
          <c:tx>
            <c:strRef>
              <c:f>'Public Sector Value'!$A$35</c:f>
              <c:strCache>
                <c:ptCount val="1"/>
                <c:pt idx="0">
                  <c:v>range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51D-462B-B410-3F147E4D05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E51D-462B-B410-3F147E4D05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51D-462B-B410-3F147E4D05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E51D-462B-B410-3F147E4D05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51D-462B-B410-3F147E4D05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1D-462B-B410-3F147E4D05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51D-462B-B410-3F147E4D05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1D-462B-B410-3F147E4D05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51D-462B-B410-3F147E4D05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1D-462B-B410-3F147E4D05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51D-462B-B410-3F147E4D05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1D-462B-B410-3F147E4D05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E51D-462B-B410-3F147E4D05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1D-462B-B410-3F147E4D0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Value'!$B$35:$O$35</c:f>
              <c:numCache>
                <c:formatCode>#,##0</c:formatCode>
                <c:ptCount val="14"/>
                <c:pt idx="0">
                  <c:v>6214</c:v>
                </c:pt>
                <c:pt idx="1">
                  <c:v>17417</c:v>
                </c:pt>
                <c:pt idx="2">
                  <c:v>229</c:v>
                </c:pt>
                <c:pt idx="3">
                  <c:v>65</c:v>
                </c:pt>
                <c:pt idx="4">
                  <c:v>44</c:v>
                </c:pt>
                <c:pt idx="5">
                  <c:v>6138</c:v>
                </c:pt>
                <c:pt idx="6">
                  <c:v>1562</c:v>
                </c:pt>
                <c:pt idx="7">
                  <c:v>1902</c:v>
                </c:pt>
                <c:pt idx="8">
                  <c:v>645</c:v>
                </c:pt>
                <c:pt idx="9">
                  <c:v>1201</c:v>
                </c:pt>
                <c:pt idx="10">
                  <c:v>619</c:v>
                </c:pt>
                <c:pt idx="11">
                  <c:v>1742</c:v>
                </c:pt>
                <c:pt idx="12">
                  <c:v>11029</c:v>
                </c:pt>
                <c:pt idx="13">
                  <c:v>31608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C9-4729-8CB9-9D609F6A8444}"/>
            </c:ext>
          </c:extLst>
        </c:ser>
        <c:ser>
          <c:idx val="4"/>
          <c:order val="4"/>
          <c:tx>
            <c:strRef>
              <c:f>'Public Sector Value'!$A$36</c:f>
              <c:strCache>
                <c:ptCount val="1"/>
                <c:pt idx="0">
                  <c:v>standard deviation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E51D-462B-B410-3F147E4D05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E51D-462B-B410-3F147E4D05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E51D-462B-B410-3F147E4D05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E51D-462B-B410-3F147E4D05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E51D-462B-B410-3F147E4D05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E51D-462B-B410-3F147E4D05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E51D-462B-B410-3F147E4D05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E51D-462B-B410-3F147E4D05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E51D-462B-B410-3F147E4D05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51D-462B-B410-3F147E4D05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5-E51D-462B-B410-3F147E4D05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51D-462B-B410-3F147E4D05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9-E51D-462B-B410-3F147E4D05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E51D-462B-B410-3F147E4D0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'Public Sector Value'!$B$36:$O$36</c:f>
              <c:numCache>
                <c:formatCode>General</c:formatCode>
                <c:ptCount val="14"/>
                <c:pt idx="0">
                  <c:v>1933.7118331970134</c:v>
                </c:pt>
                <c:pt idx="1">
                  <c:v>5042.993805118299</c:v>
                </c:pt>
                <c:pt idx="2">
                  <c:v>54.568855586314072</c:v>
                </c:pt>
                <c:pt idx="3">
                  <c:v>15.77417558494311</c:v>
                </c:pt>
                <c:pt idx="4">
                  <c:v>12.079989811508694</c:v>
                </c:pt>
                <c:pt idx="5">
                  <c:v>1527.4180693122421</c:v>
                </c:pt>
                <c:pt idx="6">
                  <c:v>431.73925179263188</c:v>
                </c:pt>
                <c:pt idx="7">
                  <c:v>527.53294173481174</c:v>
                </c:pt>
                <c:pt idx="8">
                  <c:v>191.38620238026169</c:v>
                </c:pt>
                <c:pt idx="9">
                  <c:v>280.68216078799054</c:v>
                </c:pt>
                <c:pt idx="10">
                  <c:v>150.02627974919801</c:v>
                </c:pt>
                <c:pt idx="11">
                  <c:v>357.87907927764564</c:v>
                </c:pt>
                <c:pt idx="12">
                  <c:v>2952.5899681466099</c:v>
                </c:pt>
                <c:pt idx="13">
                  <c:v>8569.7219519565588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3C9-4729-8CB9-9D609F6A844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firm</a:t>
            </a:r>
            <a:r>
              <a:rPr lang="en-GB" baseline="0"/>
              <a:t> size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'Firm Size'!$B$21:$B$37</c:f>
              <c:numCache>
                <c:formatCode>#,##0</c:formatCode>
                <c:ptCount val="17"/>
                <c:pt idx="0" formatCode="General">
                  <c:v>0</c:v>
                </c:pt>
                <c:pt idx="1">
                  <c:v>101101.03703703704</c:v>
                </c:pt>
                <c:pt idx="2">
                  <c:v>68227</c:v>
                </c:pt>
                <c:pt idx="3">
                  <c:v>29494.296296296296</c:v>
                </c:pt>
                <c:pt idx="4">
                  <c:v>10845.777777777777</c:v>
                </c:pt>
                <c:pt idx="5">
                  <c:v>5847.0740740740739</c:v>
                </c:pt>
                <c:pt idx="6">
                  <c:v>1820.4814814814815</c:v>
                </c:pt>
                <c:pt idx="7">
                  <c:v>1759.1851851851852</c:v>
                </c:pt>
                <c:pt idx="8">
                  <c:v>530.22222222222217</c:v>
                </c:pt>
                <c:pt idx="9">
                  <c:v>424.33333333333331</c:v>
                </c:pt>
                <c:pt idx="10">
                  <c:v>508.74074074074076</c:v>
                </c:pt>
                <c:pt idx="11">
                  <c:v>136.55555555555554</c:v>
                </c:pt>
                <c:pt idx="12">
                  <c:v>60.037037037037038</c:v>
                </c:pt>
                <c:pt idx="13">
                  <c:v>54.851851851851855</c:v>
                </c:pt>
                <c:pt idx="15">
                  <c:v>0</c:v>
                </c:pt>
                <c:pt idx="16">
                  <c:v>241904.51851851851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08-49AE-8132-C1BBAEA2180E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'Firm Size'!$C$21:$C$37</c:f>
              <c:numCache>
                <c:formatCode>#,##0</c:formatCode>
                <c:ptCount val="17"/>
                <c:pt idx="0" formatCode="General">
                  <c:v>0</c:v>
                </c:pt>
                <c:pt idx="1">
                  <c:v>88018</c:v>
                </c:pt>
                <c:pt idx="2">
                  <c:v>62910</c:v>
                </c:pt>
                <c:pt idx="3">
                  <c:v>30375</c:v>
                </c:pt>
                <c:pt idx="4">
                  <c:v>11774</c:v>
                </c:pt>
                <c:pt idx="5">
                  <c:v>6203</c:v>
                </c:pt>
                <c:pt idx="6">
                  <c:v>1885</c:v>
                </c:pt>
                <c:pt idx="7">
                  <c:v>1849</c:v>
                </c:pt>
                <c:pt idx="8">
                  <c:v>549</c:v>
                </c:pt>
                <c:pt idx="9">
                  <c:v>441</c:v>
                </c:pt>
                <c:pt idx="10">
                  <c:v>531</c:v>
                </c:pt>
                <c:pt idx="11">
                  <c:v>143</c:v>
                </c:pt>
                <c:pt idx="12">
                  <c:v>59</c:v>
                </c:pt>
                <c:pt idx="13">
                  <c:v>57</c:v>
                </c:pt>
                <c:pt idx="15" formatCode="General">
                  <c:v>0</c:v>
                </c:pt>
                <c:pt idx="16">
                  <c:v>247105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08-49AE-8132-C1BBAEA2180E}"/>
            </c:ext>
          </c:extLst>
        </c:ser>
        <c:ser>
          <c:idx val="2"/>
          <c:order val="2"/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'Firm Size'!$D$21:$D$37</c:f>
              <c:numCache>
                <c:formatCode>General</c:formatCode>
                <c:ptCount val="17"/>
                <c:pt idx="0">
                  <c:v>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11455</c:v>
                </c:pt>
                <c:pt idx="5">
                  <c:v>#N/A</c:v>
                </c:pt>
                <c:pt idx="6">
                  <c:v>1201</c:v>
                </c:pt>
                <c:pt idx="7">
                  <c:v>#N/A</c:v>
                </c:pt>
                <c:pt idx="8">
                  <c:v>583</c:v>
                </c:pt>
                <c:pt idx="9">
                  <c:v>304</c:v>
                </c:pt>
                <c:pt idx="10">
                  <c:v>560</c:v>
                </c:pt>
                <c:pt idx="11">
                  <c:v>125</c:v>
                </c:pt>
                <c:pt idx="12">
                  <c:v>56</c:v>
                </c:pt>
                <c:pt idx="13">
                  <c:v>60</c:v>
                </c:pt>
                <c:pt idx="15">
                  <c:v>0</c:v>
                </c:pt>
                <c:pt idx="16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08-49AE-8132-C1BBAEA2180E}"/>
            </c:ext>
          </c:extLst>
        </c:ser>
        <c:ser>
          <c:idx val="3"/>
          <c:order val="3"/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'Firm Size'!$E$21:$E$37</c:f>
              <c:numCache>
                <c:formatCode>#,##0</c:formatCode>
                <c:ptCount val="17"/>
                <c:pt idx="0" formatCode="General">
                  <c:v>0</c:v>
                </c:pt>
                <c:pt idx="1">
                  <c:v>86642</c:v>
                </c:pt>
                <c:pt idx="2">
                  <c:v>55165</c:v>
                </c:pt>
                <c:pt idx="3">
                  <c:v>24460</c:v>
                </c:pt>
                <c:pt idx="4">
                  <c:v>10588</c:v>
                </c:pt>
                <c:pt idx="5">
                  <c:v>4187</c:v>
                </c:pt>
                <c:pt idx="6">
                  <c:v>1061</c:v>
                </c:pt>
                <c:pt idx="7">
                  <c:v>1212</c:v>
                </c:pt>
                <c:pt idx="8">
                  <c:v>293</c:v>
                </c:pt>
                <c:pt idx="9">
                  <c:v>240</c:v>
                </c:pt>
                <c:pt idx="10">
                  <c:v>261</c:v>
                </c:pt>
                <c:pt idx="11">
                  <c:v>73</c:v>
                </c:pt>
                <c:pt idx="12">
                  <c:v>27</c:v>
                </c:pt>
                <c:pt idx="13">
                  <c:v>29</c:v>
                </c:pt>
                <c:pt idx="15" formatCode="General">
                  <c:v>0</c:v>
                </c:pt>
                <c:pt idx="16">
                  <c:v>214184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08-49AE-8132-C1BBAEA2180E}"/>
            </c:ext>
          </c:extLst>
        </c:ser>
        <c:ser>
          <c:idx val="4"/>
          <c:order val="4"/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'Firm Size'!$F$21:$F$37</c:f>
              <c:numCache>
                <c:formatCode>General</c:formatCode>
                <c:ptCount val="17"/>
                <c:pt idx="0">
                  <c:v>0</c:v>
                </c:pt>
                <c:pt idx="1">
                  <c:v>30444.321253322403</c:v>
                </c:pt>
                <c:pt idx="2">
                  <c:v>18096.289783352746</c:v>
                </c:pt>
                <c:pt idx="3">
                  <c:v>7127.7593944910232</c:v>
                </c:pt>
                <c:pt idx="4">
                  <c:v>3221.2702264471491</c:v>
                </c:pt>
                <c:pt idx="5">
                  <c:v>1235.8401043552367</c:v>
                </c:pt>
                <c:pt idx="6">
                  <c:v>285.13955697441764</c:v>
                </c:pt>
                <c:pt idx="7">
                  <c:v>320.12714265489501</c:v>
                </c:pt>
                <c:pt idx="8">
                  <c:v>80.279000670897503</c:v>
                </c:pt>
                <c:pt idx="9">
                  <c:v>66.389874112061577</c:v>
                </c:pt>
                <c:pt idx="10">
                  <c:v>68.921690563997686</c:v>
                </c:pt>
                <c:pt idx="11">
                  <c:v>16.674100906065124</c:v>
                </c:pt>
                <c:pt idx="12">
                  <c:v>6.6591838347300012</c:v>
                </c:pt>
                <c:pt idx="13">
                  <c:v>7.5176904376057738</c:v>
                </c:pt>
                <c:pt idx="15">
                  <c:v>0</c:v>
                </c:pt>
                <c:pt idx="16">
                  <c:v>73118.121907357941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08-49AE-8132-C1BBAEA2180E}"/>
            </c:ext>
          </c:extLst>
        </c:ser>
        <c:ser>
          <c:idx val="5"/>
          <c:order val="5"/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'Firm Size'!$G$21:$G$37</c:f>
              <c:numCache>
                <c:formatCode>General</c:formatCode>
                <c:ptCount val="17"/>
              </c:numCache>
            </c:numRef>
          </c:val>
          <c:extLst>
            <c:ext xmlns:c16="http://schemas.microsoft.com/office/drawing/2014/chart" uri="{C3380CC4-5D6E-409C-BE32-E72D297353CC}">
              <c16:uniqueId val="{00000005-8E08-49AE-8132-C1BBAEA21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986123808"/>
        <c:axId val="986120928"/>
      </c:barChart>
      <c:catAx>
        <c:axId val="986123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120928"/>
        <c:crosses val="autoZero"/>
        <c:auto val="1"/>
        <c:lblAlgn val="ctr"/>
        <c:lblOffset val="100"/>
        <c:noMultiLvlLbl val="0"/>
      </c:catAx>
      <c:valAx>
        <c:axId val="98612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1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_xlchart.v2.1</cx:f>
      </cx:numDim>
    </cx:data>
    <cx:data id="1">
      <cx:numDim type="val">
        <cx:f>_xlchart.v2.3</cx:f>
      </cx:numDim>
    </cx:data>
    <cx:data id="2">
      <cx:numDim type="val">
        <cx:f>_xlchart.v2.5</cx:f>
      </cx:numDim>
    </cx:data>
    <cx:data id="3">
      <cx:numDim type="val">
        <cx:f>_xlchart.v2.7</cx:f>
      </cx:numDim>
    </cx:data>
    <cx:data id="4">
      <cx:numDim type="val">
        <cx:f>_xlchart.v2.9</cx:f>
      </cx:numDim>
    </cx:data>
  </cx:chartData>
  <cx:chart>
    <cx:title pos="t" align="ctr" overlay="0">
      <cx:tx>
        <cx:txData>
          <cx:v>Turnover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GB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/>
            </a:rPr>
            <a:t>Turnover</a:t>
          </a:r>
        </a:p>
      </cx:txPr>
    </cx:title>
    <cx:plotArea>
      <cx:plotAreaRegion>
        <cx:series layoutId="funnel" uniqueId="{45F944FB-812B-41AB-B074-FDD76C13E2EF}" formatIdx="0">
          <cx:tx>
            <cx:txData>
              <cx:f>_xlchart.v2.0</cx:f>
              <cx:v>mean</cx:v>
            </cx:txData>
          </cx:tx>
          <cx:dataLabels>
            <cx:visibility seriesName="0" categoryName="0" value="1"/>
          </cx:dataLabels>
          <cx:dataId val="0"/>
        </cx:series>
        <cx:series layoutId="funnel" hidden="1" uniqueId="{C4E65FB1-DA13-4C14-955C-6D3D3800DEFD}" formatIdx="1">
          <cx:tx>
            <cx:txData>
              <cx:f>_xlchart.v2.2</cx:f>
              <cx:v>median </cx:v>
            </cx:txData>
          </cx:tx>
          <cx:dataLabels>
            <cx:visibility seriesName="0" categoryName="0" value="1"/>
          </cx:dataLabels>
          <cx:dataId val="1"/>
        </cx:series>
        <cx:series layoutId="funnel" hidden="1" uniqueId="{AFBC782D-CCB3-44FC-A935-1813F3F5954F}" formatIdx="2">
          <cx:tx>
            <cx:txData>
              <cx:f>_xlchart.v2.4</cx:f>
              <cx:v>mode</cx:v>
            </cx:txData>
          </cx:tx>
          <cx:dataLabels>
            <cx:visibility seriesName="0" categoryName="0" value="1"/>
          </cx:dataLabels>
          <cx:dataId val="2"/>
        </cx:series>
        <cx:series layoutId="funnel" hidden="1" uniqueId="{CDB861E5-00A8-4B45-B37C-780084595B06}" formatIdx="3">
          <cx:tx>
            <cx:txData>
              <cx:f>_xlchart.v2.6</cx:f>
              <cx:v>range </cx:v>
            </cx:txData>
          </cx:tx>
          <cx:dataLabels>
            <cx:visibility seriesName="0" categoryName="0" value="1"/>
          </cx:dataLabels>
          <cx:dataId val="3"/>
        </cx:series>
        <cx:series layoutId="funnel" hidden="1" uniqueId="{982F11AF-4317-4624-A3A9-BB9BBC9B4DA2}" formatIdx="4">
          <cx:tx>
            <cx:txData>
              <cx:f>_xlchart.v2.8</cx:f>
              <cx:v>standard deviation </cx:v>
            </cx:txData>
          </cx:tx>
          <cx:dataLabels>
            <cx:visibility seriesName="0" categoryName="0" value="1"/>
          </cx:dataLabels>
          <cx:dataId val="4"/>
        </cx:series>
      </cx:plotAreaRegion>
      <cx:axis id="0">
        <cx:catScaling gapWidth="0.0599999987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60960</xdr:colOff>
      <xdr:row>3</xdr:row>
      <xdr:rowOff>419100</xdr:rowOff>
    </xdr:from>
    <xdr:to>
      <xdr:col>38</xdr:col>
      <xdr:colOff>426720</xdr:colOff>
      <xdr:row>49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5BF0E2-44F4-631E-A30A-90DB066676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609600</xdr:colOff>
      <xdr:row>38</xdr:row>
      <xdr:rowOff>175260</xdr:rowOff>
    </xdr:from>
    <xdr:to>
      <xdr:col>15</xdr:col>
      <xdr:colOff>609600</xdr:colOff>
      <xdr:row>66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07A476D-BA90-47F9-ADAE-E7C38D787B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426720</xdr:colOff>
      <xdr:row>3</xdr:row>
      <xdr:rowOff>68580</xdr:rowOff>
    </xdr:from>
    <xdr:to>
      <xdr:col>31</xdr:col>
      <xdr:colOff>15240</xdr:colOff>
      <xdr:row>27</xdr:row>
      <xdr:rowOff>91440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4109FEB-C542-1563-4FEE-4D4B4FF323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443696</xdr:colOff>
      <xdr:row>36</xdr:row>
      <xdr:rowOff>125392</xdr:rowOff>
    </xdr:from>
    <xdr:to>
      <xdr:col>15</xdr:col>
      <xdr:colOff>462987</xdr:colOff>
      <xdr:row>58</xdr:row>
      <xdr:rowOff>19291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CEF658E-41D8-A658-A3C2-F2C31C2A53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87085</xdr:colOff>
      <xdr:row>19</xdr:row>
      <xdr:rowOff>108858</xdr:rowOff>
    </xdr:from>
    <xdr:to>
      <xdr:col>26</xdr:col>
      <xdr:colOff>579120</xdr:colOff>
      <xdr:row>49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0B755BA-B601-811F-087B-CC0E36C22B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523875</xdr:colOff>
      <xdr:row>19</xdr:row>
      <xdr:rowOff>65088</xdr:rowOff>
    </xdr:from>
    <xdr:to>
      <xdr:col>30</xdr:col>
      <xdr:colOff>123825</xdr:colOff>
      <xdr:row>48</xdr:row>
      <xdr:rowOff>123825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22E638A1-2EFB-B0AD-3D91-44B32266309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93015" y="3836988"/>
              <a:ext cx="7524750" cy="53622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isn’t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36" headerRowBorderDxfId="135" tableBorderDxfId="134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33"/>
    <tableColumn id="2" xr3:uid="{C23D8177-BE6A-461F-BDF0-6062E9A9C563}" name="Total private new housing" dataDxfId="132"/>
    <tableColumn id="3" xr3:uid="{A0112703-164B-4D8F-8127-1F9BC5377D92}" name="Total private Infrastructure" dataDxfId="131"/>
    <tableColumn id="4" xr3:uid="{5C3BDA6B-FFA2-4485-B69E-D43CA1A73A6D}" name="Private industrial: factories" dataDxfId="130"/>
    <tableColumn id="5" xr3:uid="{1A9A4962-83F1-4697-B041-646210503394}" name="Private industrial: warehouses" dataDxfId="129"/>
    <tableColumn id="6" xr3:uid="{B08A9504-9136-4E95-8379-17E65179B983}" name="Private industrial: oil, steel &amp; coal" dataDxfId="128"/>
    <tableColumn id="7" xr3:uid="{F0A3B3E8-2CD4-4411-B00D-94698CE6322C}" name="All private industrial" dataDxfId="127"/>
    <tableColumn id="8" xr3:uid="{184046F4-C3BE-4FCC-ACB7-18CDAFDF611E}" name="Private commercial: schools &amp; universities" dataDxfId="126"/>
    <tableColumn id="9" xr3:uid="{ECA96A0B-B560-45E2-8624-7571F89E8974}" name="Private commercial: health" dataDxfId="125"/>
    <tableColumn id="10" xr3:uid="{4F34749D-2332-4677-9A18-C2E983F4F1AA}" name="Private commercial: offices" dataDxfId="124"/>
    <tableColumn id="11" xr3:uid="{C563F708-AF4F-42F9-B9CC-B21C0F3DCD0F}" name="Private commercial: entertainment" dataDxfId="123"/>
    <tableColumn id="12" xr3:uid="{247D2649-72BC-4671-8FED-3BBD36116AAA}" name="Private commercial: garages" dataDxfId="122"/>
    <tableColumn id="13" xr3:uid="{26D1EE28-82B9-4E14-B03B-F99E6123F7F9}" name="Private commercial: shops" dataDxfId="121"/>
    <tableColumn id="14" xr3:uid="{305BAB87-4138-4069-96F6-BCD89AE70315}" name="Private commercial: agriculture &amp; miscellaneous" dataDxfId="120"/>
    <tableColumn id="15" xr3:uid="{2416E7D6-1E53-4B44-B96F-D447BA7D8C97}" name="All private commercial" dataDxfId="119"/>
    <tableColumn id="16" xr3:uid="{0B15AE04-565B-4968-A2E1-2333D8AF492C}" name="All Private Sector" dataDxfId="1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17" headerRowBorderDxfId="116" tableBorderDxfId="115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14"/>
    <tableColumn id="2" xr3:uid="{2CEB802E-2C8B-438B-9945-35DD738C0281}" name="Total public new housing" dataDxfId="113"/>
    <tableColumn id="3" xr3:uid="{3C3BF752-4FFF-484B-B71F-F58604720080}" name="Total public infrastructure" dataDxfId="112"/>
    <tableColumn id="4" xr3:uid="{DEEA3593-9A6C-4595-A7F4-F7A1FF50902E}" name="Public other new work: factories" dataDxfId="111"/>
    <tableColumn id="5" xr3:uid="{701866BA-69BA-48CD-9D0D-81FD69DF739B}" name="Public other new work: warehouses" dataDxfId="110"/>
    <tableColumn id="6" xr3:uid="{50F5A838-140D-46C1-8047-15EFD622290F}" name="Public other new work: oil, steel &amp; coal" dataDxfId="109"/>
    <tableColumn id="7" xr3:uid="{6E0EFBDD-3A47-49CD-BF91-D293A5E27967}" name="Public other new work: schools &amp; colleges" dataDxfId="108"/>
    <tableColumn id="8" xr3:uid="{052798D4-9B72-4634-83FD-B570A0A4EF5E}" name="Public other new work: universities" dataDxfId="107"/>
    <tableColumn id="9" xr3:uid="{571F73C0-8F8D-4744-9CDA-7B688B842FEF}" name="Public other new work: health" dataDxfId="106"/>
    <tableColumn id="10" xr3:uid="{F2EE5416-E865-4168-999D-36C183FDD80C}" name="Public other new work: offices" dataDxfId="105"/>
    <tableColumn id="11" xr3:uid="{A7B4FAA5-F556-43C6-B0B4-B26DEC3A6BC2}" name="Public other new work: entertainment" dataDxfId="104"/>
    <tableColumn id="12" xr3:uid="{29535A53-8586-4C43-85ED-4497C85F3F49}" name="Public other new work: garages &amp; shops" dataDxfId="103"/>
    <tableColumn id="13" xr3:uid="{46E5855B-008E-4046-9A54-C371E654CFE7}" name="Public other new work: agriculture &amp; miscellaneous" dataDxfId="102"/>
    <tableColumn id="14" xr3:uid="{50113204-1E01-42B5-B32F-CB7AFABA9D95}" name="Total other new work" dataDxfId="101"/>
    <tableColumn id="15" xr3:uid="{DA379AB0-7BAB-4EF3-B6D5-77E85678C85D}" name="All Public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AO36"/>
  <sheetViews>
    <sheetView tabSelected="1" topLeftCell="C9" zoomScale="49" zoomScaleNormal="50" workbookViewId="0">
      <selection activeCell="AO12" sqref="AO12"/>
    </sheetView>
  </sheetViews>
  <sheetFormatPr defaultColWidth="8.77734375" defaultRowHeight="14.4"/>
  <cols>
    <col min="1" max="1" width="18.109375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41" ht="19.2">
      <c r="A1" s="7" t="s">
        <v>103</v>
      </c>
    </row>
    <row r="2" spans="1:41">
      <c r="A2" s="5" t="s">
        <v>29</v>
      </c>
    </row>
    <row r="3" spans="1:41">
      <c r="A3" s="5"/>
    </row>
    <row r="4" spans="1:41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41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41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41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41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41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41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41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41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  <c r="AO12" t="s">
        <v>116</v>
      </c>
    </row>
    <row r="13" spans="1:41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41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41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41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A32" t="s">
        <v>109</v>
      </c>
      <c r="B32">
        <f>MEDIAN(Table1.2[Total private new housing])</f>
        <v>19846</v>
      </c>
      <c r="C32">
        <f>MEDIAN(Table1.2[Total private Infrastructure])</f>
        <v>8715.5</v>
      </c>
      <c r="D32">
        <f>MEDIAN(Table1.2[Private industrial: factories])</f>
        <v>2678</v>
      </c>
      <c r="E32">
        <f>MEDIAN(Table1.2[Private industrial: warehouses])</f>
        <v>2025.5</v>
      </c>
      <c r="F32">
        <f>MEDIAN(Table1.2[Private industrial: oil, steel &amp; coal])</f>
        <v>151</v>
      </c>
      <c r="G32">
        <f>MEDIAN(Table1.2[All private industrial])</f>
        <v>4859.5</v>
      </c>
      <c r="H32">
        <f>MEDIAN(Table1.2[Private commercial: schools &amp; universities])</f>
        <v>3188.5</v>
      </c>
      <c r="I32">
        <f>MEDIAN(Table1.2[Private commercial: health])</f>
        <v>1196.5</v>
      </c>
      <c r="J32">
        <f>MEDIAN(Table1.2[Private commercial: offices])</f>
        <v>8883.5</v>
      </c>
      <c r="K32">
        <f>MEDIAN(Table1.2[Private commercial: entertainment])</f>
        <v>4749</v>
      </c>
      <c r="L32">
        <f>MEDIAN(Table1.2[Private commercial: garages])</f>
        <v>499</v>
      </c>
      <c r="M32">
        <f>MEDIAN(Table1.2[Private commercial: shops])</f>
        <v>4989.5</v>
      </c>
      <c r="N32">
        <f>MEDIAN(Table1.2[Private commercial: agriculture &amp; miscellaneous])</f>
        <v>1266.5</v>
      </c>
      <c r="O32">
        <f>MEDIAN(Table1.2[All private commercial])</f>
        <v>25533.5</v>
      </c>
      <c r="P32">
        <f>MEDIAN(Table1.2[All Private Sector])</f>
        <v>60478.5</v>
      </c>
    </row>
    <row r="33" spans="1:16">
      <c r="A33" t="s">
        <v>106</v>
      </c>
      <c r="B33">
        <f>AVERAGE(Table1.2[Total private new housing])</f>
        <v>23301.807692307691</v>
      </c>
      <c r="C33">
        <f>AVERAGE(Table1.2[Total private Infrastructure])</f>
        <v>8636.1923076923085</v>
      </c>
      <c r="D33">
        <f>AVERAGE(Table1.2[Private industrial: factories])</f>
        <v>2613.6153846153848</v>
      </c>
      <c r="E33">
        <f>AVERAGE(Table1.2[Private industrial: warehouses])</f>
        <v>2281.7307692307691</v>
      </c>
      <c r="F33">
        <f>AVERAGE(Table1.2[Private industrial: oil, steel &amp; coal])</f>
        <v>163.30769230769232</v>
      </c>
      <c r="G33">
        <f>AVERAGE(Table1.2[All private industrial])</f>
        <v>5058.6923076923076</v>
      </c>
      <c r="H33">
        <f>AVERAGE(Table1.2[Private commercial: schools &amp; universities])</f>
        <v>3076.3076923076924</v>
      </c>
      <c r="I33">
        <f>AVERAGE(Table1.2[Private commercial: health])</f>
        <v>1503.0769230769231</v>
      </c>
      <c r="J33">
        <f>AVERAGE(Table1.2[Private commercial: offices])</f>
        <v>8734.3076923076915</v>
      </c>
      <c r="K33">
        <f>AVERAGE(Table1.2[Private commercial: entertainment])</f>
        <v>5328.5</v>
      </c>
      <c r="L33">
        <f>AVERAGE(Table1.2[Private commercial: garages])</f>
        <v>510.84615384615387</v>
      </c>
      <c r="M33">
        <f>AVERAGE(Table1.2[Private commercial: shops])</f>
        <v>4985.9615384615381</v>
      </c>
      <c r="N33">
        <f>AVERAGE(Table1.2[Private commercial: agriculture &amp; miscellaneous])</f>
        <v>1540.1538461538462</v>
      </c>
      <c r="O33">
        <f>AVERAGE(Table1.2[All private commercial])</f>
        <v>25678.807692307691</v>
      </c>
      <c r="P33">
        <f>AVERAGE(Table1.2[All Private Sector])</f>
        <v>62675.5</v>
      </c>
    </row>
    <row r="34" spans="1:16">
      <c r="A34" t="s">
        <v>107</v>
      </c>
      <c r="B34" t="e">
        <f>_xlfn.MODE.SNGL(Table1.2[Total private new housing])</f>
        <v>#N/A</v>
      </c>
      <c r="C34">
        <f>_xlfn.MODE.SNGL(Table1.2[Total private Infrastructure])</f>
        <v>5305</v>
      </c>
      <c r="D34">
        <f>_xlfn.MODE.SNGL(Table1.2[Private industrial: factories])</f>
        <v>3296</v>
      </c>
      <c r="E34" t="e">
        <f>_xlfn.MODE.SNGL(Table1.2[Private industrial: warehouses])</f>
        <v>#N/A</v>
      </c>
      <c r="F34">
        <f>_xlfn.MODE.SNGL(Table1.2[Private industrial: oil, steel &amp; coal])</f>
        <v>73</v>
      </c>
      <c r="G34" t="e">
        <f>_xlfn.MODE.SNGL(Table1.2[All private industrial])</f>
        <v>#N/A</v>
      </c>
      <c r="H34" t="e">
        <f>_xlfn.MODE.SNGL(Table1.2[Private commercial: schools &amp; universities])</f>
        <v>#N/A</v>
      </c>
      <c r="I34" t="e">
        <f>_xlfn.MODE.SNGL(Table1.2[Private commercial: health])</f>
        <v>#N/A</v>
      </c>
      <c r="J34" t="e">
        <f>_xlfn.MODE.SNGL(Table1.2[Private commercial: offices])</f>
        <v>#N/A</v>
      </c>
      <c r="K34" t="e">
        <f>_xlfn.MODE.SNGL(Table1.2[Private commercial: entertainment])</f>
        <v>#N/A</v>
      </c>
      <c r="L34" t="e">
        <f>_xlfn.MODE.SNGL(Table1.2[Private commercial: garages])</f>
        <v>#N/A</v>
      </c>
      <c r="M34" t="e">
        <f>_xlfn.MODE.SNGL(Table1.2[Private commercial: shops])</f>
        <v>#N/A</v>
      </c>
      <c r="N34" t="e">
        <f>_xlfn.MODE.SNGL(Table1.2[Private commercial: agriculture &amp; miscellaneous])</f>
        <v>#N/A</v>
      </c>
      <c r="O34" t="e">
        <f>_xlfn.MODE.SNGL(Table1.2[All private commercial])</f>
        <v>#N/A</v>
      </c>
      <c r="P34" t="e">
        <f>_xlfn.MODE.SNGL(Table1.2[All Private Sector])</f>
        <v>#N/A</v>
      </c>
    </row>
    <row r="35" spans="1:16">
      <c r="A35" t="s">
        <v>108</v>
      </c>
      <c r="B35" s="32">
        <f>MAX(B5:B30)-MIN(B5:B30)</f>
        <v>42400</v>
      </c>
      <c r="C35" s="32">
        <f t="shared" ref="C35:P35" si="0">MAX(C5:C30)-MIN(C5:C30)</f>
        <v>11836</v>
      </c>
      <c r="D35" s="32">
        <f t="shared" si="0"/>
        <v>1726</v>
      </c>
      <c r="E35" s="32">
        <f t="shared" si="0"/>
        <v>3529</v>
      </c>
      <c r="F35" s="32">
        <f t="shared" si="0"/>
        <v>424</v>
      </c>
      <c r="G35" s="32">
        <f t="shared" si="0"/>
        <v>5160</v>
      </c>
      <c r="H35" s="32">
        <f t="shared" si="0"/>
        <v>5400</v>
      </c>
      <c r="I35" s="32">
        <f t="shared" si="0"/>
        <v>3640</v>
      </c>
      <c r="J35" s="32">
        <f t="shared" si="0"/>
        <v>7795</v>
      </c>
      <c r="K35" s="32">
        <f t="shared" si="0"/>
        <v>5212</v>
      </c>
      <c r="L35" s="32">
        <f t="shared" si="0"/>
        <v>495</v>
      </c>
      <c r="M35" s="32">
        <f t="shared" si="0"/>
        <v>5340</v>
      </c>
      <c r="N35" s="32">
        <f t="shared" si="0"/>
        <v>2783</v>
      </c>
      <c r="O35" s="32">
        <f t="shared" si="0"/>
        <v>20443</v>
      </c>
      <c r="P35" s="32">
        <f t="shared" si="0"/>
        <v>67708</v>
      </c>
    </row>
    <row r="36" spans="1:16">
      <c r="A36" t="s">
        <v>111</v>
      </c>
      <c r="B36">
        <f>_xlfn.STDEV.S(Table1.2[Total private new housing])</f>
        <v>12315.36673272617</v>
      </c>
      <c r="C36">
        <f>_xlfn.STDEV.S(Table1.2[Total private Infrastructure])</f>
        <v>3395.0424211692052</v>
      </c>
      <c r="D36">
        <f>_xlfn.STDEV.S(Table1.2[Private industrial: factories])</f>
        <v>501.18069211996368</v>
      </c>
      <c r="E36">
        <f>_xlfn.STDEV.S(Table1.2[Private industrial: warehouses])</f>
        <v>963.5538203003423</v>
      </c>
      <c r="F36">
        <f>_xlfn.STDEV.S(Table1.2[Private industrial: oil, steel &amp; coal])</f>
        <v>105.8254295453675</v>
      </c>
      <c r="G36">
        <f>_xlfn.STDEV.S(Table1.2[All private industrial])</f>
        <v>1272.6617388522618</v>
      </c>
      <c r="H36">
        <f>_xlfn.STDEV.S(Table1.2[Private commercial: schools &amp; universities])</f>
        <v>1453.219398968532</v>
      </c>
      <c r="I36">
        <f>_xlfn.STDEV.S(Table1.2[Private commercial: health])</f>
        <v>834.15753538894194</v>
      </c>
      <c r="J36">
        <f>_xlfn.STDEV.S(Table1.2[Private commercial: offices])</f>
        <v>2079.8119678322983</v>
      </c>
      <c r="K36">
        <f>_xlfn.STDEV.S(Table1.2[Private commercial: entertainment])</f>
        <v>1524.3703815018187</v>
      </c>
      <c r="L36">
        <f>_xlfn.STDEV.S(Table1.2[Private commercial: garages])</f>
        <v>133.24164283216939</v>
      </c>
      <c r="M36">
        <f>_xlfn.STDEV.S(Table1.2[Private commercial: shops])</f>
        <v>1498.0525619822349</v>
      </c>
      <c r="N36">
        <f>_xlfn.STDEV.S(Table1.2[Private commercial: agriculture &amp; miscellaneous])</f>
        <v>779.65359960986223</v>
      </c>
      <c r="O36">
        <f>_xlfn.STDEV.S(Table1.2[All private commercial])</f>
        <v>5047.2798695474048</v>
      </c>
      <c r="P36">
        <f>_xlfn.STDEV.S(Table1.2[All Private Sector])</f>
        <v>19252.42941605033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E14" zoomScale="79" zoomScaleNormal="80" workbookViewId="0">
      <selection activeCell="R45" sqref="R45"/>
    </sheetView>
  </sheetViews>
  <sheetFormatPr defaultColWidth="8.77734375" defaultRowHeight="14.4"/>
  <cols>
    <col min="1" max="1" width="18.44140625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A32" t="s">
        <v>109</v>
      </c>
      <c r="B32">
        <f>MEDIAN(Table1.1[Total public new housing])</f>
        <v>4186</v>
      </c>
      <c r="C32">
        <f>MEDIAN(Table1.1[Total public infrastructure])</f>
        <v>4599</v>
      </c>
      <c r="D32">
        <f>MEDIAN(Table1.1[Public other new work: factories])</f>
        <v>88</v>
      </c>
      <c r="E32">
        <f>MEDIAN(Table1.1[Public other new work: warehouses])</f>
        <v>29</v>
      </c>
      <c r="F32">
        <f>MEDIAN(Table1.1[Public other new work: oil, steel &amp; coal])</f>
        <v>4</v>
      </c>
      <c r="G32">
        <f>MEDIAN(Table1.1[Public other new work: schools &amp; colleges])</f>
        <v>3977</v>
      </c>
      <c r="H32">
        <f>MEDIAN(Table1.1[Public other new work: universities])</f>
        <v>960.5</v>
      </c>
      <c r="I32">
        <f>MEDIAN(Table1.1[Public other new work: health])</f>
        <v>1676.5</v>
      </c>
      <c r="J32">
        <f>MEDIAN(Table1.1[Public other new work: offices])</f>
        <v>818.5</v>
      </c>
      <c r="K32">
        <f>MEDIAN(Table1.1[Public other new work: entertainment])</f>
        <v>829.5</v>
      </c>
      <c r="L32">
        <f>MEDIAN(Table1.1[Public other new work: garages &amp; shops])</f>
        <v>152.5</v>
      </c>
      <c r="M32">
        <f>MEDIAN(Table1.1[Total public infrastructure])</f>
        <v>4599</v>
      </c>
      <c r="N32">
        <f>MEDIAN(Table1.1[Public other new work: factories])</f>
        <v>88</v>
      </c>
      <c r="O32">
        <f>MEDIAN(Table1.1[Public other new work: warehouses])</f>
        <v>29</v>
      </c>
    </row>
    <row r="33" spans="1:15">
      <c r="A33" t="s">
        <v>106</v>
      </c>
      <c r="B33" s="32">
        <f>AVERAGE(Table1.1[Total public new housing])</f>
        <v>3837.4230769230771</v>
      </c>
      <c r="C33" s="32">
        <f>AVERAGE(Table1.1[Total public infrastructure])</f>
        <v>6697.0384615384619</v>
      </c>
      <c r="D33" s="32">
        <f>AVERAGE(Table1.1[Public other new work: factories])</f>
        <v>103</v>
      </c>
      <c r="E33" s="32">
        <f>AVERAGE(Table1.1[Public other new work: warehouses])</f>
        <v>30.76923076923077</v>
      </c>
      <c r="F33" s="32">
        <f>AVERAGE(Table1.1[Public other new work: oil, steel &amp; coal])</f>
        <v>9.384615384615385</v>
      </c>
      <c r="G33" s="32">
        <f>AVERAGE(Table1.1[Public other new work: schools &amp; colleges])</f>
        <v>3618.9615384615386</v>
      </c>
      <c r="H33" s="32">
        <f>AVERAGE(Table1.1[Public other new work: universities])</f>
        <v>986.30769230769226</v>
      </c>
      <c r="I33" s="32">
        <f>AVERAGE(Table1.1[Public other new work: health])</f>
        <v>1625.7307692307693</v>
      </c>
      <c r="J33" s="32">
        <f>AVERAGE(Table1.1[Public other new work: offices])</f>
        <v>753.03846153846155</v>
      </c>
      <c r="K33" s="32">
        <f>AVERAGE(Table1.1[Public other new work: entertainment])</f>
        <v>820.65384615384619</v>
      </c>
      <c r="L33" s="32">
        <f>AVERAGE(Table1.1[Public other new work: garages &amp; shops])</f>
        <v>207.26923076923077</v>
      </c>
      <c r="M33" s="32">
        <f>AVERAGE(Table1.1[Public other new work: agriculture &amp; miscellaneous])</f>
        <v>1055.6538461538462</v>
      </c>
      <c r="N33" s="32">
        <f>AVERAGE(Table1.1[Total other new work])</f>
        <v>9211</v>
      </c>
      <c r="O33" s="32">
        <f>AVERAGE(Table1.1[All Public Sector])</f>
        <v>19745.423076923078</v>
      </c>
    </row>
    <row r="34" spans="1:15">
      <c r="A34" t="s">
        <v>107</v>
      </c>
      <c r="B34" t="e">
        <f>_xlfn.MODE.SNGL(Table1.1[Total public new housing])</f>
        <v>#N/A</v>
      </c>
      <c r="C34" t="e">
        <f>_xlfn.MODE.SNGL(Table1.1[Total public infrastructure])</f>
        <v>#N/A</v>
      </c>
      <c r="D34">
        <f>_xlfn.MODE.SNGL(Table1.1[Public other new work: factories])</f>
        <v>77</v>
      </c>
      <c r="E34">
        <f>_xlfn.MODE.SNGL(Table1.1[Public other new work: warehouses])</f>
        <v>29</v>
      </c>
      <c r="F34">
        <f>_xlfn.MODE.SNGL(Table1.1[Public other new work: oil, steel &amp; coal])</f>
        <v>4</v>
      </c>
      <c r="G34" t="e">
        <f>_xlfn.MODE.SNGL(Table1.1[Public other new work: schools &amp; colleges])</f>
        <v>#N/A</v>
      </c>
      <c r="H34" t="e">
        <f>_xlfn.MODE.SNGL(Table1.1[Public other new work: universities])</f>
        <v>#N/A</v>
      </c>
      <c r="I34" t="e">
        <f>_xlfn.MODE.SNGL(Table1.1[Public other new work: health])</f>
        <v>#N/A</v>
      </c>
      <c r="J34" t="e">
        <f>_xlfn.MODE.SNGL(Table1.1[Public other new work: offices])</f>
        <v>#N/A</v>
      </c>
      <c r="K34" t="e">
        <f>_xlfn.MODE.SNGL(Table1.1[Public other new work: entertainment])</f>
        <v>#N/A</v>
      </c>
      <c r="L34" t="e">
        <f>_xlfn.MODE.SNGL(Table1.1[Public other new work: garages &amp; shops])</f>
        <v>#N/A</v>
      </c>
      <c r="M34">
        <f>_xlfn.MODE.SNGL(Table1.1[Public other new work: agriculture &amp; miscellaneous])</f>
        <v>668</v>
      </c>
      <c r="N34" t="e">
        <f>_xlfn.MODE.SNGL(Table1.1[Total other new work])</f>
        <v>#N/A</v>
      </c>
      <c r="O34" t="e">
        <f>_xlfn.MODE.SNGL(Table1.1[All Public Sector])</f>
        <v>#N/A</v>
      </c>
    </row>
    <row r="35" spans="1:15">
      <c r="A35" t="s">
        <v>110</v>
      </c>
      <c r="B35" s="32">
        <f>MAX(B5:B30)-MIN(B5:B30)</f>
        <v>6214</v>
      </c>
      <c r="C35" s="32">
        <f t="shared" ref="C35:O35" si="0">MAX(C5:C30)-MIN(C5:C30)</f>
        <v>17417</v>
      </c>
      <c r="D35" s="32">
        <f t="shared" si="0"/>
        <v>229</v>
      </c>
      <c r="E35" s="32">
        <f t="shared" si="0"/>
        <v>65</v>
      </c>
      <c r="F35" s="32">
        <f t="shared" si="0"/>
        <v>44</v>
      </c>
      <c r="G35" s="32">
        <f t="shared" si="0"/>
        <v>6138</v>
      </c>
      <c r="H35" s="32">
        <f t="shared" si="0"/>
        <v>1562</v>
      </c>
      <c r="I35" s="32">
        <f t="shared" si="0"/>
        <v>1902</v>
      </c>
      <c r="J35" s="32">
        <f t="shared" si="0"/>
        <v>645</v>
      </c>
      <c r="K35" s="32">
        <f t="shared" si="0"/>
        <v>1201</v>
      </c>
      <c r="L35" s="32">
        <f t="shared" si="0"/>
        <v>619</v>
      </c>
      <c r="M35" s="32">
        <f t="shared" si="0"/>
        <v>1742</v>
      </c>
      <c r="N35" s="32">
        <f t="shared" si="0"/>
        <v>11029</v>
      </c>
      <c r="O35" s="32">
        <f t="shared" si="0"/>
        <v>31608</v>
      </c>
    </row>
    <row r="36" spans="1:15">
      <c r="A36" t="s">
        <v>111</v>
      </c>
      <c r="B36">
        <f>_xlfn.STDEV.S(Table1.1[Total public new housing])</f>
        <v>1933.7118331970134</v>
      </c>
      <c r="C36">
        <f>_xlfn.STDEV.S(Table1.1[Total public infrastructure])</f>
        <v>5042.993805118299</v>
      </c>
      <c r="D36">
        <f>_xlfn.STDEV.S(Table1.1[Public other new work: factories])</f>
        <v>54.568855586314072</v>
      </c>
      <c r="E36">
        <f>_xlfn.STDEV.S(Table1.1[Public other new work: warehouses])</f>
        <v>15.77417558494311</v>
      </c>
      <c r="F36">
        <f>_xlfn.STDEV.S(Table1.1[Public other new work: oil, steel &amp; coal])</f>
        <v>12.079989811508694</v>
      </c>
      <c r="G36">
        <f>_xlfn.STDEV.S(Table1.1[Public other new work: schools &amp; colleges])</f>
        <v>1527.4180693122421</v>
      </c>
      <c r="H36">
        <f>_xlfn.STDEV.S(Table1.1[Public other new work: universities])</f>
        <v>431.73925179263188</v>
      </c>
      <c r="I36">
        <f>_xlfn.STDEV.S(Table1.1[Public other new work: health])</f>
        <v>527.53294173481174</v>
      </c>
      <c r="J36">
        <f>_xlfn.STDEV.S(Table1.1[Public other new work: offices])</f>
        <v>191.38620238026169</v>
      </c>
      <c r="K36">
        <f>_xlfn.STDEV.S(Table1.1[Public other new work: entertainment])</f>
        <v>280.68216078799054</v>
      </c>
      <c r="L36">
        <f>_xlfn.STDEV.S(Table1.1[Public other new work: garages &amp; shops])</f>
        <v>150.02627974919801</v>
      </c>
      <c r="M36">
        <f>_xlfn.STDEV.S(Table1.1[Public other new work: agriculture &amp; miscellaneous])</f>
        <v>357.87907927764564</v>
      </c>
      <c r="N36">
        <f>_xlfn.STDEV.S(Table1.1[Total other new work])</f>
        <v>2952.5899681466099</v>
      </c>
      <c r="O36">
        <f>_xlfn.STDEV.S(Table1.1[All Public Sector])</f>
        <v>8569.7219519565588</v>
      </c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41"/>
  <sheetViews>
    <sheetView zoomScale="46" zoomScaleNormal="70" workbookViewId="0">
      <selection activeCell="C26" sqref="C26"/>
    </sheetView>
  </sheetViews>
  <sheetFormatPr defaultColWidth="8.77734375" defaultRowHeight="14.4"/>
  <cols>
    <col min="1" max="1" width="17.44140625" customWidth="1"/>
    <col min="2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1" spans="1:28">
      <c r="B21" t="s">
        <v>106</v>
      </c>
      <c r="C21" t="s">
        <v>109</v>
      </c>
      <c r="D21" t="s">
        <v>107</v>
      </c>
      <c r="E21" t="s">
        <v>110</v>
      </c>
      <c r="F21" t="s">
        <v>112</v>
      </c>
    </row>
    <row r="22" spans="1:28">
      <c r="B22" s="32">
        <f>AVERAGE(B4:AB4)</f>
        <v>101101.03703703704</v>
      </c>
      <c r="C22" s="32">
        <f>MEDIAN(B4:AB4)</f>
        <v>88018</v>
      </c>
      <c r="D22" t="e">
        <f>_xlfn.MODE.SNGL(B4:AB4)</f>
        <v>#N/A</v>
      </c>
      <c r="E22" s="32">
        <f>MAX(D4:AB4)-MIN(D4:AB4)</f>
        <v>86642</v>
      </c>
      <c r="F22">
        <f>_xlfn.STDEV.S(B4:AB4)</f>
        <v>30444.321253322403</v>
      </c>
    </row>
    <row r="23" spans="1:28">
      <c r="B23" s="32">
        <f t="shared" ref="B23:B34" si="0">AVERAGE(B5:AB5)</f>
        <v>68227</v>
      </c>
      <c r="C23" s="32">
        <f t="shared" ref="C23:C34" si="1">MEDIAN(B5:AB5)</f>
        <v>62910</v>
      </c>
      <c r="D23" t="e">
        <f t="shared" ref="D23:D34" si="2">_xlfn.MODE.SNGL(B5:AB5)</f>
        <v>#N/A</v>
      </c>
      <c r="E23" s="32">
        <f t="shared" ref="E23:E34" si="3">MAX(D5:AB5)-MIN(D5:AB5)</f>
        <v>55165</v>
      </c>
      <c r="F23">
        <f t="shared" ref="F23:F34" si="4">_xlfn.STDEV.S(B5:AB5)</f>
        <v>18096.289783352746</v>
      </c>
    </row>
    <row r="24" spans="1:28">
      <c r="B24" s="32">
        <f t="shared" si="0"/>
        <v>29494.296296296296</v>
      </c>
      <c r="C24" s="32">
        <f t="shared" si="1"/>
        <v>30375</v>
      </c>
      <c r="D24" t="e">
        <f t="shared" si="2"/>
        <v>#N/A</v>
      </c>
      <c r="E24" s="32">
        <f t="shared" si="3"/>
        <v>24460</v>
      </c>
      <c r="F24">
        <f t="shared" si="4"/>
        <v>7127.7593944910232</v>
      </c>
    </row>
    <row r="25" spans="1:28">
      <c r="B25" s="32">
        <f t="shared" si="0"/>
        <v>10845.777777777777</v>
      </c>
      <c r="C25" s="32">
        <f t="shared" si="1"/>
        <v>11774</v>
      </c>
      <c r="D25">
        <f t="shared" si="2"/>
        <v>11455</v>
      </c>
      <c r="E25" s="32">
        <f t="shared" si="3"/>
        <v>10588</v>
      </c>
      <c r="F25">
        <f t="shared" si="4"/>
        <v>3221.2702264471491</v>
      </c>
    </row>
    <row r="26" spans="1:28">
      <c r="B26" s="32">
        <f t="shared" si="0"/>
        <v>5847.0740740740739</v>
      </c>
      <c r="C26" s="32">
        <f t="shared" si="1"/>
        <v>6203</v>
      </c>
      <c r="D26" t="e">
        <f t="shared" si="2"/>
        <v>#N/A</v>
      </c>
      <c r="E26" s="32">
        <f t="shared" si="3"/>
        <v>4187</v>
      </c>
      <c r="F26">
        <f t="shared" si="4"/>
        <v>1235.8401043552367</v>
      </c>
    </row>
    <row r="27" spans="1:28">
      <c r="B27" s="32">
        <f t="shared" si="0"/>
        <v>1820.4814814814815</v>
      </c>
      <c r="C27" s="32">
        <f t="shared" si="1"/>
        <v>1885</v>
      </c>
      <c r="D27">
        <f t="shared" si="2"/>
        <v>1201</v>
      </c>
      <c r="E27" s="32">
        <f t="shared" si="3"/>
        <v>1061</v>
      </c>
      <c r="F27">
        <f t="shared" si="4"/>
        <v>285.13955697441764</v>
      </c>
    </row>
    <row r="28" spans="1:28">
      <c r="B28" s="32">
        <f t="shared" si="0"/>
        <v>1759.1851851851852</v>
      </c>
      <c r="C28" s="32">
        <f t="shared" si="1"/>
        <v>1849</v>
      </c>
      <c r="D28" t="e">
        <f t="shared" si="2"/>
        <v>#N/A</v>
      </c>
      <c r="E28" s="32">
        <f t="shared" si="3"/>
        <v>1212</v>
      </c>
      <c r="F28">
        <f t="shared" si="4"/>
        <v>320.12714265489501</v>
      </c>
    </row>
    <row r="29" spans="1:28">
      <c r="B29" s="32">
        <f t="shared" si="0"/>
        <v>530.22222222222217</v>
      </c>
      <c r="C29" s="32">
        <f t="shared" si="1"/>
        <v>549</v>
      </c>
      <c r="D29">
        <f t="shared" si="2"/>
        <v>583</v>
      </c>
      <c r="E29" s="32">
        <f t="shared" si="3"/>
        <v>293</v>
      </c>
      <c r="F29">
        <f t="shared" si="4"/>
        <v>80.279000670897503</v>
      </c>
    </row>
    <row r="30" spans="1:28">
      <c r="B30" s="32">
        <f t="shared" si="0"/>
        <v>424.33333333333331</v>
      </c>
      <c r="C30" s="32">
        <f t="shared" si="1"/>
        <v>441</v>
      </c>
      <c r="D30">
        <f t="shared" si="2"/>
        <v>304</v>
      </c>
      <c r="E30" s="32">
        <f t="shared" si="3"/>
        <v>240</v>
      </c>
      <c r="F30">
        <f t="shared" si="4"/>
        <v>66.389874112061577</v>
      </c>
    </row>
    <row r="31" spans="1:28">
      <c r="B31" s="32">
        <f t="shared" si="0"/>
        <v>508.74074074074076</v>
      </c>
      <c r="C31" s="32">
        <f t="shared" si="1"/>
        <v>531</v>
      </c>
      <c r="D31">
        <f t="shared" si="2"/>
        <v>560</v>
      </c>
      <c r="E31" s="32">
        <f t="shared" si="3"/>
        <v>261</v>
      </c>
      <c r="F31">
        <f t="shared" si="4"/>
        <v>68.921690563997686</v>
      </c>
    </row>
    <row r="32" spans="1:28">
      <c r="B32" s="32">
        <f t="shared" si="0"/>
        <v>136.55555555555554</v>
      </c>
      <c r="C32" s="32">
        <f t="shared" si="1"/>
        <v>143</v>
      </c>
      <c r="D32">
        <f t="shared" si="2"/>
        <v>125</v>
      </c>
      <c r="E32" s="32">
        <f t="shared" si="3"/>
        <v>73</v>
      </c>
      <c r="F32">
        <f t="shared" si="4"/>
        <v>16.674100906065124</v>
      </c>
    </row>
    <row r="33" spans="1:6">
      <c r="B33" s="32">
        <f t="shared" si="0"/>
        <v>60.037037037037038</v>
      </c>
      <c r="C33" s="32">
        <f t="shared" si="1"/>
        <v>59</v>
      </c>
      <c r="D33">
        <f t="shared" si="2"/>
        <v>56</v>
      </c>
      <c r="E33" s="32">
        <f t="shared" si="3"/>
        <v>27</v>
      </c>
      <c r="F33">
        <f t="shared" si="4"/>
        <v>6.6591838347300012</v>
      </c>
    </row>
    <row r="34" spans="1:6">
      <c r="B34" s="32">
        <f t="shared" si="0"/>
        <v>54.851851851851855</v>
      </c>
      <c r="C34" s="32">
        <f t="shared" si="1"/>
        <v>57</v>
      </c>
      <c r="D34">
        <f t="shared" si="2"/>
        <v>60</v>
      </c>
      <c r="E34" s="32">
        <f t="shared" si="3"/>
        <v>29</v>
      </c>
      <c r="F34">
        <f t="shared" si="4"/>
        <v>7.5176904376057738</v>
      </c>
    </row>
    <row r="35" spans="1:6">
      <c r="B35" s="32"/>
    </row>
    <row r="36" spans="1:6">
      <c r="A36" t="s">
        <v>113</v>
      </c>
      <c r="B36" s="32" t="s">
        <v>114</v>
      </c>
      <c r="C36" t="s">
        <v>109</v>
      </c>
      <c r="D36" t="s">
        <v>107</v>
      </c>
      <c r="E36" t="s">
        <v>110</v>
      </c>
      <c r="F36" t="s">
        <v>112</v>
      </c>
    </row>
    <row r="37" spans="1:6">
      <c r="B37" s="32">
        <f>AVERAGE(B17:AC17)</f>
        <v>241904.51851851851</v>
      </c>
      <c r="C37" s="32">
        <f>MEDIAN(B17:AB17)</f>
        <v>247105</v>
      </c>
      <c r="D37" t="e">
        <f>_xlfn.MODE.SNGL(B17:AB17)</f>
        <v>#N/A</v>
      </c>
      <c r="E37" s="32">
        <f>MAX(B17:AB17)-MIN(B17:AB17)</f>
        <v>214184</v>
      </c>
      <c r="F37">
        <f>_xlfn.STDEV.S(B17:AB17)</f>
        <v>73118.121907357941</v>
      </c>
    </row>
    <row r="38" spans="1:6">
      <c r="B38" s="32"/>
    </row>
    <row r="39" spans="1:6">
      <c r="B39" s="32"/>
    </row>
    <row r="40" spans="1:6">
      <c r="B40" s="32"/>
    </row>
    <row r="41" spans="1:6">
      <c r="B41" s="32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35"/>
  <sheetViews>
    <sheetView topLeftCell="A3" zoomScale="46" workbookViewId="0">
      <selection activeCell="Y11" sqref="Y11"/>
    </sheetView>
  </sheetViews>
  <sheetFormatPr defaultRowHeight="14.4"/>
  <cols>
    <col min="1" max="1" width="35.21875" customWidth="1"/>
  </cols>
  <sheetData>
    <row r="1" spans="1:18" ht="19.2">
      <c r="A1" s="7" t="s">
        <v>101</v>
      </c>
    </row>
    <row r="2" spans="1:18" ht="19.2">
      <c r="A2" s="7"/>
    </row>
    <row r="3" spans="1:18" ht="28.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20" spans="1:18">
      <c r="B20" t="s">
        <v>106</v>
      </c>
      <c r="C20" t="s">
        <v>105</v>
      </c>
      <c r="D20" t="s">
        <v>107</v>
      </c>
      <c r="E20" t="s">
        <v>110</v>
      </c>
      <c r="F20" t="s">
        <v>112</v>
      </c>
    </row>
    <row r="21" spans="1:18">
      <c r="B21" s="32">
        <f>AVERAGE(B4:R4)</f>
        <v>246081.64705882352</v>
      </c>
      <c r="C21" s="32">
        <f>MEDIAN(B4:R4)</f>
        <v>228603</v>
      </c>
      <c r="D21" t="e">
        <f>_xlfn.MODE.SNGL(B4:R4)</f>
        <v>#N/A</v>
      </c>
      <c r="E21" s="32">
        <f>MAX(B4:R4)-MIN(B4:R4)</f>
        <v>105358</v>
      </c>
      <c r="F21">
        <f>_xlfn.STDEV.S(B4:R4)</f>
        <v>35189.859629481973</v>
      </c>
    </row>
    <row r="22" spans="1:18">
      <c r="B22" s="32">
        <f t="shared" ref="B22:B31" si="0">AVERAGE(B5:R5)</f>
        <v>24842.411764705881</v>
      </c>
      <c r="C22" s="32">
        <f t="shared" ref="C22:C32" si="1">MEDIAN(B5:R5)</f>
        <v>24657</v>
      </c>
      <c r="D22" t="e">
        <f t="shared" ref="D22:D32" si="2">_xlfn.MODE.SNGL(B5:R5)</f>
        <v>#N/A</v>
      </c>
      <c r="E22" s="32">
        <f t="shared" ref="E22:E32" si="3">MAX(B5:R5)-MIN(B5:R5)</f>
        <v>14719</v>
      </c>
      <c r="F22">
        <f t="shared" ref="F22:F32" si="4">_xlfn.STDEV.S(B5:R5)</f>
        <v>4410.9895298394158</v>
      </c>
    </row>
    <row r="23" spans="1:18">
      <c r="B23" s="32">
        <f t="shared" si="0"/>
        <v>21935.294117647059</v>
      </c>
      <c r="C23" s="32">
        <f t="shared" si="1"/>
        <v>21478</v>
      </c>
      <c r="D23" t="e">
        <f t="shared" si="2"/>
        <v>#N/A</v>
      </c>
      <c r="E23" s="32">
        <f t="shared" si="3"/>
        <v>11192</v>
      </c>
      <c r="F23">
        <f t="shared" si="4"/>
        <v>3575.0819355069621</v>
      </c>
    </row>
    <row r="24" spans="1:18">
      <c r="B24" s="32">
        <f t="shared" si="0"/>
        <v>2810.7647058823532</v>
      </c>
      <c r="C24" s="32">
        <f t="shared" si="1"/>
        <v>2744</v>
      </c>
      <c r="D24" t="e">
        <f t="shared" si="2"/>
        <v>#N/A</v>
      </c>
      <c r="E24" s="32">
        <f t="shared" si="3"/>
        <v>1679</v>
      </c>
      <c r="F24">
        <f t="shared" si="4"/>
        <v>570.07878067550485</v>
      </c>
    </row>
    <row r="25" spans="1:18">
      <c r="B25" s="32">
        <f t="shared" si="0"/>
        <v>1274.4117647058824</v>
      </c>
      <c r="C25" s="32">
        <f t="shared" si="1"/>
        <v>1262</v>
      </c>
      <c r="D25">
        <f t="shared" si="2"/>
        <v>1262</v>
      </c>
      <c r="E25" s="32">
        <f t="shared" si="3"/>
        <v>837</v>
      </c>
      <c r="F25">
        <f t="shared" si="4"/>
        <v>284.91842227722168</v>
      </c>
    </row>
    <row r="26" spans="1:18">
      <c r="B26" s="32">
        <f t="shared" si="0"/>
        <v>395.94117647058823</v>
      </c>
      <c r="C26" s="32">
        <f t="shared" si="1"/>
        <v>390</v>
      </c>
      <c r="D26" t="e">
        <f t="shared" si="2"/>
        <v>#N/A</v>
      </c>
      <c r="E26" s="32">
        <f t="shared" si="3"/>
        <v>234</v>
      </c>
      <c r="F26">
        <f t="shared" si="4"/>
        <v>76.599992320687591</v>
      </c>
    </row>
    <row r="27" spans="1:18">
      <c r="B27" s="32">
        <f t="shared" si="0"/>
        <v>196.94117647058823</v>
      </c>
      <c r="C27" s="32">
        <f t="shared" si="1"/>
        <v>180</v>
      </c>
      <c r="D27">
        <f t="shared" si="2"/>
        <v>243</v>
      </c>
      <c r="E27" s="32">
        <f t="shared" si="3"/>
        <v>153</v>
      </c>
      <c r="F27">
        <f t="shared" si="4"/>
        <v>53.053593879485796</v>
      </c>
    </row>
    <row r="28" spans="1:18">
      <c r="B28" s="32">
        <f t="shared" si="0"/>
        <v>124.94117647058823</v>
      </c>
      <c r="C28" s="32">
        <f t="shared" si="1"/>
        <v>117</v>
      </c>
      <c r="D28">
        <f t="shared" si="2"/>
        <v>98</v>
      </c>
      <c r="E28" s="32">
        <f t="shared" si="3"/>
        <v>101</v>
      </c>
      <c r="F28">
        <f t="shared" si="4"/>
        <v>31.746004843592722</v>
      </c>
    </row>
    <row r="29" spans="1:18">
      <c r="B29" s="32">
        <f t="shared" si="0"/>
        <v>246.52941176470588</v>
      </c>
      <c r="C29" s="32">
        <f t="shared" si="1"/>
        <v>227</v>
      </c>
      <c r="D29" t="e">
        <f t="shared" si="2"/>
        <v>#N/A</v>
      </c>
      <c r="E29" s="32">
        <f t="shared" si="3"/>
        <v>167</v>
      </c>
      <c r="F29">
        <f t="shared" si="4"/>
        <v>54.051037972293827</v>
      </c>
    </row>
    <row r="30" spans="1:18">
      <c r="B30" s="32">
        <f t="shared" si="0"/>
        <v>207.52941176470588</v>
      </c>
      <c r="C30" s="32">
        <f t="shared" si="1"/>
        <v>205</v>
      </c>
      <c r="D30" t="e">
        <f t="shared" si="2"/>
        <v>#N/A</v>
      </c>
      <c r="E30" s="32">
        <f t="shared" si="3"/>
        <v>102</v>
      </c>
      <c r="F30">
        <f t="shared" si="4"/>
        <v>33.571039690220339</v>
      </c>
    </row>
    <row r="31" spans="1:18">
      <c r="B31" s="32">
        <f t="shared" si="0"/>
        <v>20.823529411764707</v>
      </c>
      <c r="C31" s="32">
        <f t="shared" si="1"/>
        <v>20</v>
      </c>
      <c r="D31">
        <f t="shared" si="2"/>
        <v>20</v>
      </c>
      <c r="E31" s="32">
        <f t="shared" si="3"/>
        <v>16</v>
      </c>
      <c r="F31">
        <f t="shared" si="4"/>
        <v>4.4192094049395143</v>
      </c>
    </row>
    <row r="32" spans="1:18">
      <c r="B32" s="32">
        <f>AVERAGE(B15:R15)</f>
        <v>13</v>
      </c>
      <c r="C32" s="32">
        <f t="shared" si="1"/>
        <v>10</v>
      </c>
      <c r="D32">
        <f t="shared" si="2"/>
        <v>10</v>
      </c>
      <c r="E32" s="32">
        <f t="shared" si="3"/>
        <v>17</v>
      </c>
      <c r="F32">
        <f t="shared" si="4"/>
        <v>5.5677643628300215</v>
      </c>
    </row>
    <row r="34" spans="1:6">
      <c r="A34" t="s">
        <v>115</v>
      </c>
      <c r="B34" t="s">
        <v>114</v>
      </c>
      <c r="C34" t="s">
        <v>105</v>
      </c>
      <c r="D34" t="s">
        <v>107</v>
      </c>
      <c r="E34" t="s">
        <v>110</v>
      </c>
      <c r="F34" t="s">
        <v>112</v>
      </c>
    </row>
    <row r="35" spans="1:6">
      <c r="B35" s="32">
        <f>AVERAGE(B16:R16)</f>
        <v>298150.23529411765</v>
      </c>
      <c r="C35" s="32">
        <f>MEDIAN(B16:R16)</f>
        <v>279356</v>
      </c>
      <c r="D35" t="e">
        <f>_xlfn.MODE.SNGL(B16:R16)</f>
        <v>#N/A</v>
      </c>
      <c r="E35" s="32">
        <f>MAX(B16:R16)-MIN(B16:R16)</f>
        <v>127227</v>
      </c>
      <c r="F35">
        <f>_xlfn.STDEV.S(B16:R16)</f>
        <v>43522.476433920638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Private Sector Value</vt:lpstr>
      <vt:lpstr>Public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2025-12-03T15:32:33Z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