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0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ade Lectures\Accounting and planning Feb 2022\6) Worksheets\"/>
    </mc:Choice>
  </mc:AlternateContent>
  <xr:revisionPtr revIDLastSave="0" documentId="13_ncr:1_{6DA678BD-F70C-467E-A979-4D1551C9519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Burberry" sheetId="1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13" i="14" l="1"/>
  <c r="L20" i="14"/>
  <c r="K20" i="14"/>
  <c r="L18" i="14"/>
  <c r="K18" i="14"/>
  <c r="L19" i="14"/>
  <c r="K19" i="14"/>
  <c r="L17" i="14"/>
  <c r="K17" i="14"/>
  <c r="C11" i="14"/>
  <c r="D10" i="14"/>
  <c r="D11" i="14" s="1"/>
  <c r="G30" i="14"/>
  <c r="G18" i="14"/>
  <c r="G19" i="14" s="1"/>
  <c r="G20" i="14"/>
  <c r="G23" i="14" s="1"/>
  <c r="G11" i="14"/>
  <c r="G12" i="14" s="1"/>
  <c r="G6" i="14"/>
  <c r="H32" i="14"/>
  <c r="H30" i="14"/>
  <c r="H18" i="14"/>
  <c r="H19" i="14" s="1"/>
  <c r="H20" i="14"/>
  <c r="H23" i="14" s="1"/>
  <c r="H11" i="14"/>
  <c r="H12" i="14" s="1"/>
  <c r="H6" i="14"/>
  <c r="L12" i="14"/>
  <c r="K12" i="14"/>
  <c r="K14" i="14"/>
  <c r="D7" i="14"/>
  <c r="H14" i="14" l="1"/>
  <c r="G14" i="14"/>
  <c r="L14" i="14"/>
  <c r="H24" i="14"/>
  <c r="G24" i="14"/>
  <c r="L11" i="14"/>
  <c r="K11" i="14"/>
  <c r="D9" i="14"/>
  <c r="D13" i="14" s="1"/>
  <c r="L5" i="14"/>
  <c r="L13" i="14"/>
  <c r="C7" i="14"/>
  <c r="K10" i="14"/>
  <c r="L10" i="14"/>
  <c r="H26" i="14" l="1"/>
  <c r="G26" i="14"/>
  <c r="C9" i="14"/>
  <c r="C13" i="14" s="1"/>
  <c r="K5" i="14"/>
  <c r="L16" i="14"/>
  <c r="L6" i="14"/>
  <c r="L7" i="14" l="1"/>
  <c r="L8" i="14"/>
  <c r="K16" i="14"/>
  <c r="K6" i="14"/>
  <c r="K7" i="14" l="1"/>
  <c r="K8" i="14"/>
  <c r="H33" i="14" l="1"/>
  <c r="L15" i="14" s="1"/>
  <c r="G33" i="14"/>
  <c r="K15" i="14" s="1"/>
  <c r="K9" i="14" l="1"/>
  <c r="L9" i="14"/>
</calcChain>
</file>

<file path=xl/sharedStrings.xml><?xml version="1.0" encoding="utf-8"?>
<sst xmlns="http://schemas.openxmlformats.org/spreadsheetml/2006/main" count="59" uniqueCount="55">
  <si>
    <t>Gross Margin %</t>
  </si>
  <si>
    <t>Revenue</t>
  </si>
  <si>
    <t>COGS</t>
  </si>
  <si>
    <t xml:space="preserve">Year </t>
  </si>
  <si>
    <t>Net Profit %</t>
  </si>
  <si>
    <t>Operating Profit %</t>
  </si>
  <si>
    <t>SG&amp;A</t>
  </si>
  <si>
    <t>Net Income</t>
  </si>
  <si>
    <t>Return on Assets</t>
  </si>
  <si>
    <t xml:space="preserve">Balance Sheet </t>
  </si>
  <si>
    <t xml:space="preserve">Fixed Assets </t>
  </si>
  <si>
    <t>Current Assets</t>
  </si>
  <si>
    <t>Current Liabilities</t>
  </si>
  <si>
    <t>Long Term Liabilities</t>
  </si>
  <si>
    <t>Retained Earnings</t>
  </si>
  <si>
    <t>Total Assets</t>
  </si>
  <si>
    <t>Total Liabilities</t>
  </si>
  <si>
    <t>Shareholders Equity</t>
  </si>
  <si>
    <t>Ordinary Shares</t>
  </si>
  <si>
    <t>Return on Shareholder Equity</t>
  </si>
  <si>
    <t>Gross Profit</t>
  </si>
  <si>
    <t>Current Ratio</t>
  </si>
  <si>
    <t>Cash and Cash Equivalents</t>
  </si>
  <si>
    <t xml:space="preserve">Stock </t>
  </si>
  <si>
    <t>Debtors</t>
  </si>
  <si>
    <t>Other Current Assets</t>
  </si>
  <si>
    <t>Creditors</t>
  </si>
  <si>
    <t xml:space="preserve">Net Assets </t>
  </si>
  <si>
    <t>Quick Ratio</t>
  </si>
  <si>
    <t xml:space="preserve">Days Sales Outstanding </t>
  </si>
  <si>
    <t>Inventory Turns</t>
  </si>
  <si>
    <t>Days Payable Outstanding</t>
  </si>
  <si>
    <t>Debt / Equity Ratio</t>
  </si>
  <si>
    <t xml:space="preserve">Interest Coverage </t>
  </si>
  <si>
    <t xml:space="preserve">Interest </t>
  </si>
  <si>
    <t>Tax</t>
  </si>
  <si>
    <t>Operating Profit</t>
  </si>
  <si>
    <t>Borrowings</t>
  </si>
  <si>
    <t>Other</t>
  </si>
  <si>
    <t>Other Liabilities</t>
  </si>
  <si>
    <t xml:space="preserve">Share Premium </t>
  </si>
  <si>
    <t>Reserves</t>
  </si>
  <si>
    <t>Income Statement</t>
  </si>
  <si>
    <t>Ratios</t>
  </si>
  <si>
    <t>Other Finance Costs</t>
  </si>
  <si>
    <t>Non Cpntrolling Equity</t>
  </si>
  <si>
    <t xml:space="preserve">EPS </t>
  </si>
  <si>
    <t>Dividend Yield</t>
  </si>
  <si>
    <t xml:space="preserve">Dividend Cover </t>
  </si>
  <si>
    <t>Price Per Earnings Ratio</t>
  </si>
  <si>
    <t>Burberry  Annual Report</t>
  </si>
  <si>
    <t>EPS</t>
  </si>
  <si>
    <t>Dividend</t>
  </si>
  <si>
    <t>Market Share Price</t>
  </si>
  <si>
    <t>Dividend per Share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</si>
</sst>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%"/>
    <numFmt numFmtId="165" formatCode="#,##0.0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6">
    <xf numFmtId="0" fontId="0" fillId="0" borderId="0" xfId="0"/>
    <xf numFmtId="0" fontId="0" fillId="0" borderId="1" xfId="0" applyBorder="1" applyAlignment="1">
      <alignment horizontal="center"/>
    </xf>
    <xf numFmtId="3" fontId="0" fillId="0" borderId="1" xfId="0" applyNumberFormat="1" applyBorder="1" applyAlignment="1">
      <alignment horizontal="center"/>
    </xf>
    <xf numFmtId="0" fontId="0" fillId="0" borderId="1" xfId="0" applyBorder="1"/>
    <xf numFmtId="164" fontId="0" fillId="0" borderId="1" xfId="1" applyNumberFormat="1" applyFont="1" applyBorder="1" applyAlignment="1">
      <alignment horizontal="center"/>
    </xf>
    <xf numFmtId="3" fontId="0" fillId="0" borderId="0" xfId="0" applyNumberFormat="1"/>
    <xf numFmtId="0" fontId="2" fillId="0" borderId="1" xfId="0" applyFont="1" applyBorder="1" applyAlignment="1">
      <alignment horizontal="left"/>
    </xf>
    <xf numFmtId="0" fontId="0" fillId="0" borderId="1" xfId="0" applyFill="1" applyBorder="1" applyAlignment="1">
      <alignment horizontal="center"/>
    </xf>
    <xf numFmtId="3" fontId="0" fillId="0" borderId="1" xfId="0" applyNumberFormat="1" applyFill="1" applyBorder="1" applyAlignment="1">
      <alignment horizontal="center"/>
    </xf>
    <xf numFmtId="0" fontId="0" fillId="0" borderId="0" xfId="0" applyFill="1"/>
    <xf numFmtId="0" fontId="0" fillId="0" borderId="2" xfId="0" applyFill="1" applyBorder="1" applyAlignment="1">
      <alignment horizontal="center"/>
    </xf>
    <xf numFmtId="3" fontId="0" fillId="0" borderId="2" xfId="0" applyNumberFormat="1" applyFill="1" applyBorder="1" applyAlignment="1">
      <alignment horizontal="center"/>
    </xf>
    <xf numFmtId="0" fontId="0" fillId="0" borderId="0" xfId="0" applyBorder="1"/>
    <xf numFmtId="3" fontId="0" fillId="0" borderId="3" xfId="0" applyNumberForma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3" fontId="2" fillId="0" borderId="1" xfId="0" applyNumberFormat="1" applyFont="1" applyFill="1" applyBorder="1" applyAlignment="1">
      <alignment horizontal="center"/>
    </xf>
    <xf numFmtId="3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2" fontId="0" fillId="0" borderId="1" xfId="0" applyNumberFormat="1" applyBorder="1" applyAlignment="1">
      <alignment horizontal="center"/>
    </xf>
    <xf numFmtId="0" fontId="3" fillId="0" borderId="0" xfId="0" applyFont="1"/>
    <xf numFmtId="9" fontId="0" fillId="0" borderId="1" xfId="1" applyFont="1" applyBorder="1" applyAlignment="1">
      <alignment horizontal="center"/>
    </xf>
    <xf numFmtId="10" fontId="0" fillId="0" borderId="1" xfId="1" applyNumberFormat="1" applyFont="1" applyBorder="1" applyAlignment="1">
      <alignment horizontal="center"/>
    </xf>
    <xf numFmtId="0" fontId="0" fillId="0" borderId="1" xfId="0" applyFill="1" applyBorder="1"/>
    <xf numFmtId="4" fontId="0" fillId="0" borderId="1" xfId="0" applyNumberFormat="1" applyFill="1" applyBorder="1" applyAlignment="1">
      <alignment horizontal="center"/>
    </xf>
    <xf numFmtId="0" fontId="2" fillId="0" borderId="0" xfId="0" applyFont="1" applyFill="1" applyBorder="1" applyAlignment="1">
      <alignment horizontal="left"/>
    </xf>
    <xf numFmtId="165" fontId="0" fillId="0" borderId="1" xfId="0" applyNumberFormat="1" applyBorder="1" applyAlignment="1">
      <alignment horizontal="center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579561-9C7A-41D2-BFE9-970BD57DA31F}">
  <dimension ref="A1:L51"/>
  <sheetViews>
    <sheetView showGridLines="0" tabSelected="1" workbookViewId="0">
      <selection activeCell="O1" sqref="O1:Q1048576"/>
    </sheetView>
  </sheetViews>
  <sheetFormatPr defaultRowHeight="15" x14ac:dyDescent="0.25"/>
  <cols>
    <col min="1" max="1" width="2.42578125" customWidth="1"/>
    <col min="2" max="2" width="27.5703125" bestFit="1" customWidth="1"/>
    <col min="5" max="5" width="2.28515625" customWidth="1"/>
    <col min="6" max="6" width="24.5703125" bestFit="1" customWidth="1"/>
    <col min="7" max="8" width="9.140625" customWidth="1"/>
    <col min="9" max="9" width="2.28515625" customWidth="1"/>
    <col min="10" max="10" width="27.5703125" bestFit="1" customWidth="1"/>
    <col min="13" max="13" width="2.5703125" customWidth="1"/>
  </cols>
  <sheetData>
    <row r="1" spans="2:12" x14ac:dyDescent="0.25">
      <c r="B1" s="19" t="s">
        <v>50</v>
      </c>
    </row>
    <row r="2" spans="2:12" x14ac:dyDescent="0.25">
      <c r="B2" s="19"/>
    </row>
    <row r="3" spans="2:12" x14ac:dyDescent="0.25">
      <c r="B3" s="6" t="s">
        <v>42</v>
      </c>
      <c r="F3" s="6" t="s">
        <v>9</v>
      </c>
      <c r="J3" s="24"/>
    </row>
    <row r="4" spans="2:12" x14ac:dyDescent="0.25">
      <c r="B4" s="17" t="s">
        <v>3</v>
      </c>
      <c r="C4" s="1">
        <v>2020</v>
      </c>
      <c r="D4" s="1">
        <v>2021</v>
      </c>
      <c r="F4" s="1" t="s">
        <v>3</v>
      </c>
      <c r="G4" s="1">
        <v>2020</v>
      </c>
      <c r="H4" s="1">
        <v>2021</v>
      </c>
      <c r="J4" s="17" t="s">
        <v>43</v>
      </c>
      <c r="K4" s="1">
        <v>2020</v>
      </c>
      <c r="L4" s="1">
        <v>2021</v>
      </c>
    </row>
    <row r="5" spans="2:12" x14ac:dyDescent="0.25">
      <c r="B5" s="6" t="s">
        <v>1</v>
      </c>
      <c r="C5" s="2">
        <v>2633.1</v>
      </c>
      <c r="D5" s="2">
        <v>2343.9</v>
      </c>
      <c r="F5" s="1" t="s">
        <v>24</v>
      </c>
      <c r="G5" s="1">
        <v>53.7</v>
      </c>
      <c r="H5" s="1">
        <v>45</v>
      </c>
      <c r="J5" s="17" t="s">
        <v>0</v>
      </c>
      <c r="K5" s="21">
        <f>C7/C5</f>
        <v>0.64771562037142538</v>
      </c>
      <c r="L5" s="21">
        <f>D7/D5</f>
        <v>0.70928793890524333</v>
      </c>
    </row>
    <row r="6" spans="2:12" x14ac:dyDescent="0.25">
      <c r="B6" s="3" t="s">
        <v>2</v>
      </c>
      <c r="C6" s="2">
        <v>927.6</v>
      </c>
      <c r="D6" s="2">
        <v>681.4</v>
      </c>
      <c r="F6" s="1" t="s">
        <v>10</v>
      </c>
      <c r="G6" s="2">
        <f>247+294.9+834+2.5+171.5</f>
        <v>1549.9</v>
      </c>
      <c r="H6" s="2">
        <f>1520-45</f>
        <v>1475</v>
      </c>
      <c r="J6" s="17" t="s">
        <v>5</v>
      </c>
      <c r="K6" s="21">
        <f>C9/C5</f>
        <v>7.1664577873988861E-2</v>
      </c>
      <c r="L6" s="21">
        <f>D9/D5</f>
        <v>0.22232177140662993</v>
      </c>
    </row>
    <row r="7" spans="2:12" x14ac:dyDescent="0.25">
      <c r="B7" s="3" t="s">
        <v>20</v>
      </c>
      <c r="C7" s="2">
        <f>C5-C6</f>
        <v>1705.5</v>
      </c>
      <c r="D7" s="2">
        <f>D5-D6</f>
        <v>1662.5</v>
      </c>
      <c r="F7" s="10"/>
      <c r="G7" s="11"/>
      <c r="H7" s="13"/>
      <c r="J7" s="17" t="s">
        <v>4</v>
      </c>
      <c r="K7" s="21">
        <f>C13/C5</f>
        <v>4.6637043788690151E-2</v>
      </c>
      <c r="L7" s="21">
        <f>D13/D5</f>
        <v>0.16451213788984168</v>
      </c>
    </row>
    <row r="8" spans="2:12" x14ac:dyDescent="0.25">
      <c r="B8" s="3" t="s">
        <v>6</v>
      </c>
      <c r="C8" s="2">
        <v>1516.8</v>
      </c>
      <c r="D8" s="2">
        <v>1141.4000000000001</v>
      </c>
      <c r="F8" s="1" t="s">
        <v>23</v>
      </c>
      <c r="G8" s="2">
        <v>450.5</v>
      </c>
      <c r="H8" s="2">
        <v>402.1</v>
      </c>
      <c r="J8" s="17" t="s">
        <v>8</v>
      </c>
      <c r="K8" s="21">
        <f>C13/G14</f>
        <v>3.7300285523358255E-2</v>
      </c>
      <c r="L8" s="21">
        <f>D13/H14</f>
        <v>0.11010222146079604</v>
      </c>
    </row>
    <row r="9" spans="2:12" x14ac:dyDescent="0.25">
      <c r="B9" s="3" t="s">
        <v>36</v>
      </c>
      <c r="C9" s="2">
        <f>C7-C8</f>
        <v>188.70000000000005</v>
      </c>
      <c r="D9" s="2">
        <f>D7-D8</f>
        <v>521.09999999999991</v>
      </c>
      <c r="F9" s="1" t="s">
        <v>22</v>
      </c>
      <c r="G9" s="2">
        <v>928.9</v>
      </c>
      <c r="H9" s="2">
        <v>1261.3</v>
      </c>
      <c r="J9" s="17" t="s">
        <v>19</v>
      </c>
      <c r="K9" s="4">
        <f>C13/G33</f>
        <v>0.10075484082704302</v>
      </c>
      <c r="L9" s="4">
        <f>D13/H33</f>
        <v>0.24722703083926389</v>
      </c>
    </row>
    <row r="10" spans="2:12" x14ac:dyDescent="0.25">
      <c r="B10" s="3" t="s">
        <v>34</v>
      </c>
      <c r="C10" s="2">
        <v>0.6</v>
      </c>
      <c r="D10" s="2">
        <f>4.7+0.2</f>
        <v>4.9000000000000004</v>
      </c>
      <c r="F10" s="1" t="s">
        <v>24</v>
      </c>
      <c r="G10" s="2">
        <v>252.1</v>
      </c>
      <c r="H10" s="2">
        <v>276.89999999999998</v>
      </c>
      <c r="J10" s="17" t="s">
        <v>21</v>
      </c>
      <c r="K10" s="18">
        <f>G12/G19</f>
        <v>2.3115674195756331</v>
      </c>
      <c r="L10" s="18">
        <f>H12/H19</f>
        <v>2.8204325554923169</v>
      </c>
    </row>
    <row r="11" spans="2:12" x14ac:dyDescent="0.25">
      <c r="B11" s="3" t="s">
        <v>44</v>
      </c>
      <c r="C11" s="2">
        <f>20.2-0.6</f>
        <v>19.599999999999998</v>
      </c>
      <c r="D11" s="2">
        <f>30.9-D10</f>
        <v>26</v>
      </c>
      <c r="F11" s="1" t="s">
        <v>25</v>
      </c>
      <c r="G11" s="2">
        <f>6.7+50.4</f>
        <v>57.1</v>
      </c>
      <c r="H11" s="2">
        <f>39.7+2.2</f>
        <v>41.900000000000006</v>
      </c>
      <c r="J11" s="17" t="s">
        <v>28</v>
      </c>
      <c r="K11" s="18">
        <f>(G12-G8)/G19</f>
        <v>1.6948665297741272</v>
      </c>
      <c r="L11" s="18">
        <f>(H12-H8)/H19</f>
        <v>2.2482925441092778</v>
      </c>
    </row>
    <row r="12" spans="2:12" x14ac:dyDescent="0.25">
      <c r="B12" s="3" t="s">
        <v>35</v>
      </c>
      <c r="C12" s="2">
        <v>46.9</v>
      </c>
      <c r="D12" s="2">
        <v>114.4</v>
      </c>
      <c r="F12" s="17" t="s">
        <v>11</v>
      </c>
      <c r="G12" s="16">
        <f>SUM(G8:G11)</f>
        <v>1688.6</v>
      </c>
      <c r="H12" s="16">
        <f>SUM(H8:H11)</f>
        <v>1982.2000000000003</v>
      </c>
      <c r="J12" s="17" t="s">
        <v>29</v>
      </c>
      <c r="K12" s="18">
        <f>(G10+G5)/(C5/365)</f>
        <v>42.389958603926935</v>
      </c>
      <c r="L12" s="18">
        <f>(H10+H5)/(D5/365)</f>
        <v>50.127351849481627</v>
      </c>
    </row>
    <row r="13" spans="2:12" x14ac:dyDescent="0.25">
      <c r="B13" s="3" t="s">
        <v>7</v>
      </c>
      <c r="C13" s="2">
        <f>C9--C10-C11-C12</f>
        <v>122.80000000000004</v>
      </c>
      <c r="D13" s="2">
        <f>D9--D10-D11-D12</f>
        <v>385.59999999999991</v>
      </c>
      <c r="F13" s="10"/>
      <c r="G13" s="11"/>
      <c r="H13" s="13"/>
      <c r="J13" s="17" t="s">
        <v>30</v>
      </c>
      <c r="K13" s="18">
        <f>C6/G8</f>
        <v>2.0590455049944505</v>
      </c>
      <c r="L13" s="18">
        <f>D6/AVERAGE(G8:H8)</f>
        <v>1.5984048791930565</v>
      </c>
    </row>
    <row r="14" spans="2:12" x14ac:dyDescent="0.25">
      <c r="F14" s="14" t="s">
        <v>15</v>
      </c>
      <c r="G14" s="15">
        <f>G5+G6+G12</f>
        <v>3292.2</v>
      </c>
      <c r="H14" s="15">
        <f>H5+H6+H12</f>
        <v>3502.2000000000003</v>
      </c>
      <c r="J14" s="17" t="s">
        <v>31</v>
      </c>
      <c r="K14" s="18">
        <f>(G16+G21)/(C6/365)</f>
        <v>216.34001724881412</v>
      </c>
      <c r="L14" s="18">
        <f>(H16+H21)/(D6/365)</f>
        <v>263.70633988846492</v>
      </c>
    </row>
    <row r="15" spans="2:12" x14ac:dyDescent="0.25">
      <c r="B15" s="3" t="s">
        <v>51</v>
      </c>
      <c r="C15" s="25">
        <v>29.8</v>
      </c>
      <c r="D15" s="25">
        <v>93</v>
      </c>
      <c r="F15" s="10"/>
      <c r="G15" s="11"/>
      <c r="H15" s="13"/>
      <c r="J15" s="17" t="s">
        <v>32</v>
      </c>
      <c r="K15" s="20">
        <f>(G22+G17)/G33</f>
        <v>0.28027568099770261</v>
      </c>
      <c r="L15" s="20">
        <f>(H22+H17)/H33</f>
        <v>0.21959351157273835</v>
      </c>
    </row>
    <row r="16" spans="2:12" x14ac:dyDescent="0.25">
      <c r="B16" s="3" t="s">
        <v>54</v>
      </c>
      <c r="C16" s="25">
        <v>41.8</v>
      </c>
      <c r="D16" s="25">
        <v>42.5</v>
      </c>
      <c r="F16" s="1" t="s">
        <v>26</v>
      </c>
      <c r="G16" s="2">
        <v>447.5</v>
      </c>
      <c r="H16" s="2">
        <v>392.9</v>
      </c>
      <c r="J16" s="17" t="s">
        <v>33</v>
      </c>
      <c r="K16" s="20">
        <f>C9/C10</f>
        <v>314.50000000000011</v>
      </c>
      <c r="L16" s="20">
        <f>D9/D10</f>
        <v>106.34693877551018</v>
      </c>
    </row>
    <row r="17" spans="1:12" x14ac:dyDescent="0.25">
      <c r="B17" s="3" t="s">
        <v>52</v>
      </c>
      <c r="C17" s="1">
        <v>171.9</v>
      </c>
      <c r="D17" s="1">
        <v>175.2</v>
      </c>
      <c r="F17" s="1" t="s">
        <v>37</v>
      </c>
      <c r="G17" s="2">
        <v>41.6</v>
      </c>
      <c r="H17" s="2">
        <v>45.4</v>
      </c>
      <c r="J17" s="14" t="s">
        <v>46</v>
      </c>
      <c r="K17" s="18">
        <f>C15</f>
        <v>29.8</v>
      </c>
      <c r="L17" s="18">
        <f>D15</f>
        <v>93</v>
      </c>
    </row>
    <row r="18" spans="1:12" x14ac:dyDescent="0.25">
      <c r="B18" s="22" t="s">
        <v>53</v>
      </c>
      <c r="C18" s="1">
        <v>1250</v>
      </c>
      <c r="D18" s="1">
        <v>1927.5</v>
      </c>
      <c r="F18" s="1" t="s">
        <v>38</v>
      </c>
      <c r="G18" s="2">
        <f>215.5+4.8+7.9+13.2</f>
        <v>241.4</v>
      </c>
      <c r="H18" s="2">
        <f>210+2.6+27.9+24</f>
        <v>264.5</v>
      </c>
      <c r="J18" s="14" t="s">
        <v>47</v>
      </c>
      <c r="K18" s="4">
        <f>C16/C15</f>
        <v>1.4026845637583891</v>
      </c>
      <c r="L18" s="4">
        <f>D16/D15</f>
        <v>0.45698924731182794</v>
      </c>
    </row>
    <row r="19" spans="1:12" x14ac:dyDescent="0.25">
      <c r="A19" s="12"/>
      <c r="F19" s="17" t="s">
        <v>12</v>
      </c>
      <c r="G19" s="16">
        <f>SUM(G16:G18)</f>
        <v>730.5</v>
      </c>
      <c r="H19" s="16">
        <f>SUM(H16:H18)</f>
        <v>702.8</v>
      </c>
      <c r="J19" s="14" t="s">
        <v>48</v>
      </c>
      <c r="K19" s="4">
        <f>C15/C16</f>
        <v>0.7129186602870814</v>
      </c>
      <c r="L19" s="4">
        <f>D15/D16</f>
        <v>2.1882352941176473</v>
      </c>
    </row>
    <row r="20" spans="1:12" x14ac:dyDescent="0.25">
      <c r="F20" s="1" t="s">
        <v>39</v>
      </c>
      <c r="G20" s="2">
        <f>910+0.1+1.9+28.6</f>
        <v>940.6</v>
      </c>
      <c r="H20" s="2">
        <f>809.69+1+31.8</f>
        <v>842.49</v>
      </c>
      <c r="J20" s="14" t="s">
        <v>49</v>
      </c>
      <c r="K20" s="18">
        <f>C18/C15</f>
        <v>41.946308724832214</v>
      </c>
      <c r="L20" s="18">
        <f>D18/D15</f>
        <v>20.725806451612904</v>
      </c>
    </row>
    <row r="21" spans="1:12" x14ac:dyDescent="0.25">
      <c r="F21" s="1" t="s">
        <v>26</v>
      </c>
      <c r="G21" s="2">
        <v>102.3</v>
      </c>
      <c r="H21" s="2">
        <v>99.4</v>
      </c>
    </row>
    <row r="22" spans="1:12" x14ac:dyDescent="0.25">
      <c r="F22" s="1" t="s">
        <v>37</v>
      </c>
      <c r="G22" s="2">
        <v>300</v>
      </c>
      <c r="H22" s="2">
        <v>297.10000000000002</v>
      </c>
    </row>
    <row r="23" spans="1:12" x14ac:dyDescent="0.25">
      <c r="F23" s="17" t="s">
        <v>13</v>
      </c>
      <c r="G23" s="16">
        <f>SUM(G20:G22)</f>
        <v>1342.9</v>
      </c>
      <c r="H23" s="16">
        <f>SUM(H20:H22)</f>
        <v>1238.99</v>
      </c>
    </row>
    <row r="24" spans="1:12" x14ac:dyDescent="0.25">
      <c r="F24" s="14" t="s">
        <v>16</v>
      </c>
      <c r="G24" s="15">
        <f>G19+G23</f>
        <v>2073.4</v>
      </c>
      <c r="H24" s="15">
        <f>H19+H23</f>
        <v>1941.79</v>
      </c>
    </row>
    <row r="25" spans="1:12" x14ac:dyDescent="0.25">
      <c r="A25" s="12"/>
      <c r="F25" s="10"/>
      <c r="G25" s="11"/>
      <c r="H25" s="13"/>
    </row>
    <row r="26" spans="1:12" x14ac:dyDescent="0.25">
      <c r="F26" s="17" t="s">
        <v>27</v>
      </c>
      <c r="G26" s="16">
        <f>G14-G24</f>
        <v>1218.7999999999997</v>
      </c>
      <c r="H26" s="16">
        <f>H14-H24</f>
        <v>1560.4100000000003</v>
      </c>
    </row>
    <row r="27" spans="1:12" x14ac:dyDescent="0.25">
      <c r="A27" s="12"/>
      <c r="F27" s="10"/>
      <c r="G27" s="11"/>
      <c r="H27" s="11"/>
    </row>
    <row r="28" spans="1:12" x14ac:dyDescent="0.25">
      <c r="A28" s="12"/>
      <c r="F28" s="7" t="s">
        <v>18</v>
      </c>
      <c r="G28" s="23">
        <v>0.2</v>
      </c>
      <c r="H28" s="23">
        <v>0.2</v>
      </c>
    </row>
    <row r="29" spans="1:12" x14ac:dyDescent="0.25">
      <c r="A29" s="12"/>
      <c r="F29" s="7" t="s">
        <v>40</v>
      </c>
      <c r="G29" s="8">
        <v>220.8</v>
      </c>
      <c r="H29" s="8">
        <v>223</v>
      </c>
    </row>
    <row r="30" spans="1:12" x14ac:dyDescent="0.25">
      <c r="A30" s="12"/>
      <c r="F30" s="7" t="s">
        <v>41</v>
      </c>
      <c r="G30" s="8">
        <f>41.1+4.7+245.2</f>
        <v>291</v>
      </c>
      <c r="H30" s="8">
        <f>41.1+4.7+196.4</f>
        <v>242.20000000000002</v>
      </c>
    </row>
    <row r="31" spans="1:12" x14ac:dyDescent="0.25">
      <c r="A31" s="12"/>
      <c r="F31" s="7" t="s">
        <v>45</v>
      </c>
      <c r="G31" s="8">
        <v>4.5999999999999996</v>
      </c>
      <c r="H31" s="8">
        <v>3.1</v>
      </c>
    </row>
    <row r="32" spans="1:12" x14ac:dyDescent="0.25">
      <c r="A32" s="12"/>
      <c r="F32" s="7" t="s">
        <v>14</v>
      </c>
      <c r="G32" s="2">
        <v>702.2</v>
      </c>
      <c r="H32" s="2">
        <f>1091.2</f>
        <v>1091.2</v>
      </c>
    </row>
    <row r="33" spans="1:10" x14ac:dyDescent="0.25">
      <c r="F33" s="14" t="s">
        <v>17</v>
      </c>
      <c r="G33" s="16">
        <f>SUM(G28:G32)</f>
        <v>1218.8000000000002</v>
      </c>
      <c r="H33" s="16">
        <f>SUM(H28:H32)</f>
        <v>1559.7</v>
      </c>
    </row>
    <row r="39" spans="1:10" x14ac:dyDescent="0.25">
      <c r="A39" s="12"/>
    </row>
    <row r="40" spans="1:10" x14ac:dyDescent="0.25">
      <c r="F40" s="9"/>
      <c r="G40" s="9"/>
      <c r="H40" s="9"/>
      <c r="J40" s="5"/>
    </row>
    <row r="41" spans="1:10" x14ac:dyDescent="0.25">
      <c r="A41" s="9"/>
      <c r="I41" s="9"/>
    </row>
    <row r="42" spans="1:10" x14ac:dyDescent="0.25">
      <c r="E42" s="9"/>
    </row>
    <row r="47" spans="1:10" x14ac:dyDescent="0.25">
      <c r="C47" s="5"/>
      <c r="D47" s="5"/>
    </row>
    <row r="48" spans="1:10" x14ac:dyDescent="0.25">
      <c r="C48" s="5"/>
      <c r="D48" s="5"/>
    </row>
    <row r="49" spans="3:4" x14ac:dyDescent="0.25">
      <c r="C49" s="5"/>
      <c r="D49" s="5"/>
    </row>
    <row r="50" spans="3:4" x14ac:dyDescent="0.25">
      <c r="C50" s="5"/>
      <c r="D50" s="5"/>
    </row>
    <row r="51" spans="3:4" x14ac:dyDescent="0.25">
      <c r="C51" s="5"/>
      <c r="D51" s="5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Burberry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Howard Davies</dc:creator>
  <cp:lastModifiedBy>Howard</cp:lastModifiedBy>
  <dcterms:created xsi:type="dcterms:W3CDTF">2020-08-30T12:58:49Z</dcterms:created>
  <dcterms:modified xsi:type="dcterms:W3CDTF">2022-04-22T15:50:57Z</dcterms:modified>
</cp:coreProperties>
</file>