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\Fuel &amp; NOx Assignment\"/>
    </mc:Choice>
  </mc:AlternateContent>
  <xr:revisionPtr revIDLastSave="0" documentId="13_ncr:1_{C98A8587-6B06-496B-B477-EC6154B6B1B6}" xr6:coauthVersionLast="44" xr6:coauthVersionMax="44" xr10:uidLastSave="{00000000-0000-0000-0000-000000000000}"/>
  <bookViews>
    <workbookView xWindow="-120" yWindow="-120" windowWidth="29040" windowHeight="15840" activeTab="7" xr2:uid="{B5B1F286-3BEF-4F1F-B3E0-015C8DF1FA52}"/>
  </bookViews>
  <sheets>
    <sheet name="Part 1" sheetId="1" r:id="rId1"/>
    <sheet name="CO2" sheetId="2" r:id="rId2"/>
    <sheet name="H2O" sheetId="3" r:id="rId3"/>
    <sheet name="N2" sheetId="4" r:id="rId4"/>
    <sheet name="O2" sheetId="5" r:id="rId5"/>
    <sheet name="Goal Seek" sheetId="6" r:id="rId6"/>
    <sheet name="Part 2a" sheetId="7" r:id="rId7"/>
    <sheet name="Part 2b - EGR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9" l="1"/>
  <c r="H22" i="9"/>
  <c r="J22" i="9"/>
  <c r="D22" i="9"/>
  <c r="F23" i="9"/>
  <c r="K27" i="9"/>
  <c r="J27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4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4" i="9"/>
  <c r="AC5" i="7"/>
  <c r="AC6" i="7"/>
  <c r="AC7" i="7"/>
  <c r="AC8" i="7"/>
  <c r="AC9" i="7"/>
  <c r="AC10" i="7"/>
  <c r="AC11" i="7"/>
  <c r="AC12" i="7"/>
  <c r="AC13" i="7"/>
  <c r="AC14" i="7"/>
  <c r="AC15" i="7"/>
  <c r="AC16" i="7"/>
  <c r="AC17" i="7"/>
  <c r="AC18" i="7"/>
  <c r="AC19" i="7"/>
  <c r="AC4" i="7"/>
  <c r="AA5" i="7"/>
  <c r="AA6" i="7"/>
  <c r="AA7" i="7"/>
  <c r="AA8" i="7"/>
  <c r="AA9" i="7"/>
  <c r="AA10" i="7"/>
  <c r="AA11" i="7"/>
  <c r="AA12" i="7"/>
  <c r="AA13" i="7"/>
  <c r="AA14" i="7"/>
  <c r="AA15" i="7"/>
  <c r="AA16" i="7"/>
  <c r="AA17" i="7"/>
  <c r="AA18" i="7"/>
  <c r="AA19" i="7"/>
  <c r="AA4" i="7"/>
  <c r="Y5" i="7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4" i="7"/>
  <c r="W5" i="7"/>
  <c r="W6" i="7"/>
  <c r="W7" i="7"/>
  <c r="W8" i="7"/>
  <c r="W9" i="7"/>
  <c r="W10" i="7"/>
  <c r="W11" i="7"/>
  <c r="W12" i="7"/>
  <c r="W13" i="7"/>
  <c r="W14" i="7"/>
  <c r="W15" i="7"/>
  <c r="W16" i="7"/>
  <c r="W17" i="7"/>
  <c r="W18" i="7"/>
  <c r="W19" i="7"/>
  <c r="W4" i="7"/>
  <c r="U5" i="7"/>
  <c r="U6" i="7"/>
  <c r="U7" i="7"/>
  <c r="U8" i="7"/>
  <c r="U9" i="7"/>
  <c r="U10" i="7"/>
  <c r="U11" i="7"/>
  <c r="U12" i="7"/>
  <c r="U13" i="7"/>
  <c r="U14" i="7"/>
  <c r="U15" i="7"/>
  <c r="U16" i="7"/>
  <c r="U17" i="7"/>
  <c r="U18" i="7"/>
  <c r="U19" i="7"/>
  <c r="U4" i="7"/>
  <c r="S5" i="7"/>
  <c r="S6" i="7"/>
  <c r="S7" i="7"/>
  <c r="S8" i="7"/>
  <c r="S9" i="7"/>
  <c r="S10" i="7"/>
  <c r="S11" i="7"/>
  <c r="S12" i="7"/>
  <c r="S13" i="7"/>
  <c r="S14" i="7"/>
  <c r="S15" i="7"/>
  <c r="S16" i="7"/>
  <c r="S17" i="7"/>
  <c r="S18" i="7"/>
  <c r="S19" i="7"/>
  <c r="S4" i="7"/>
  <c r="Q5" i="7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4" i="7"/>
  <c r="O5" i="7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4" i="7"/>
  <c r="M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4" i="7"/>
  <c r="F4" i="6"/>
  <c r="H4" i="6"/>
  <c r="D22" i="7" l="1"/>
  <c r="D5" i="7"/>
  <c r="J4" i="6"/>
  <c r="F25" i="6" l="1"/>
  <c r="C4" i="6"/>
  <c r="C5" i="6"/>
  <c r="O4" i="6"/>
  <c r="V13" i="6"/>
  <c r="V18" i="6" s="1"/>
  <c r="U13" i="6"/>
  <c r="Z15" i="6"/>
  <c r="Z14" i="6"/>
  <c r="V14" i="6"/>
  <c r="Z13" i="6"/>
  <c r="Z16" i="6"/>
  <c r="V16" i="6"/>
  <c r="V15" i="6"/>
  <c r="V19" i="6"/>
  <c r="G4" i="2"/>
  <c r="I4" i="1"/>
  <c r="I3" i="1"/>
  <c r="C18" i="1"/>
  <c r="C20" i="1"/>
  <c r="C7" i="1"/>
  <c r="F22" i="9" l="1"/>
  <c r="F21" i="9"/>
  <c r="H21" i="9"/>
  <c r="J21" i="9"/>
  <c r="J23" i="9"/>
  <c r="J4" i="9"/>
  <c r="J5" i="9" s="1"/>
  <c r="H4" i="9"/>
  <c r="F4" i="9"/>
  <c r="D4" i="9"/>
  <c r="M27" i="9"/>
  <c r="L28" i="9"/>
  <c r="L29" i="9"/>
  <c r="L30" i="9"/>
  <c r="L27" i="9"/>
  <c r="K28" i="9"/>
  <c r="K29" i="9"/>
  <c r="K30" i="9"/>
  <c r="I27" i="9"/>
  <c r="J28" i="9"/>
  <c r="J29" i="9"/>
  <c r="J30" i="9"/>
  <c r="I28" i="9"/>
  <c r="M28" i="9"/>
  <c r="O28" i="9" s="1"/>
  <c r="P28" i="9"/>
  <c r="N29" i="9"/>
  <c r="M29" i="9"/>
  <c r="P29" i="9"/>
  <c r="N30" i="9"/>
  <c r="M30" i="9"/>
  <c r="P30" i="9"/>
  <c r="N27" i="9"/>
  <c r="O27" i="9"/>
  <c r="P27" i="9"/>
  <c r="H5" i="9"/>
  <c r="F5" i="9"/>
  <c r="G4" i="6"/>
  <c r="I4" i="6"/>
  <c r="J5" i="6"/>
  <c r="C8" i="6"/>
  <c r="C7" i="6"/>
  <c r="D5" i="9"/>
  <c r="D6" i="9" s="1"/>
  <c r="J21" i="7"/>
  <c r="J23" i="7" s="1"/>
  <c r="AB22" i="7"/>
  <c r="Z22" i="7"/>
  <c r="X22" i="7"/>
  <c r="V22" i="7"/>
  <c r="T22" i="7"/>
  <c r="R22" i="7"/>
  <c r="P22" i="7"/>
  <c r="N22" i="7"/>
  <c r="L22" i="7"/>
  <c r="J22" i="7"/>
  <c r="H22" i="7"/>
  <c r="F22" i="7"/>
  <c r="H21" i="7"/>
  <c r="H23" i="7" s="1"/>
  <c r="L21" i="7"/>
  <c r="L23" i="7" s="1"/>
  <c r="N21" i="7"/>
  <c r="N23" i="7" s="1"/>
  <c r="P21" i="7"/>
  <c r="P23" i="7" s="1"/>
  <c r="R21" i="7"/>
  <c r="R23" i="7" s="1"/>
  <c r="T21" i="7"/>
  <c r="T23" i="7" s="1"/>
  <c r="V21" i="7"/>
  <c r="V23" i="7" s="1"/>
  <c r="X21" i="7"/>
  <c r="X23" i="7" s="1"/>
  <c r="F21" i="7"/>
  <c r="F23" i="7" s="1"/>
  <c r="Z19" i="6"/>
  <c r="AB4" i="7"/>
  <c r="Z4" i="7"/>
  <c r="X4" i="7"/>
  <c r="V4" i="7"/>
  <c r="T4" i="7"/>
  <c r="R4" i="7"/>
  <c r="P4" i="7"/>
  <c r="N4" i="7"/>
  <c r="L4" i="7"/>
  <c r="J4" i="7"/>
  <c r="H4" i="7"/>
  <c r="F4" i="7"/>
  <c r="D4" i="7"/>
  <c r="Y16" i="6"/>
  <c r="Y15" i="6"/>
  <c r="Y14" i="6"/>
  <c r="Y13" i="6"/>
  <c r="U16" i="6"/>
  <c r="U15" i="6"/>
  <c r="U14" i="6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H323" i="5" s="1"/>
  <c r="G324" i="5"/>
  <c r="H324" i="5" s="1"/>
  <c r="G325" i="5"/>
  <c r="G4" i="5"/>
  <c r="H325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H323" i="4" s="1"/>
  <c r="G324" i="4"/>
  <c r="H324" i="4" s="1"/>
  <c r="G325" i="4"/>
  <c r="G4" i="4"/>
  <c r="H4" i="4" s="1"/>
  <c r="H325" i="4"/>
  <c r="H322" i="4"/>
  <c r="H321" i="4"/>
  <c r="H320" i="4"/>
  <c r="H319" i="4"/>
  <c r="H318" i="4"/>
  <c r="H317" i="4"/>
  <c r="H316" i="4"/>
  <c r="H315" i="4"/>
  <c r="H314" i="4"/>
  <c r="H313" i="4"/>
  <c r="H312" i="4"/>
  <c r="H311" i="4"/>
  <c r="H310" i="4"/>
  <c r="H309" i="4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8" i="4"/>
  <c r="H227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G5" i="3"/>
  <c r="G6" i="3"/>
  <c r="G7" i="3"/>
  <c r="H7" i="3" s="1"/>
  <c r="G8" i="3"/>
  <c r="G9" i="3"/>
  <c r="G10" i="3"/>
  <c r="G11" i="3"/>
  <c r="H11" i="3" s="1"/>
  <c r="G12" i="3"/>
  <c r="G13" i="3"/>
  <c r="G14" i="3"/>
  <c r="G15" i="3"/>
  <c r="H15" i="3" s="1"/>
  <c r="G16" i="3"/>
  <c r="G17" i="3"/>
  <c r="G18" i="3"/>
  <c r="G19" i="3"/>
  <c r="H19" i="3" s="1"/>
  <c r="G20" i="3"/>
  <c r="G21" i="3"/>
  <c r="G22" i="3"/>
  <c r="G23" i="3"/>
  <c r="H23" i="3" s="1"/>
  <c r="G24" i="3"/>
  <c r="G25" i="3"/>
  <c r="G26" i="3"/>
  <c r="G27" i="3"/>
  <c r="H27" i="3" s="1"/>
  <c r="G28" i="3"/>
  <c r="G29" i="3"/>
  <c r="G30" i="3"/>
  <c r="G31" i="3"/>
  <c r="H31" i="3" s="1"/>
  <c r="G32" i="3"/>
  <c r="G33" i="3"/>
  <c r="G34" i="3"/>
  <c r="G35" i="3"/>
  <c r="H35" i="3" s="1"/>
  <c r="G36" i="3"/>
  <c r="G37" i="3"/>
  <c r="G38" i="3"/>
  <c r="G39" i="3"/>
  <c r="H39" i="3" s="1"/>
  <c r="G40" i="3"/>
  <c r="G41" i="3"/>
  <c r="G42" i="3"/>
  <c r="G43" i="3"/>
  <c r="H43" i="3" s="1"/>
  <c r="G44" i="3"/>
  <c r="G45" i="3"/>
  <c r="G46" i="3"/>
  <c r="G47" i="3"/>
  <c r="H47" i="3" s="1"/>
  <c r="G48" i="3"/>
  <c r="G49" i="3"/>
  <c r="G50" i="3"/>
  <c r="G51" i="3"/>
  <c r="H51" i="3" s="1"/>
  <c r="G52" i="3"/>
  <c r="G53" i="3"/>
  <c r="G54" i="3"/>
  <c r="G55" i="3"/>
  <c r="H55" i="3" s="1"/>
  <c r="G56" i="3"/>
  <c r="G57" i="3"/>
  <c r="G58" i="3"/>
  <c r="G59" i="3"/>
  <c r="H59" i="3" s="1"/>
  <c r="G60" i="3"/>
  <c r="G61" i="3"/>
  <c r="G62" i="3"/>
  <c r="G63" i="3"/>
  <c r="H63" i="3" s="1"/>
  <c r="G64" i="3"/>
  <c r="G65" i="3"/>
  <c r="G66" i="3"/>
  <c r="G67" i="3"/>
  <c r="H67" i="3" s="1"/>
  <c r="G68" i="3"/>
  <c r="G69" i="3"/>
  <c r="G70" i="3"/>
  <c r="G71" i="3"/>
  <c r="H71" i="3" s="1"/>
  <c r="G72" i="3"/>
  <c r="G73" i="3"/>
  <c r="G74" i="3"/>
  <c r="G75" i="3"/>
  <c r="H75" i="3" s="1"/>
  <c r="G76" i="3"/>
  <c r="G77" i="3"/>
  <c r="G78" i="3"/>
  <c r="G79" i="3"/>
  <c r="H79" i="3" s="1"/>
  <c r="G80" i="3"/>
  <c r="G81" i="3"/>
  <c r="G82" i="3"/>
  <c r="G83" i="3"/>
  <c r="H83" i="3" s="1"/>
  <c r="G84" i="3"/>
  <c r="G85" i="3"/>
  <c r="G86" i="3"/>
  <c r="G87" i="3"/>
  <c r="H87" i="3" s="1"/>
  <c r="G88" i="3"/>
  <c r="G89" i="3"/>
  <c r="G90" i="3"/>
  <c r="G91" i="3"/>
  <c r="H91" i="3" s="1"/>
  <c r="G92" i="3"/>
  <c r="G93" i="3"/>
  <c r="G94" i="3"/>
  <c r="G95" i="3"/>
  <c r="H95" i="3" s="1"/>
  <c r="G96" i="3"/>
  <c r="G97" i="3"/>
  <c r="G98" i="3"/>
  <c r="G99" i="3"/>
  <c r="H99" i="3" s="1"/>
  <c r="G100" i="3"/>
  <c r="G101" i="3"/>
  <c r="G102" i="3"/>
  <c r="G103" i="3"/>
  <c r="H103" i="3" s="1"/>
  <c r="G104" i="3"/>
  <c r="G105" i="3"/>
  <c r="G106" i="3"/>
  <c r="G107" i="3"/>
  <c r="H107" i="3" s="1"/>
  <c r="G108" i="3"/>
  <c r="G109" i="3"/>
  <c r="G110" i="3"/>
  <c r="G111" i="3"/>
  <c r="H111" i="3" s="1"/>
  <c r="G112" i="3"/>
  <c r="G113" i="3"/>
  <c r="G114" i="3"/>
  <c r="G115" i="3"/>
  <c r="H115" i="3" s="1"/>
  <c r="G116" i="3"/>
  <c r="G117" i="3"/>
  <c r="G118" i="3"/>
  <c r="G119" i="3"/>
  <c r="H119" i="3" s="1"/>
  <c r="G120" i="3"/>
  <c r="G121" i="3"/>
  <c r="G122" i="3"/>
  <c r="G123" i="3"/>
  <c r="H123" i="3" s="1"/>
  <c r="G124" i="3"/>
  <c r="G125" i="3"/>
  <c r="G126" i="3"/>
  <c r="G127" i="3"/>
  <c r="H127" i="3" s="1"/>
  <c r="G128" i="3"/>
  <c r="G129" i="3"/>
  <c r="G130" i="3"/>
  <c r="G131" i="3"/>
  <c r="H131" i="3" s="1"/>
  <c r="G132" i="3"/>
  <c r="G133" i="3"/>
  <c r="G134" i="3"/>
  <c r="G135" i="3"/>
  <c r="H135" i="3" s="1"/>
  <c r="G136" i="3"/>
  <c r="G137" i="3"/>
  <c r="G138" i="3"/>
  <c r="G139" i="3"/>
  <c r="H139" i="3" s="1"/>
  <c r="G140" i="3"/>
  <c r="G141" i="3"/>
  <c r="G142" i="3"/>
  <c r="G143" i="3"/>
  <c r="H143" i="3" s="1"/>
  <c r="G144" i="3"/>
  <c r="G145" i="3"/>
  <c r="G146" i="3"/>
  <c r="G147" i="3"/>
  <c r="H147" i="3" s="1"/>
  <c r="G148" i="3"/>
  <c r="G149" i="3"/>
  <c r="G150" i="3"/>
  <c r="G151" i="3"/>
  <c r="H151" i="3" s="1"/>
  <c r="G152" i="3"/>
  <c r="G153" i="3"/>
  <c r="G154" i="3"/>
  <c r="G155" i="3"/>
  <c r="H155" i="3" s="1"/>
  <c r="G156" i="3"/>
  <c r="G157" i="3"/>
  <c r="G158" i="3"/>
  <c r="G159" i="3"/>
  <c r="H159" i="3" s="1"/>
  <c r="G160" i="3"/>
  <c r="G161" i="3"/>
  <c r="G162" i="3"/>
  <c r="G163" i="3"/>
  <c r="H163" i="3" s="1"/>
  <c r="G164" i="3"/>
  <c r="G165" i="3"/>
  <c r="G166" i="3"/>
  <c r="G167" i="3"/>
  <c r="H167" i="3" s="1"/>
  <c r="G168" i="3"/>
  <c r="G169" i="3"/>
  <c r="G170" i="3"/>
  <c r="G171" i="3"/>
  <c r="H171" i="3" s="1"/>
  <c r="G172" i="3"/>
  <c r="G173" i="3"/>
  <c r="G174" i="3"/>
  <c r="G175" i="3"/>
  <c r="H175" i="3" s="1"/>
  <c r="G176" i="3"/>
  <c r="G177" i="3"/>
  <c r="G178" i="3"/>
  <c r="G179" i="3"/>
  <c r="H179" i="3" s="1"/>
  <c r="G180" i="3"/>
  <c r="G181" i="3"/>
  <c r="G182" i="3"/>
  <c r="G183" i="3"/>
  <c r="H183" i="3" s="1"/>
  <c r="G184" i="3"/>
  <c r="G185" i="3"/>
  <c r="G186" i="3"/>
  <c r="G187" i="3"/>
  <c r="H187" i="3" s="1"/>
  <c r="G188" i="3"/>
  <c r="G189" i="3"/>
  <c r="G190" i="3"/>
  <c r="G191" i="3"/>
  <c r="H191" i="3" s="1"/>
  <c r="G192" i="3"/>
  <c r="G193" i="3"/>
  <c r="G194" i="3"/>
  <c r="G195" i="3"/>
  <c r="H195" i="3" s="1"/>
  <c r="G196" i="3"/>
  <c r="G197" i="3"/>
  <c r="G198" i="3"/>
  <c r="G199" i="3"/>
  <c r="H199" i="3" s="1"/>
  <c r="G200" i="3"/>
  <c r="G201" i="3"/>
  <c r="G202" i="3"/>
  <c r="G203" i="3"/>
  <c r="H203" i="3" s="1"/>
  <c r="G204" i="3"/>
  <c r="G205" i="3"/>
  <c r="G206" i="3"/>
  <c r="G207" i="3"/>
  <c r="H207" i="3" s="1"/>
  <c r="G208" i="3"/>
  <c r="G209" i="3"/>
  <c r="G210" i="3"/>
  <c r="G211" i="3"/>
  <c r="H211" i="3" s="1"/>
  <c r="G212" i="3"/>
  <c r="G213" i="3"/>
  <c r="G214" i="3"/>
  <c r="G215" i="3"/>
  <c r="H215" i="3" s="1"/>
  <c r="G216" i="3"/>
  <c r="G217" i="3"/>
  <c r="G218" i="3"/>
  <c r="G219" i="3"/>
  <c r="H219" i="3" s="1"/>
  <c r="G220" i="3"/>
  <c r="G221" i="3"/>
  <c r="G222" i="3"/>
  <c r="G223" i="3"/>
  <c r="H223" i="3" s="1"/>
  <c r="G224" i="3"/>
  <c r="G225" i="3"/>
  <c r="G226" i="3"/>
  <c r="G227" i="3"/>
  <c r="H227" i="3" s="1"/>
  <c r="G228" i="3"/>
  <c r="G229" i="3"/>
  <c r="G230" i="3"/>
  <c r="G231" i="3"/>
  <c r="H231" i="3" s="1"/>
  <c r="G232" i="3"/>
  <c r="G233" i="3"/>
  <c r="G234" i="3"/>
  <c r="G235" i="3"/>
  <c r="H235" i="3" s="1"/>
  <c r="G236" i="3"/>
  <c r="G237" i="3"/>
  <c r="G238" i="3"/>
  <c r="G239" i="3"/>
  <c r="H239" i="3" s="1"/>
  <c r="G240" i="3"/>
  <c r="G241" i="3"/>
  <c r="G242" i="3"/>
  <c r="G243" i="3"/>
  <c r="H243" i="3" s="1"/>
  <c r="G244" i="3"/>
  <c r="G245" i="3"/>
  <c r="G246" i="3"/>
  <c r="G247" i="3"/>
  <c r="H247" i="3" s="1"/>
  <c r="G248" i="3"/>
  <c r="G249" i="3"/>
  <c r="G250" i="3"/>
  <c r="G251" i="3"/>
  <c r="H251" i="3" s="1"/>
  <c r="G252" i="3"/>
  <c r="G253" i="3"/>
  <c r="G254" i="3"/>
  <c r="G255" i="3"/>
  <c r="H255" i="3" s="1"/>
  <c r="G256" i="3"/>
  <c r="G257" i="3"/>
  <c r="G258" i="3"/>
  <c r="G259" i="3"/>
  <c r="H259" i="3" s="1"/>
  <c r="G260" i="3"/>
  <c r="G261" i="3"/>
  <c r="G262" i="3"/>
  <c r="G263" i="3"/>
  <c r="H263" i="3" s="1"/>
  <c r="G264" i="3"/>
  <c r="G265" i="3"/>
  <c r="G266" i="3"/>
  <c r="G267" i="3"/>
  <c r="H267" i="3" s="1"/>
  <c r="G268" i="3"/>
  <c r="G269" i="3"/>
  <c r="G270" i="3"/>
  <c r="G271" i="3"/>
  <c r="H271" i="3" s="1"/>
  <c r="G272" i="3"/>
  <c r="G273" i="3"/>
  <c r="G274" i="3"/>
  <c r="G275" i="3"/>
  <c r="H275" i="3" s="1"/>
  <c r="G276" i="3"/>
  <c r="G277" i="3"/>
  <c r="G278" i="3"/>
  <c r="G279" i="3"/>
  <c r="H279" i="3" s="1"/>
  <c r="G280" i="3"/>
  <c r="G281" i="3"/>
  <c r="G282" i="3"/>
  <c r="G283" i="3"/>
  <c r="H283" i="3" s="1"/>
  <c r="G284" i="3"/>
  <c r="G285" i="3"/>
  <c r="G286" i="3"/>
  <c r="G287" i="3"/>
  <c r="H287" i="3" s="1"/>
  <c r="G288" i="3"/>
  <c r="G289" i="3"/>
  <c r="G290" i="3"/>
  <c r="G291" i="3"/>
  <c r="H291" i="3" s="1"/>
  <c r="G292" i="3"/>
  <c r="G293" i="3"/>
  <c r="G294" i="3"/>
  <c r="G295" i="3"/>
  <c r="H295" i="3" s="1"/>
  <c r="G296" i="3"/>
  <c r="G297" i="3"/>
  <c r="G298" i="3"/>
  <c r="G299" i="3"/>
  <c r="H299" i="3" s="1"/>
  <c r="G300" i="3"/>
  <c r="G301" i="3"/>
  <c r="G302" i="3"/>
  <c r="G303" i="3"/>
  <c r="H303" i="3" s="1"/>
  <c r="G304" i="3"/>
  <c r="G305" i="3"/>
  <c r="G306" i="3"/>
  <c r="G307" i="3"/>
  <c r="H307" i="3" s="1"/>
  <c r="G308" i="3"/>
  <c r="G309" i="3"/>
  <c r="G310" i="3"/>
  <c r="G311" i="3"/>
  <c r="H311" i="3" s="1"/>
  <c r="G312" i="3"/>
  <c r="G313" i="3"/>
  <c r="G314" i="3"/>
  <c r="G315" i="3"/>
  <c r="H315" i="3" s="1"/>
  <c r="G316" i="3"/>
  <c r="G317" i="3"/>
  <c r="G318" i="3"/>
  <c r="G319" i="3"/>
  <c r="H319" i="3" s="1"/>
  <c r="G320" i="3"/>
  <c r="G321" i="3"/>
  <c r="G322" i="3"/>
  <c r="G323" i="3"/>
  <c r="H323" i="3" s="1"/>
  <c r="G324" i="3"/>
  <c r="H324" i="3" s="1"/>
  <c r="G325" i="3"/>
  <c r="G4" i="3"/>
  <c r="H325" i="3"/>
  <c r="H322" i="3"/>
  <c r="H321" i="3"/>
  <c r="H320" i="3"/>
  <c r="H318" i="3"/>
  <c r="H317" i="3"/>
  <c r="H316" i="3"/>
  <c r="H314" i="3"/>
  <c r="H313" i="3"/>
  <c r="H312" i="3"/>
  <c r="H310" i="3"/>
  <c r="H309" i="3"/>
  <c r="H308" i="3"/>
  <c r="H306" i="3"/>
  <c r="H305" i="3"/>
  <c r="H304" i="3"/>
  <c r="H302" i="3"/>
  <c r="H301" i="3"/>
  <c r="H300" i="3"/>
  <c r="H298" i="3"/>
  <c r="H297" i="3"/>
  <c r="H296" i="3"/>
  <c r="H294" i="3"/>
  <c r="H293" i="3"/>
  <c r="H292" i="3"/>
  <c r="H290" i="3"/>
  <c r="H289" i="3"/>
  <c r="H288" i="3"/>
  <c r="H286" i="3"/>
  <c r="H285" i="3"/>
  <c r="H284" i="3"/>
  <c r="H282" i="3"/>
  <c r="H281" i="3"/>
  <c r="H280" i="3"/>
  <c r="H278" i="3"/>
  <c r="H277" i="3"/>
  <c r="H276" i="3"/>
  <c r="H274" i="3"/>
  <c r="H273" i="3"/>
  <c r="H272" i="3"/>
  <c r="H270" i="3"/>
  <c r="H269" i="3"/>
  <c r="H268" i="3"/>
  <c r="H266" i="3"/>
  <c r="H265" i="3"/>
  <c r="H264" i="3"/>
  <c r="H262" i="3"/>
  <c r="H261" i="3"/>
  <c r="H260" i="3"/>
  <c r="H258" i="3"/>
  <c r="H257" i="3"/>
  <c r="H256" i="3"/>
  <c r="H254" i="3"/>
  <c r="H253" i="3"/>
  <c r="H252" i="3"/>
  <c r="H250" i="3"/>
  <c r="H249" i="3"/>
  <c r="H248" i="3"/>
  <c r="H246" i="3"/>
  <c r="H245" i="3"/>
  <c r="H244" i="3"/>
  <c r="H242" i="3"/>
  <c r="H241" i="3"/>
  <c r="H240" i="3"/>
  <c r="H238" i="3"/>
  <c r="H237" i="3"/>
  <c r="H236" i="3"/>
  <c r="H234" i="3"/>
  <c r="H233" i="3"/>
  <c r="H232" i="3"/>
  <c r="H230" i="3"/>
  <c r="H229" i="3"/>
  <c r="H228" i="3"/>
  <c r="H226" i="3"/>
  <c r="H225" i="3"/>
  <c r="H224" i="3"/>
  <c r="H222" i="3"/>
  <c r="H221" i="3"/>
  <c r="H220" i="3"/>
  <c r="H218" i="3"/>
  <c r="H217" i="3"/>
  <c r="H216" i="3"/>
  <c r="H214" i="3"/>
  <c r="H213" i="3"/>
  <c r="H212" i="3"/>
  <c r="H210" i="3"/>
  <c r="H209" i="3"/>
  <c r="H208" i="3"/>
  <c r="H206" i="3"/>
  <c r="H205" i="3"/>
  <c r="H204" i="3"/>
  <c r="H202" i="3"/>
  <c r="H201" i="3"/>
  <c r="H200" i="3"/>
  <c r="H198" i="3"/>
  <c r="H197" i="3"/>
  <c r="H196" i="3"/>
  <c r="H194" i="3"/>
  <c r="H193" i="3"/>
  <c r="H192" i="3"/>
  <c r="H190" i="3"/>
  <c r="H189" i="3"/>
  <c r="H188" i="3"/>
  <c r="H186" i="3"/>
  <c r="H185" i="3"/>
  <c r="H184" i="3"/>
  <c r="H182" i="3"/>
  <c r="H181" i="3"/>
  <c r="H180" i="3"/>
  <c r="H178" i="3"/>
  <c r="H177" i="3"/>
  <c r="H176" i="3"/>
  <c r="H174" i="3"/>
  <c r="H173" i="3"/>
  <c r="H172" i="3"/>
  <c r="H170" i="3"/>
  <c r="H169" i="3"/>
  <c r="H168" i="3"/>
  <c r="H166" i="3"/>
  <c r="H165" i="3"/>
  <c r="H164" i="3"/>
  <c r="H162" i="3"/>
  <c r="H161" i="3"/>
  <c r="H160" i="3"/>
  <c r="H158" i="3"/>
  <c r="H157" i="3"/>
  <c r="H156" i="3"/>
  <c r="H154" i="3"/>
  <c r="H153" i="3"/>
  <c r="H152" i="3"/>
  <c r="H150" i="3"/>
  <c r="H149" i="3"/>
  <c r="H148" i="3"/>
  <c r="H146" i="3"/>
  <c r="H145" i="3"/>
  <c r="H144" i="3"/>
  <c r="H142" i="3"/>
  <c r="H141" i="3"/>
  <c r="H140" i="3"/>
  <c r="H138" i="3"/>
  <c r="H137" i="3"/>
  <c r="H136" i="3"/>
  <c r="H134" i="3"/>
  <c r="H133" i="3"/>
  <c r="H132" i="3"/>
  <c r="H130" i="3"/>
  <c r="H129" i="3"/>
  <c r="H128" i="3"/>
  <c r="H126" i="3"/>
  <c r="H125" i="3"/>
  <c r="H124" i="3"/>
  <c r="H122" i="3"/>
  <c r="H121" i="3"/>
  <c r="H120" i="3"/>
  <c r="H118" i="3"/>
  <c r="H117" i="3"/>
  <c r="H116" i="3"/>
  <c r="H114" i="3"/>
  <c r="H113" i="3"/>
  <c r="H112" i="3"/>
  <c r="H110" i="3"/>
  <c r="H109" i="3"/>
  <c r="H108" i="3"/>
  <c r="H106" i="3"/>
  <c r="H105" i="3"/>
  <c r="H104" i="3"/>
  <c r="H102" i="3"/>
  <c r="H101" i="3"/>
  <c r="H100" i="3"/>
  <c r="H98" i="3"/>
  <c r="H97" i="3"/>
  <c r="H96" i="3"/>
  <c r="H94" i="3"/>
  <c r="H93" i="3"/>
  <c r="H92" i="3"/>
  <c r="H90" i="3"/>
  <c r="H89" i="3"/>
  <c r="H88" i="3"/>
  <c r="H86" i="3"/>
  <c r="H85" i="3"/>
  <c r="H84" i="3"/>
  <c r="H82" i="3"/>
  <c r="H81" i="3"/>
  <c r="H80" i="3"/>
  <c r="H78" i="3"/>
  <c r="H77" i="3"/>
  <c r="H76" i="3"/>
  <c r="H74" i="3"/>
  <c r="H73" i="3"/>
  <c r="H72" i="3"/>
  <c r="H70" i="3"/>
  <c r="H69" i="3"/>
  <c r="H68" i="3"/>
  <c r="H66" i="3"/>
  <c r="H65" i="3"/>
  <c r="H64" i="3"/>
  <c r="H62" i="3"/>
  <c r="H61" i="3"/>
  <c r="H60" i="3"/>
  <c r="H58" i="3"/>
  <c r="H57" i="3"/>
  <c r="H56" i="3"/>
  <c r="H54" i="3"/>
  <c r="H53" i="3"/>
  <c r="H52" i="3"/>
  <c r="H50" i="3"/>
  <c r="H49" i="3"/>
  <c r="H48" i="3"/>
  <c r="H46" i="3"/>
  <c r="H45" i="3"/>
  <c r="H44" i="3"/>
  <c r="H42" i="3"/>
  <c r="H41" i="3"/>
  <c r="H40" i="3"/>
  <c r="H38" i="3"/>
  <c r="H37" i="3"/>
  <c r="H36" i="3"/>
  <c r="H34" i="3"/>
  <c r="H33" i="3"/>
  <c r="H32" i="3"/>
  <c r="H30" i="3"/>
  <c r="H29" i="3"/>
  <c r="H28" i="3"/>
  <c r="H26" i="3"/>
  <c r="H25" i="3"/>
  <c r="H24" i="3"/>
  <c r="H22" i="3"/>
  <c r="H21" i="3"/>
  <c r="H20" i="3"/>
  <c r="H18" i="3"/>
  <c r="H17" i="3"/>
  <c r="H16" i="3"/>
  <c r="H14" i="3"/>
  <c r="H13" i="3"/>
  <c r="H12" i="3"/>
  <c r="H10" i="3"/>
  <c r="H9" i="3"/>
  <c r="H8" i="3"/>
  <c r="H6" i="3"/>
  <c r="H5" i="3"/>
  <c r="H4" i="3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H4" i="2"/>
  <c r="AB5" i="7"/>
  <c r="AB6" i="7" s="1"/>
  <c r="AB7" i="7" s="1"/>
  <c r="AB8" i="7" s="1"/>
  <c r="AB9" i="7" s="1"/>
  <c r="AB10" i="7" s="1"/>
  <c r="AB11" i="7" s="1"/>
  <c r="AB12" i="7" s="1"/>
  <c r="AB13" i="7" s="1"/>
  <c r="AB14" i="7" s="1"/>
  <c r="AB15" i="7" s="1"/>
  <c r="AB16" i="7" s="1"/>
  <c r="AB17" i="7" s="1"/>
  <c r="AB18" i="7" s="1"/>
  <c r="AB19" i="7" s="1"/>
  <c r="Z5" i="7"/>
  <c r="Z6" i="7" s="1"/>
  <c r="X5" i="7"/>
  <c r="X6" i="7" s="1"/>
  <c r="V5" i="7"/>
  <c r="V6" i="7" s="1"/>
  <c r="T5" i="7"/>
  <c r="T6" i="7" s="1"/>
  <c r="R5" i="7"/>
  <c r="P5" i="7"/>
  <c r="P6" i="7" s="1"/>
  <c r="N5" i="7"/>
  <c r="N6" i="7" s="1"/>
  <c r="L5" i="7"/>
  <c r="J5" i="7"/>
  <c r="J6" i="7" s="1"/>
  <c r="H5" i="7"/>
  <c r="F5" i="7"/>
  <c r="F6" i="7" s="1"/>
  <c r="F7" i="7" s="1"/>
  <c r="F8" i="7" s="1"/>
  <c r="F9" i="7" s="1"/>
  <c r="F10" i="7" s="1"/>
  <c r="F11" i="7" s="1"/>
  <c r="F12" i="7" s="1"/>
  <c r="F13" i="7" s="1"/>
  <c r="F14" i="7" s="1"/>
  <c r="F15" i="7" s="1"/>
  <c r="F16" i="7" s="1"/>
  <c r="F17" i="7" s="1"/>
  <c r="F18" i="7" s="1"/>
  <c r="F19" i="7" s="1"/>
  <c r="H23" i="9" l="1"/>
  <c r="D6" i="7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J6" i="9"/>
  <c r="J7" i="9" s="1"/>
  <c r="H6" i="9"/>
  <c r="H7" i="9" s="1"/>
  <c r="F6" i="9"/>
  <c r="F7" i="9" s="1"/>
  <c r="F8" i="9" s="1"/>
  <c r="I30" i="9"/>
  <c r="O30" i="9"/>
  <c r="I29" i="9"/>
  <c r="O29" i="9"/>
  <c r="N28" i="9"/>
  <c r="Z18" i="6"/>
  <c r="D7" i="9"/>
  <c r="H6" i="7"/>
  <c r="H7" i="7" s="1"/>
  <c r="L6" i="7"/>
  <c r="L7" i="7" s="1"/>
  <c r="R6" i="7"/>
  <c r="R7" i="7" s="1"/>
  <c r="J7" i="7"/>
  <c r="J8" i="7" s="1"/>
  <c r="Z7" i="7"/>
  <c r="X7" i="7"/>
  <c r="V7" i="7"/>
  <c r="T7" i="7"/>
  <c r="P7" i="7"/>
  <c r="N7" i="7"/>
  <c r="L8" i="7"/>
  <c r="AB21" i="7"/>
  <c r="AB23" i="7" s="1"/>
  <c r="C6" i="6"/>
  <c r="F24" i="6"/>
  <c r="F5" i="6"/>
  <c r="F6" i="6"/>
  <c r="F7" i="6"/>
  <c r="F8" i="6"/>
  <c r="F9" i="6"/>
  <c r="F10" i="6"/>
  <c r="F11" i="6"/>
  <c r="F12" i="6"/>
  <c r="F13" i="6"/>
  <c r="F14" i="6"/>
  <c r="F15" i="6"/>
  <c r="F16" i="6"/>
  <c r="D5" i="6"/>
  <c r="E5" i="6"/>
  <c r="G5" i="6"/>
  <c r="D6" i="6"/>
  <c r="E6" i="6"/>
  <c r="G6" i="6"/>
  <c r="D7" i="6"/>
  <c r="E7" i="6"/>
  <c r="G7" i="6"/>
  <c r="D8" i="6"/>
  <c r="E8" i="6"/>
  <c r="G8" i="6"/>
  <c r="D9" i="6"/>
  <c r="E9" i="6"/>
  <c r="G9" i="6"/>
  <c r="D10" i="6"/>
  <c r="C10" i="6" s="1"/>
  <c r="E10" i="6"/>
  <c r="G10" i="6"/>
  <c r="D11" i="6"/>
  <c r="C11" i="6" s="1"/>
  <c r="E11" i="6"/>
  <c r="G11" i="6"/>
  <c r="D12" i="6"/>
  <c r="E12" i="6"/>
  <c r="G12" i="6"/>
  <c r="D13" i="6"/>
  <c r="E13" i="6"/>
  <c r="G13" i="6"/>
  <c r="D14" i="6"/>
  <c r="C14" i="6" s="1"/>
  <c r="E14" i="6"/>
  <c r="G14" i="6"/>
  <c r="D15" i="6"/>
  <c r="C15" i="6" s="1"/>
  <c r="E15" i="6"/>
  <c r="G15" i="6"/>
  <c r="D16" i="6"/>
  <c r="E16" i="6"/>
  <c r="G16" i="6"/>
  <c r="E4" i="6"/>
  <c r="D4" i="6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4" i="2"/>
  <c r="J8" i="9" l="1"/>
  <c r="J9" i="9" s="1"/>
  <c r="H8" i="9"/>
  <c r="F9" i="9"/>
  <c r="D8" i="9"/>
  <c r="R8" i="7"/>
  <c r="H8" i="7"/>
  <c r="Z8" i="7"/>
  <c r="X8" i="7"/>
  <c r="V8" i="7"/>
  <c r="T8" i="7"/>
  <c r="R9" i="7"/>
  <c r="P8" i="7"/>
  <c r="N8" i="7"/>
  <c r="L9" i="7"/>
  <c r="J9" i="7"/>
  <c r="H9" i="7"/>
  <c r="C16" i="6"/>
  <c r="C12" i="6"/>
  <c r="C13" i="6"/>
  <c r="C9" i="6"/>
  <c r="J6" i="6"/>
  <c r="I6" i="6" s="1"/>
  <c r="J10" i="6"/>
  <c r="I10" i="6" s="1"/>
  <c r="J14" i="6"/>
  <c r="H14" i="6" s="1"/>
  <c r="J13" i="6"/>
  <c r="I13" i="6" s="1"/>
  <c r="J7" i="6"/>
  <c r="I7" i="6" s="1"/>
  <c r="J11" i="6"/>
  <c r="I11" i="6" s="1"/>
  <c r="J15" i="6"/>
  <c r="I15" i="6" s="1"/>
  <c r="J8" i="6"/>
  <c r="I8" i="6" s="1"/>
  <c r="J12" i="6"/>
  <c r="I12" i="6" s="1"/>
  <c r="J16" i="6"/>
  <c r="H16" i="6" s="1"/>
  <c r="I5" i="6"/>
  <c r="J9" i="6"/>
  <c r="I9" i="6" s="1"/>
  <c r="H15" i="6"/>
  <c r="H11" i="6"/>
  <c r="I14" i="6"/>
  <c r="I6" i="1"/>
  <c r="C15" i="1"/>
  <c r="C14" i="1"/>
  <c r="C13" i="1"/>
  <c r="C12" i="1"/>
  <c r="C17" i="1"/>
  <c r="C6" i="1"/>
  <c r="E4" i="1"/>
  <c r="E3" i="1"/>
  <c r="H9" i="9" l="1"/>
  <c r="J10" i="9"/>
  <c r="F10" i="9"/>
  <c r="D9" i="9"/>
  <c r="Z9" i="7"/>
  <c r="X9" i="7"/>
  <c r="V9" i="7"/>
  <c r="T9" i="7"/>
  <c r="R10" i="7"/>
  <c r="P9" i="7"/>
  <c r="N9" i="7"/>
  <c r="L10" i="7"/>
  <c r="J10" i="7"/>
  <c r="H10" i="7"/>
  <c r="H5" i="6"/>
  <c r="H6" i="6"/>
  <c r="H13" i="6"/>
  <c r="H12" i="6"/>
  <c r="H10" i="6"/>
  <c r="H8" i="6"/>
  <c r="I16" i="6"/>
  <c r="H9" i="6"/>
  <c r="H7" i="6"/>
  <c r="C16" i="1"/>
  <c r="H10" i="9" l="1"/>
  <c r="H11" i="9" s="1"/>
  <c r="J11" i="9"/>
  <c r="F11" i="9"/>
  <c r="D10" i="9"/>
  <c r="Z10" i="7"/>
  <c r="X10" i="7"/>
  <c r="V10" i="7"/>
  <c r="T10" i="7"/>
  <c r="R11" i="7"/>
  <c r="P10" i="7"/>
  <c r="N10" i="7"/>
  <c r="L11" i="7"/>
  <c r="J11" i="7"/>
  <c r="H11" i="7"/>
  <c r="J12" i="9" l="1"/>
  <c r="H12" i="9"/>
  <c r="F12" i="9"/>
  <c r="D11" i="9"/>
  <c r="Z11" i="7"/>
  <c r="X11" i="7"/>
  <c r="V11" i="7"/>
  <c r="T11" i="7"/>
  <c r="R12" i="7"/>
  <c r="P11" i="7"/>
  <c r="N11" i="7"/>
  <c r="L12" i="7"/>
  <c r="J12" i="7"/>
  <c r="H12" i="7"/>
  <c r="J13" i="9" l="1"/>
  <c r="H13" i="9"/>
  <c r="F13" i="9"/>
  <c r="D12" i="9"/>
  <c r="Z12" i="7"/>
  <c r="X12" i="7"/>
  <c r="V12" i="7"/>
  <c r="T12" i="7"/>
  <c r="R13" i="7"/>
  <c r="P12" i="7"/>
  <c r="N12" i="7"/>
  <c r="L13" i="7"/>
  <c r="J13" i="7"/>
  <c r="H13" i="7"/>
  <c r="J14" i="9" l="1"/>
  <c r="H14" i="9"/>
  <c r="F14" i="9"/>
  <c r="D13" i="9"/>
  <c r="Z13" i="7"/>
  <c r="X13" i="7"/>
  <c r="V13" i="7"/>
  <c r="T13" i="7"/>
  <c r="R14" i="7"/>
  <c r="P13" i="7"/>
  <c r="N13" i="7"/>
  <c r="L14" i="7"/>
  <c r="J14" i="7"/>
  <c r="H14" i="7"/>
  <c r="J15" i="9" l="1"/>
  <c r="H15" i="9"/>
  <c r="F15" i="9"/>
  <c r="D14" i="9"/>
  <c r="Z14" i="7"/>
  <c r="X14" i="7"/>
  <c r="V14" i="7"/>
  <c r="T14" i="7"/>
  <c r="R15" i="7"/>
  <c r="P14" i="7"/>
  <c r="N14" i="7"/>
  <c r="L15" i="7"/>
  <c r="J15" i="7"/>
  <c r="H15" i="7"/>
  <c r="J16" i="9" l="1"/>
  <c r="H16" i="9"/>
  <c r="F16" i="9"/>
  <c r="D15" i="9"/>
  <c r="Z15" i="7"/>
  <c r="X15" i="7"/>
  <c r="V15" i="7"/>
  <c r="T15" i="7"/>
  <c r="R16" i="7"/>
  <c r="P15" i="7"/>
  <c r="N15" i="7"/>
  <c r="L16" i="7"/>
  <c r="J16" i="7"/>
  <c r="H16" i="7"/>
  <c r="J17" i="9" l="1"/>
  <c r="H17" i="9"/>
  <c r="F17" i="9"/>
  <c r="D16" i="9"/>
  <c r="Z16" i="7"/>
  <c r="X16" i="7"/>
  <c r="V16" i="7"/>
  <c r="T16" i="7"/>
  <c r="R17" i="7"/>
  <c r="P16" i="7"/>
  <c r="N16" i="7"/>
  <c r="L17" i="7"/>
  <c r="J17" i="7"/>
  <c r="H17" i="7"/>
  <c r="J18" i="9" l="1"/>
  <c r="H18" i="9"/>
  <c r="F18" i="9"/>
  <c r="D17" i="9"/>
  <c r="Z17" i="7"/>
  <c r="X17" i="7"/>
  <c r="V17" i="7"/>
  <c r="T17" i="7"/>
  <c r="R18" i="7"/>
  <c r="P17" i="7"/>
  <c r="N17" i="7"/>
  <c r="L18" i="7"/>
  <c r="J18" i="7"/>
  <c r="H18" i="7"/>
  <c r="J19" i="9" l="1"/>
  <c r="H19" i="9"/>
  <c r="F19" i="9"/>
  <c r="D18" i="9"/>
  <c r="Z18" i="7"/>
  <c r="X18" i="7"/>
  <c r="V18" i="7"/>
  <c r="T18" i="7"/>
  <c r="R19" i="7"/>
  <c r="P18" i="7"/>
  <c r="N18" i="7"/>
  <c r="L19" i="7"/>
  <c r="J19" i="7"/>
  <c r="H19" i="7"/>
  <c r="D19" i="9" l="1"/>
  <c r="D21" i="7"/>
  <c r="D23" i="7" s="1"/>
  <c r="Z19" i="7"/>
  <c r="X19" i="7"/>
  <c r="V19" i="7"/>
  <c r="T19" i="7"/>
  <c r="P19" i="7"/>
  <c r="N19" i="7"/>
  <c r="D21" i="9" l="1"/>
  <c r="D23" i="9" s="1"/>
  <c r="Z21" i="7"/>
  <c r="Z23" i="7" s="1"/>
</calcChain>
</file>

<file path=xl/sharedStrings.xml><?xml version="1.0" encoding="utf-8"?>
<sst xmlns="http://schemas.openxmlformats.org/spreadsheetml/2006/main" count="161" uniqueCount="64">
  <si>
    <t>Fuel</t>
  </si>
  <si>
    <t>Methanol</t>
  </si>
  <si>
    <t>Isooctane</t>
  </si>
  <si>
    <t>%</t>
  </si>
  <si>
    <t>RMM</t>
  </si>
  <si>
    <t>% Mass</t>
  </si>
  <si>
    <t>Air RMM</t>
  </si>
  <si>
    <t>Air:Fuel by Mass</t>
  </si>
  <si>
    <t>C8H18</t>
  </si>
  <si>
    <t>CH3OH</t>
  </si>
  <si>
    <t>CO2</t>
  </si>
  <si>
    <t>N2</t>
  </si>
  <si>
    <t>H2O (g)</t>
  </si>
  <si>
    <t>Air Mixture</t>
  </si>
  <si>
    <t>Products</t>
  </si>
  <si>
    <t>Reactants</t>
  </si>
  <si>
    <t>Total Enthalpy of Formation</t>
  </si>
  <si>
    <t>Enthalpies of Formation (MJ)</t>
  </si>
  <si>
    <t>LHV (MJ/kg)</t>
  </si>
  <si>
    <t>mass of 1 kmol of fuel (kg)</t>
  </si>
  <si>
    <t>mass of CO2 produced in 1 kmol of fuel (kg)</t>
  </si>
  <si>
    <t>mass of CO2 produced per kg of fuel (kg)</t>
  </si>
  <si>
    <t>Phi</t>
  </si>
  <si>
    <t>Enthalpy</t>
  </si>
  <si>
    <t>O2</t>
  </si>
  <si>
    <t>Goal Seek</t>
  </si>
  <si>
    <t>Temp</t>
  </si>
  <si>
    <t>Temp (K)</t>
  </si>
  <si>
    <t>Enthalpy (MJ/kmol)</t>
  </si>
  <si>
    <t>Enthalpy (kJ/kmol)</t>
  </si>
  <si>
    <t>Alpha</t>
  </si>
  <si>
    <r>
      <t>[O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</si>
  <si>
    <r>
      <t>[N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</si>
  <si>
    <r>
      <t>CO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(n</t>
    </r>
    <r>
      <rPr>
        <sz val="8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)</t>
    </r>
  </si>
  <si>
    <r>
      <t>H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(n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</si>
  <si>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N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(n</t>
    </r>
    <r>
      <rPr>
        <sz val="8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</t>
    </r>
  </si>
  <si>
    <r>
      <t>O</t>
    </r>
    <r>
      <rPr>
        <sz val="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(n</t>
    </r>
    <r>
      <rPr>
        <sz val="8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</si>
  <si>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Degrees</t>
  </si>
  <si>
    <t>Pressure (Bar)</t>
  </si>
  <si>
    <t>NOx (kmols/deg)</t>
  </si>
  <si>
    <t>Volumetric Efficiency (decimal)</t>
  </si>
  <si>
    <t>Initial Air/Fuel Temp (K)</t>
  </si>
  <si>
    <t>Universal Gas Constant (J/kmol/K)</t>
  </si>
  <si>
    <t>Engine Displacement (cc)</t>
  </si>
  <si>
    <t>Combustion Chamber Volume (cc)</t>
  </si>
  <si>
    <t>No. Moles (kmol)</t>
  </si>
  <si>
    <t>Atmospheric Pressure (Bar)</t>
  </si>
  <si>
    <t>Engine Speed (RPM)</t>
  </si>
  <si>
    <t>Polytropic Index</t>
  </si>
  <si>
    <t>Calc Enthalpy (kJ/kmol)</t>
  </si>
  <si>
    <t>Calc Enthalpy (MJ/kmol)</t>
  </si>
  <si>
    <t>Standard Enthalpies (MJ)</t>
  </si>
  <si>
    <t>H2O</t>
  </si>
  <si>
    <t>Total Enthalpy:</t>
  </si>
  <si>
    <t>Multiplier</t>
  </si>
  <si>
    <t>Compound</t>
  </si>
  <si>
    <t>Net Enthalpy:</t>
  </si>
  <si>
    <t>Selection Table 1 (Higher Temp)</t>
  </si>
  <si>
    <t>Selection Table 2 (Lower Temp)</t>
  </si>
  <si>
    <t>Flame Temp (K)</t>
  </si>
  <si>
    <t>Total NOx</t>
  </si>
  <si>
    <t>Total Exhaust kmols</t>
  </si>
  <si>
    <t>NOx PPM</t>
  </si>
  <si>
    <t>EGR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</si>
</sst>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0"/>
    <numFmt numFmtId="166" formatCode="0.0000E+00"/>
    <numFmt numFmtId="167" formatCode="0.0"/>
    <numFmt numFmtId="168" formatCode="0.0000"/>
    <numFmt numFmtId="170" formatCode="0.00000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/>
    <xf numFmtId="0" fontId="0" fillId="0" borderId="0" xfId="0" applyAlignment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11" fontId="0" fillId="3" borderId="1" xfId="0" applyNumberFormat="1" applyFill="1" applyBorder="1" applyAlignment="1">
      <alignment horizontal="center"/>
    </xf>
    <xf numFmtId="167" fontId="0" fillId="4" borderId="1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168" fontId="0" fillId="4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4" borderId="2" xfId="0" applyNumberFormat="1" applyFill="1" applyBorder="1" applyAlignment="1">
      <alignment horizontal="center"/>
    </xf>
    <xf numFmtId="11" fontId="0" fillId="4" borderId="3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70" fontId="0" fillId="4" borderId="1" xfId="0" applyNumberFormat="1" applyFill="1" applyBorder="1" applyAlignment="1">
      <alignment horizontal="center"/>
    </xf>
    <xf numFmtId="0" fontId="0" fillId="4" borderId="2" xfId="0" applyNumberFormat="1" applyFill="1" applyBorder="1" applyAlignment="1">
      <alignment horizontal="center"/>
    </xf>
    <xf numFmtId="0" fontId="0" fillId="4" borderId="3" xfId="0" applyNumberFormat="1" applyFill="1" applyBorder="1" applyAlignment="1">
      <alignment horizontal="center"/>
    </xf>
    <xf numFmtId="11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Ideal Gas Enthalpy of CO2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5.656501345203048E-2"/>
                  <c:y val="-4.3318436981421857E-3"/>
                </c:manualLayout>
              </c:layout>
              <c:numFmt formatCode="#,##0.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'CO2'!$B$4:$B$838</c:f>
              <c:numCache>
                <c:formatCode>General</c:formatCode>
                <c:ptCount val="835"/>
                <c:pt idx="0">
                  <c:v>298</c:v>
                </c:pt>
                <c:pt idx="1">
                  <c:v>300</c:v>
                </c:pt>
                <c:pt idx="2">
                  <c:v>350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  <c:pt idx="9">
                  <c:v>700</c:v>
                </c:pt>
                <c:pt idx="10">
                  <c:v>750</c:v>
                </c:pt>
                <c:pt idx="11">
                  <c:v>800</c:v>
                </c:pt>
                <c:pt idx="12">
                  <c:v>850</c:v>
                </c:pt>
                <c:pt idx="13">
                  <c:v>900</c:v>
                </c:pt>
                <c:pt idx="14">
                  <c:v>950</c:v>
                </c:pt>
                <c:pt idx="15">
                  <c:v>1000</c:v>
                </c:pt>
                <c:pt idx="16">
                  <c:v>1050</c:v>
                </c:pt>
                <c:pt idx="17">
                  <c:v>1100</c:v>
                </c:pt>
                <c:pt idx="18">
                  <c:v>1150</c:v>
                </c:pt>
                <c:pt idx="19">
                  <c:v>1200</c:v>
                </c:pt>
                <c:pt idx="20">
                  <c:v>1250</c:v>
                </c:pt>
                <c:pt idx="21">
                  <c:v>1300</c:v>
                </c:pt>
                <c:pt idx="22">
                  <c:v>1350</c:v>
                </c:pt>
                <c:pt idx="23">
                  <c:v>1400</c:v>
                </c:pt>
                <c:pt idx="24">
                  <c:v>1450</c:v>
                </c:pt>
                <c:pt idx="25">
                  <c:v>1500</c:v>
                </c:pt>
                <c:pt idx="26">
                  <c:v>1550</c:v>
                </c:pt>
                <c:pt idx="27">
                  <c:v>1600</c:v>
                </c:pt>
                <c:pt idx="28">
                  <c:v>1650</c:v>
                </c:pt>
                <c:pt idx="29">
                  <c:v>1700</c:v>
                </c:pt>
                <c:pt idx="30">
                  <c:v>1750</c:v>
                </c:pt>
                <c:pt idx="31">
                  <c:v>1800</c:v>
                </c:pt>
                <c:pt idx="32">
                  <c:v>1850</c:v>
                </c:pt>
                <c:pt idx="33">
                  <c:v>1900</c:v>
                </c:pt>
                <c:pt idx="34">
                  <c:v>1950</c:v>
                </c:pt>
                <c:pt idx="35">
                  <c:v>2000</c:v>
                </c:pt>
                <c:pt idx="36">
                  <c:v>2050</c:v>
                </c:pt>
                <c:pt idx="37">
                  <c:v>2100</c:v>
                </c:pt>
                <c:pt idx="38">
                  <c:v>2150</c:v>
                </c:pt>
                <c:pt idx="39">
                  <c:v>2200</c:v>
                </c:pt>
                <c:pt idx="40">
                  <c:v>2250</c:v>
                </c:pt>
                <c:pt idx="41">
                  <c:v>2300</c:v>
                </c:pt>
                <c:pt idx="42">
                  <c:v>2350</c:v>
                </c:pt>
                <c:pt idx="43">
                  <c:v>2400</c:v>
                </c:pt>
                <c:pt idx="44">
                  <c:v>2450</c:v>
                </c:pt>
                <c:pt idx="45">
                  <c:v>2500</c:v>
                </c:pt>
                <c:pt idx="46">
                  <c:v>2550</c:v>
                </c:pt>
                <c:pt idx="47">
                  <c:v>2600</c:v>
                </c:pt>
                <c:pt idx="48">
                  <c:v>2650</c:v>
                </c:pt>
                <c:pt idx="49">
                  <c:v>2700</c:v>
                </c:pt>
                <c:pt idx="50">
                  <c:v>2750</c:v>
                </c:pt>
                <c:pt idx="51">
                  <c:v>2800</c:v>
                </c:pt>
                <c:pt idx="52">
                  <c:v>2850</c:v>
                </c:pt>
                <c:pt idx="53">
                  <c:v>2900</c:v>
                </c:pt>
                <c:pt idx="54">
                  <c:v>2950</c:v>
                </c:pt>
                <c:pt idx="55">
                  <c:v>3000</c:v>
                </c:pt>
                <c:pt idx="56">
                  <c:v>3050</c:v>
                </c:pt>
                <c:pt idx="57">
                  <c:v>3100</c:v>
                </c:pt>
                <c:pt idx="58">
                  <c:v>3150</c:v>
                </c:pt>
                <c:pt idx="59">
                  <c:v>3200</c:v>
                </c:pt>
                <c:pt idx="60">
                  <c:v>3250</c:v>
                </c:pt>
                <c:pt idx="61">
                  <c:v>3300</c:v>
                </c:pt>
                <c:pt idx="62">
                  <c:v>3350</c:v>
                </c:pt>
                <c:pt idx="63">
                  <c:v>3400</c:v>
                </c:pt>
                <c:pt idx="64">
                  <c:v>3450</c:v>
                </c:pt>
                <c:pt idx="65">
                  <c:v>3500</c:v>
                </c:pt>
              </c:numCache>
            </c:numRef>
          </c:xVal>
          <c:yVal>
            <c:numRef>
              <c:f>'CO2'!$C$4:$C$838</c:f>
              <c:numCache>
                <c:formatCode>General</c:formatCode>
                <c:ptCount val="835"/>
                <c:pt idx="0">
                  <c:v>0</c:v>
                </c:pt>
                <c:pt idx="1">
                  <c:v>7.0000000000000007E-2</c:v>
                </c:pt>
                <c:pt idx="2">
                  <c:v>1.99</c:v>
                </c:pt>
                <c:pt idx="3">
                  <c:v>4</c:v>
                </c:pt>
                <c:pt idx="4">
                  <c:v>6.11</c:v>
                </c:pt>
                <c:pt idx="5">
                  <c:v>8.3000000000000007</c:v>
                </c:pt>
                <c:pt idx="6">
                  <c:v>10.56</c:v>
                </c:pt>
                <c:pt idx="7">
                  <c:v>12.9</c:v>
                </c:pt>
                <c:pt idx="8">
                  <c:v>15.29</c:v>
                </c:pt>
                <c:pt idx="9">
                  <c:v>17.75</c:v>
                </c:pt>
                <c:pt idx="10">
                  <c:v>20.25</c:v>
                </c:pt>
                <c:pt idx="11">
                  <c:v>22.81</c:v>
                </c:pt>
                <c:pt idx="12">
                  <c:v>25.41</c:v>
                </c:pt>
                <c:pt idx="13">
                  <c:v>28.05</c:v>
                </c:pt>
                <c:pt idx="14">
                  <c:v>30.72</c:v>
                </c:pt>
                <c:pt idx="15">
                  <c:v>33.42</c:v>
                </c:pt>
                <c:pt idx="16">
                  <c:v>36.15</c:v>
                </c:pt>
                <c:pt idx="17">
                  <c:v>38.909999999999997</c:v>
                </c:pt>
                <c:pt idx="18">
                  <c:v>41.69</c:v>
                </c:pt>
                <c:pt idx="19">
                  <c:v>44.49</c:v>
                </c:pt>
                <c:pt idx="20">
                  <c:v>47.31</c:v>
                </c:pt>
                <c:pt idx="21">
                  <c:v>50.15</c:v>
                </c:pt>
                <c:pt idx="22">
                  <c:v>53</c:v>
                </c:pt>
                <c:pt idx="23">
                  <c:v>55.88</c:v>
                </c:pt>
                <c:pt idx="24">
                  <c:v>58.77</c:v>
                </c:pt>
                <c:pt idx="25">
                  <c:v>61.68</c:v>
                </c:pt>
                <c:pt idx="26">
                  <c:v>64.599999999999994</c:v>
                </c:pt>
                <c:pt idx="27">
                  <c:v>67.540000000000006</c:v>
                </c:pt>
                <c:pt idx="28">
                  <c:v>70.48</c:v>
                </c:pt>
                <c:pt idx="29">
                  <c:v>73.44</c:v>
                </c:pt>
                <c:pt idx="30">
                  <c:v>76.41</c:v>
                </c:pt>
                <c:pt idx="31">
                  <c:v>79.400000000000006</c:v>
                </c:pt>
                <c:pt idx="32">
                  <c:v>82.39</c:v>
                </c:pt>
                <c:pt idx="33">
                  <c:v>85.39</c:v>
                </c:pt>
                <c:pt idx="34">
                  <c:v>88.4</c:v>
                </c:pt>
                <c:pt idx="35">
                  <c:v>91.42</c:v>
                </c:pt>
                <c:pt idx="36">
                  <c:v>94.44</c:v>
                </c:pt>
                <c:pt idx="37">
                  <c:v>97.47</c:v>
                </c:pt>
                <c:pt idx="38">
                  <c:v>100.51</c:v>
                </c:pt>
                <c:pt idx="39">
                  <c:v>103.56</c:v>
                </c:pt>
                <c:pt idx="40">
                  <c:v>106.61</c:v>
                </c:pt>
                <c:pt idx="41">
                  <c:v>109.66</c:v>
                </c:pt>
                <c:pt idx="42">
                  <c:v>112.73</c:v>
                </c:pt>
                <c:pt idx="43">
                  <c:v>115.79</c:v>
                </c:pt>
                <c:pt idx="44">
                  <c:v>118.86</c:v>
                </c:pt>
                <c:pt idx="45">
                  <c:v>121.94</c:v>
                </c:pt>
                <c:pt idx="46">
                  <c:v>125.02</c:v>
                </c:pt>
                <c:pt idx="47">
                  <c:v>128.1</c:v>
                </c:pt>
                <c:pt idx="48">
                  <c:v>131.19</c:v>
                </c:pt>
                <c:pt idx="49">
                  <c:v>134.28</c:v>
                </c:pt>
                <c:pt idx="50">
                  <c:v>137.37</c:v>
                </c:pt>
                <c:pt idx="51">
                  <c:v>140.47</c:v>
                </c:pt>
                <c:pt idx="52">
                  <c:v>143.57</c:v>
                </c:pt>
                <c:pt idx="53">
                  <c:v>146.66999999999999</c:v>
                </c:pt>
                <c:pt idx="54">
                  <c:v>149.78</c:v>
                </c:pt>
                <c:pt idx="55">
                  <c:v>152.88</c:v>
                </c:pt>
                <c:pt idx="56">
                  <c:v>155.99</c:v>
                </c:pt>
                <c:pt idx="57">
                  <c:v>159.11000000000001</c:v>
                </c:pt>
                <c:pt idx="58">
                  <c:v>162.22</c:v>
                </c:pt>
                <c:pt idx="59">
                  <c:v>165.34</c:v>
                </c:pt>
                <c:pt idx="60">
                  <c:v>168.46</c:v>
                </c:pt>
                <c:pt idx="61">
                  <c:v>171.59</c:v>
                </c:pt>
                <c:pt idx="62">
                  <c:v>174.72</c:v>
                </c:pt>
                <c:pt idx="63">
                  <c:v>177.84</c:v>
                </c:pt>
                <c:pt idx="64">
                  <c:v>180.98</c:v>
                </c:pt>
                <c:pt idx="65">
                  <c:v>184.11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F55-46F8-8E98-9BB4BDF2E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434152"/>
        <c:axId val="404437104"/>
      </c:scatterChart>
      <c:valAx>
        <c:axId val="404434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7104"/>
        <c:crosses val="autoZero"/>
        <c:crossBetween val="midCat"/>
      </c:valAx>
      <c:valAx>
        <c:axId val="40443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Ideal Gas Enthalpy of H2O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Ideal Gas Enthalpy of H2O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5.656501345203048E-2"/>
                  <c:y val="-4.3318436981421857E-3"/>
                </c:manualLayout>
              </c:layout>
              <c:numFmt formatCode="#,##0.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H2O!$B$4:$B$838</c:f>
              <c:numCache>
                <c:formatCode>General</c:formatCode>
                <c:ptCount val="835"/>
                <c:pt idx="0">
                  <c:v>298</c:v>
                </c:pt>
                <c:pt idx="1">
                  <c:v>300</c:v>
                </c:pt>
                <c:pt idx="2">
                  <c:v>350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  <c:pt idx="9">
                  <c:v>700</c:v>
                </c:pt>
                <c:pt idx="10">
                  <c:v>750</c:v>
                </c:pt>
                <c:pt idx="11">
                  <c:v>800</c:v>
                </c:pt>
                <c:pt idx="12">
                  <c:v>850</c:v>
                </c:pt>
                <c:pt idx="13">
                  <c:v>900</c:v>
                </c:pt>
                <c:pt idx="14">
                  <c:v>950</c:v>
                </c:pt>
                <c:pt idx="15">
                  <c:v>1000</c:v>
                </c:pt>
                <c:pt idx="16">
                  <c:v>1050</c:v>
                </c:pt>
                <c:pt idx="17">
                  <c:v>1100</c:v>
                </c:pt>
                <c:pt idx="18">
                  <c:v>1150</c:v>
                </c:pt>
                <c:pt idx="19">
                  <c:v>1200</c:v>
                </c:pt>
                <c:pt idx="20">
                  <c:v>1250</c:v>
                </c:pt>
                <c:pt idx="21">
                  <c:v>1300</c:v>
                </c:pt>
                <c:pt idx="22">
                  <c:v>1350</c:v>
                </c:pt>
                <c:pt idx="23">
                  <c:v>1400</c:v>
                </c:pt>
                <c:pt idx="24">
                  <c:v>1450</c:v>
                </c:pt>
                <c:pt idx="25">
                  <c:v>1500</c:v>
                </c:pt>
                <c:pt idx="26">
                  <c:v>1550</c:v>
                </c:pt>
                <c:pt idx="27">
                  <c:v>1600</c:v>
                </c:pt>
                <c:pt idx="28">
                  <c:v>1650</c:v>
                </c:pt>
                <c:pt idx="29">
                  <c:v>1700</c:v>
                </c:pt>
                <c:pt idx="30">
                  <c:v>1750</c:v>
                </c:pt>
                <c:pt idx="31">
                  <c:v>1800</c:v>
                </c:pt>
                <c:pt idx="32">
                  <c:v>1850</c:v>
                </c:pt>
                <c:pt idx="33">
                  <c:v>1900</c:v>
                </c:pt>
                <c:pt idx="34">
                  <c:v>1950</c:v>
                </c:pt>
                <c:pt idx="35">
                  <c:v>2000</c:v>
                </c:pt>
                <c:pt idx="36">
                  <c:v>2050</c:v>
                </c:pt>
                <c:pt idx="37">
                  <c:v>2100</c:v>
                </c:pt>
                <c:pt idx="38">
                  <c:v>2150</c:v>
                </c:pt>
                <c:pt idx="39">
                  <c:v>2200</c:v>
                </c:pt>
                <c:pt idx="40">
                  <c:v>2250</c:v>
                </c:pt>
                <c:pt idx="41">
                  <c:v>2300</c:v>
                </c:pt>
                <c:pt idx="42">
                  <c:v>2350</c:v>
                </c:pt>
                <c:pt idx="43">
                  <c:v>2400</c:v>
                </c:pt>
                <c:pt idx="44">
                  <c:v>2450</c:v>
                </c:pt>
                <c:pt idx="45">
                  <c:v>2500</c:v>
                </c:pt>
                <c:pt idx="46">
                  <c:v>2550</c:v>
                </c:pt>
                <c:pt idx="47">
                  <c:v>2600</c:v>
                </c:pt>
                <c:pt idx="48">
                  <c:v>2650</c:v>
                </c:pt>
                <c:pt idx="49">
                  <c:v>2700</c:v>
                </c:pt>
                <c:pt idx="50">
                  <c:v>2750</c:v>
                </c:pt>
                <c:pt idx="51">
                  <c:v>2800</c:v>
                </c:pt>
                <c:pt idx="52">
                  <c:v>2850</c:v>
                </c:pt>
                <c:pt idx="53">
                  <c:v>2900</c:v>
                </c:pt>
                <c:pt idx="54">
                  <c:v>2950</c:v>
                </c:pt>
                <c:pt idx="55">
                  <c:v>3000</c:v>
                </c:pt>
                <c:pt idx="56">
                  <c:v>3050</c:v>
                </c:pt>
                <c:pt idx="57">
                  <c:v>3100</c:v>
                </c:pt>
                <c:pt idx="58">
                  <c:v>3150</c:v>
                </c:pt>
                <c:pt idx="59">
                  <c:v>3200</c:v>
                </c:pt>
                <c:pt idx="60">
                  <c:v>3250</c:v>
                </c:pt>
                <c:pt idx="61">
                  <c:v>3300</c:v>
                </c:pt>
                <c:pt idx="62">
                  <c:v>3350</c:v>
                </c:pt>
                <c:pt idx="63">
                  <c:v>3400</c:v>
                </c:pt>
                <c:pt idx="64">
                  <c:v>3450</c:v>
                </c:pt>
                <c:pt idx="65">
                  <c:v>3500</c:v>
                </c:pt>
              </c:numCache>
            </c:numRef>
          </c:xVal>
          <c:yVal>
            <c:numRef>
              <c:f>H2O!$C$4:$C$838</c:f>
              <c:numCache>
                <c:formatCode>General</c:formatCode>
                <c:ptCount val="835"/>
                <c:pt idx="0">
                  <c:v>0</c:v>
                </c:pt>
                <c:pt idx="1">
                  <c:v>0.06</c:v>
                </c:pt>
                <c:pt idx="2">
                  <c:v>1.75</c:v>
                </c:pt>
                <c:pt idx="3">
                  <c:v>3.46</c:v>
                </c:pt>
                <c:pt idx="4">
                  <c:v>5.19</c:v>
                </c:pt>
                <c:pt idx="5">
                  <c:v>6.95</c:v>
                </c:pt>
                <c:pt idx="6">
                  <c:v>8.73</c:v>
                </c:pt>
                <c:pt idx="7">
                  <c:v>10.53</c:v>
                </c:pt>
                <c:pt idx="8">
                  <c:v>12.35</c:v>
                </c:pt>
                <c:pt idx="9">
                  <c:v>14.21</c:v>
                </c:pt>
                <c:pt idx="10">
                  <c:v>16.09</c:v>
                </c:pt>
                <c:pt idx="11">
                  <c:v>18</c:v>
                </c:pt>
                <c:pt idx="12">
                  <c:v>19.95</c:v>
                </c:pt>
                <c:pt idx="13">
                  <c:v>21.93</c:v>
                </c:pt>
                <c:pt idx="14">
                  <c:v>23.94</c:v>
                </c:pt>
                <c:pt idx="15">
                  <c:v>25.99</c:v>
                </c:pt>
                <c:pt idx="16">
                  <c:v>28.07</c:v>
                </c:pt>
                <c:pt idx="17">
                  <c:v>30.19</c:v>
                </c:pt>
                <c:pt idx="18">
                  <c:v>32.340000000000003</c:v>
                </c:pt>
                <c:pt idx="19">
                  <c:v>34.520000000000003</c:v>
                </c:pt>
                <c:pt idx="20">
                  <c:v>36.72</c:v>
                </c:pt>
                <c:pt idx="21">
                  <c:v>38.96</c:v>
                </c:pt>
                <c:pt idx="22">
                  <c:v>41.23</c:v>
                </c:pt>
                <c:pt idx="23">
                  <c:v>43.52</c:v>
                </c:pt>
                <c:pt idx="24">
                  <c:v>45.84</c:v>
                </c:pt>
                <c:pt idx="25">
                  <c:v>48.18</c:v>
                </c:pt>
                <c:pt idx="26">
                  <c:v>50.55</c:v>
                </c:pt>
                <c:pt idx="27">
                  <c:v>52.94</c:v>
                </c:pt>
                <c:pt idx="28">
                  <c:v>55.35</c:v>
                </c:pt>
                <c:pt idx="29">
                  <c:v>57.78</c:v>
                </c:pt>
                <c:pt idx="30">
                  <c:v>60.24</c:v>
                </c:pt>
                <c:pt idx="31">
                  <c:v>62.71</c:v>
                </c:pt>
                <c:pt idx="32">
                  <c:v>65.209999999999994</c:v>
                </c:pt>
                <c:pt idx="33">
                  <c:v>67.72</c:v>
                </c:pt>
                <c:pt idx="34">
                  <c:v>70.25</c:v>
                </c:pt>
                <c:pt idx="35">
                  <c:v>72.8</c:v>
                </c:pt>
                <c:pt idx="36">
                  <c:v>75.37</c:v>
                </c:pt>
                <c:pt idx="37">
                  <c:v>77.95</c:v>
                </c:pt>
                <c:pt idx="38">
                  <c:v>80.540000000000006</c:v>
                </c:pt>
                <c:pt idx="39">
                  <c:v>83.16</c:v>
                </c:pt>
                <c:pt idx="40">
                  <c:v>85.78</c:v>
                </c:pt>
                <c:pt idx="41">
                  <c:v>88.42</c:v>
                </c:pt>
                <c:pt idx="42">
                  <c:v>91.07</c:v>
                </c:pt>
                <c:pt idx="43">
                  <c:v>93.74</c:v>
                </c:pt>
                <c:pt idx="44">
                  <c:v>96.42</c:v>
                </c:pt>
                <c:pt idx="45">
                  <c:v>99.11</c:v>
                </c:pt>
                <c:pt idx="46">
                  <c:v>101.81</c:v>
                </c:pt>
                <c:pt idx="47">
                  <c:v>104.52</c:v>
                </c:pt>
                <c:pt idx="48">
                  <c:v>107.24</c:v>
                </c:pt>
                <c:pt idx="49">
                  <c:v>109.97</c:v>
                </c:pt>
                <c:pt idx="50">
                  <c:v>112.72</c:v>
                </c:pt>
                <c:pt idx="51">
                  <c:v>115.47</c:v>
                </c:pt>
                <c:pt idx="52">
                  <c:v>118.23</c:v>
                </c:pt>
                <c:pt idx="53">
                  <c:v>120.99</c:v>
                </c:pt>
                <c:pt idx="54">
                  <c:v>123.77</c:v>
                </c:pt>
                <c:pt idx="55">
                  <c:v>126.56</c:v>
                </c:pt>
                <c:pt idx="56">
                  <c:v>129.35</c:v>
                </c:pt>
                <c:pt idx="57">
                  <c:v>132.15</c:v>
                </c:pt>
                <c:pt idx="58">
                  <c:v>134.96</c:v>
                </c:pt>
                <c:pt idx="59">
                  <c:v>137.77000000000001</c:v>
                </c:pt>
                <c:pt idx="60">
                  <c:v>140.59</c:v>
                </c:pt>
                <c:pt idx="61">
                  <c:v>143.41999999999999</c:v>
                </c:pt>
                <c:pt idx="62">
                  <c:v>146.25</c:v>
                </c:pt>
                <c:pt idx="63">
                  <c:v>149.09</c:v>
                </c:pt>
                <c:pt idx="64">
                  <c:v>151.94</c:v>
                </c:pt>
                <c:pt idx="65">
                  <c:v>154.79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B28-4894-A419-144481BF6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434152"/>
        <c:axId val="404437104"/>
      </c:scatterChart>
      <c:valAx>
        <c:axId val="404434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7104"/>
        <c:crosses val="autoZero"/>
        <c:crossBetween val="midCat"/>
      </c:valAx>
      <c:valAx>
        <c:axId val="40443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Ideal Gas Enthalpy of N2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Ideal Gas Enthalpy of N2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5.656501345203048E-2"/>
                  <c:y val="-4.3318436981421857E-3"/>
                </c:manualLayout>
              </c:layout>
              <c:numFmt formatCode="#,##0.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'N2'!$B$4:$B$838</c:f>
              <c:numCache>
                <c:formatCode>General</c:formatCode>
                <c:ptCount val="835"/>
                <c:pt idx="0">
                  <c:v>298</c:v>
                </c:pt>
                <c:pt idx="1">
                  <c:v>300</c:v>
                </c:pt>
                <c:pt idx="2">
                  <c:v>350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  <c:pt idx="9">
                  <c:v>700</c:v>
                </c:pt>
                <c:pt idx="10">
                  <c:v>750</c:v>
                </c:pt>
                <c:pt idx="11">
                  <c:v>800</c:v>
                </c:pt>
                <c:pt idx="12">
                  <c:v>850</c:v>
                </c:pt>
                <c:pt idx="13">
                  <c:v>900</c:v>
                </c:pt>
                <c:pt idx="14">
                  <c:v>950</c:v>
                </c:pt>
                <c:pt idx="15">
                  <c:v>1000</c:v>
                </c:pt>
                <c:pt idx="16">
                  <c:v>1050</c:v>
                </c:pt>
                <c:pt idx="17">
                  <c:v>1100</c:v>
                </c:pt>
                <c:pt idx="18">
                  <c:v>1150</c:v>
                </c:pt>
                <c:pt idx="19">
                  <c:v>1200</c:v>
                </c:pt>
                <c:pt idx="20">
                  <c:v>1250</c:v>
                </c:pt>
                <c:pt idx="21">
                  <c:v>1300</c:v>
                </c:pt>
                <c:pt idx="22">
                  <c:v>1350</c:v>
                </c:pt>
                <c:pt idx="23">
                  <c:v>1400</c:v>
                </c:pt>
                <c:pt idx="24">
                  <c:v>1450</c:v>
                </c:pt>
                <c:pt idx="25">
                  <c:v>1500</c:v>
                </c:pt>
                <c:pt idx="26">
                  <c:v>1550</c:v>
                </c:pt>
                <c:pt idx="27">
                  <c:v>1600</c:v>
                </c:pt>
                <c:pt idx="28">
                  <c:v>1650</c:v>
                </c:pt>
                <c:pt idx="29">
                  <c:v>1700</c:v>
                </c:pt>
                <c:pt idx="30">
                  <c:v>1750</c:v>
                </c:pt>
                <c:pt idx="31">
                  <c:v>1800</c:v>
                </c:pt>
                <c:pt idx="32">
                  <c:v>1850</c:v>
                </c:pt>
                <c:pt idx="33">
                  <c:v>1900</c:v>
                </c:pt>
                <c:pt idx="34">
                  <c:v>1950</c:v>
                </c:pt>
                <c:pt idx="35">
                  <c:v>2000</c:v>
                </c:pt>
                <c:pt idx="36">
                  <c:v>2050</c:v>
                </c:pt>
                <c:pt idx="37">
                  <c:v>2100</c:v>
                </c:pt>
                <c:pt idx="38">
                  <c:v>2150</c:v>
                </c:pt>
                <c:pt idx="39">
                  <c:v>2200</c:v>
                </c:pt>
                <c:pt idx="40">
                  <c:v>2250</c:v>
                </c:pt>
                <c:pt idx="41">
                  <c:v>2300</c:v>
                </c:pt>
                <c:pt idx="42">
                  <c:v>2350</c:v>
                </c:pt>
                <c:pt idx="43">
                  <c:v>2400</c:v>
                </c:pt>
                <c:pt idx="44">
                  <c:v>2450</c:v>
                </c:pt>
                <c:pt idx="45">
                  <c:v>2500</c:v>
                </c:pt>
                <c:pt idx="46">
                  <c:v>2550</c:v>
                </c:pt>
                <c:pt idx="47">
                  <c:v>2600</c:v>
                </c:pt>
                <c:pt idx="48">
                  <c:v>2650</c:v>
                </c:pt>
                <c:pt idx="49">
                  <c:v>2700</c:v>
                </c:pt>
                <c:pt idx="50">
                  <c:v>2750</c:v>
                </c:pt>
                <c:pt idx="51">
                  <c:v>2800</c:v>
                </c:pt>
                <c:pt idx="52">
                  <c:v>2850</c:v>
                </c:pt>
                <c:pt idx="53">
                  <c:v>2900</c:v>
                </c:pt>
                <c:pt idx="54">
                  <c:v>2950</c:v>
                </c:pt>
                <c:pt idx="55">
                  <c:v>3000</c:v>
                </c:pt>
                <c:pt idx="56">
                  <c:v>3050</c:v>
                </c:pt>
                <c:pt idx="57">
                  <c:v>3100</c:v>
                </c:pt>
                <c:pt idx="58">
                  <c:v>3150</c:v>
                </c:pt>
                <c:pt idx="59">
                  <c:v>3200</c:v>
                </c:pt>
                <c:pt idx="60">
                  <c:v>3250</c:v>
                </c:pt>
                <c:pt idx="61">
                  <c:v>3300</c:v>
                </c:pt>
                <c:pt idx="62">
                  <c:v>3350</c:v>
                </c:pt>
                <c:pt idx="63">
                  <c:v>3400</c:v>
                </c:pt>
                <c:pt idx="64">
                  <c:v>3450</c:v>
                </c:pt>
                <c:pt idx="65">
                  <c:v>3500</c:v>
                </c:pt>
              </c:numCache>
            </c:numRef>
          </c:xVal>
          <c:yVal>
            <c:numRef>
              <c:f>'N2'!$C$4:$C$838</c:f>
              <c:numCache>
                <c:formatCode>General</c:formatCode>
                <c:ptCount val="835"/>
                <c:pt idx="0">
                  <c:v>0</c:v>
                </c:pt>
                <c:pt idx="1">
                  <c:v>0.05</c:v>
                </c:pt>
                <c:pt idx="2">
                  <c:v>1.51</c:v>
                </c:pt>
                <c:pt idx="3">
                  <c:v>2.97</c:v>
                </c:pt>
                <c:pt idx="4">
                  <c:v>4.4400000000000004</c:v>
                </c:pt>
                <c:pt idx="5">
                  <c:v>5.92</c:v>
                </c:pt>
                <c:pt idx="6">
                  <c:v>7.41</c:v>
                </c:pt>
                <c:pt idx="7">
                  <c:v>8.9</c:v>
                </c:pt>
                <c:pt idx="8">
                  <c:v>10.42</c:v>
                </c:pt>
                <c:pt idx="9">
                  <c:v>11.94</c:v>
                </c:pt>
                <c:pt idx="10">
                  <c:v>13.48</c:v>
                </c:pt>
                <c:pt idx="11">
                  <c:v>15.04</c:v>
                </c:pt>
                <c:pt idx="12">
                  <c:v>16.62</c:v>
                </c:pt>
                <c:pt idx="13">
                  <c:v>18.22</c:v>
                </c:pt>
                <c:pt idx="14">
                  <c:v>19.84</c:v>
                </c:pt>
                <c:pt idx="15">
                  <c:v>21.47</c:v>
                </c:pt>
                <c:pt idx="16">
                  <c:v>23.11</c:v>
                </c:pt>
                <c:pt idx="17">
                  <c:v>24.77</c:v>
                </c:pt>
                <c:pt idx="18">
                  <c:v>26.44</c:v>
                </c:pt>
                <c:pt idx="19">
                  <c:v>28.12</c:v>
                </c:pt>
                <c:pt idx="20">
                  <c:v>29.81</c:v>
                </c:pt>
                <c:pt idx="21">
                  <c:v>31.51</c:v>
                </c:pt>
                <c:pt idx="22">
                  <c:v>33.22</c:v>
                </c:pt>
                <c:pt idx="23">
                  <c:v>34.94</c:v>
                </c:pt>
                <c:pt idx="24">
                  <c:v>36.67</c:v>
                </c:pt>
                <c:pt idx="25">
                  <c:v>38.4</c:v>
                </c:pt>
                <c:pt idx="26">
                  <c:v>40.15</c:v>
                </c:pt>
                <c:pt idx="27">
                  <c:v>41.9</c:v>
                </c:pt>
                <c:pt idx="28">
                  <c:v>43.66</c:v>
                </c:pt>
                <c:pt idx="29">
                  <c:v>45.42</c:v>
                </c:pt>
                <c:pt idx="30">
                  <c:v>47.19</c:v>
                </c:pt>
                <c:pt idx="31">
                  <c:v>48.97</c:v>
                </c:pt>
                <c:pt idx="32">
                  <c:v>50.75</c:v>
                </c:pt>
                <c:pt idx="33">
                  <c:v>52.54</c:v>
                </c:pt>
                <c:pt idx="34">
                  <c:v>54.33</c:v>
                </c:pt>
                <c:pt idx="35">
                  <c:v>56.13</c:v>
                </c:pt>
                <c:pt idx="36">
                  <c:v>57.93</c:v>
                </c:pt>
                <c:pt idx="37">
                  <c:v>59.73</c:v>
                </c:pt>
                <c:pt idx="38">
                  <c:v>61.54</c:v>
                </c:pt>
                <c:pt idx="39">
                  <c:v>63.36</c:v>
                </c:pt>
                <c:pt idx="40">
                  <c:v>65.17</c:v>
                </c:pt>
                <c:pt idx="41">
                  <c:v>66.989999999999995</c:v>
                </c:pt>
                <c:pt idx="42">
                  <c:v>68.819999999999993</c:v>
                </c:pt>
                <c:pt idx="43">
                  <c:v>70.64</c:v>
                </c:pt>
                <c:pt idx="44">
                  <c:v>72.47</c:v>
                </c:pt>
                <c:pt idx="45">
                  <c:v>74.3</c:v>
                </c:pt>
                <c:pt idx="46">
                  <c:v>76.13</c:v>
                </c:pt>
                <c:pt idx="47">
                  <c:v>77.97</c:v>
                </c:pt>
                <c:pt idx="48">
                  <c:v>79.81</c:v>
                </c:pt>
                <c:pt idx="49">
                  <c:v>81.650000000000006</c:v>
                </c:pt>
                <c:pt idx="50">
                  <c:v>83.49</c:v>
                </c:pt>
                <c:pt idx="51">
                  <c:v>85.33</c:v>
                </c:pt>
                <c:pt idx="52">
                  <c:v>87.18</c:v>
                </c:pt>
                <c:pt idx="53">
                  <c:v>89.03</c:v>
                </c:pt>
                <c:pt idx="54">
                  <c:v>90.88</c:v>
                </c:pt>
                <c:pt idx="55">
                  <c:v>92.73</c:v>
                </c:pt>
                <c:pt idx="56">
                  <c:v>94.58</c:v>
                </c:pt>
                <c:pt idx="57">
                  <c:v>96.43</c:v>
                </c:pt>
                <c:pt idx="58">
                  <c:v>98.29</c:v>
                </c:pt>
                <c:pt idx="59">
                  <c:v>100.14</c:v>
                </c:pt>
                <c:pt idx="60">
                  <c:v>102</c:v>
                </c:pt>
                <c:pt idx="61">
                  <c:v>103.86</c:v>
                </c:pt>
                <c:pt idx="62">
                  <c:v>105.72</c:v>
                </c:pt>
                <c:pt idx="63">
                  <c:v>107.58</c:v>
                </c:pt>
                <c:pt idx="64">
                  <c:v>109.45</c:v>
                </c:pt>
                <c:pt idx="65">
                  <c:v>111.31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49B-46C7-AF6F-997D9885A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434152"/>
        <c:axId val="404437104"/>
      </c:scatterChart>
      <c:valAx>
        <c:axId val="404434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7104"/>
        <c:crosses val="autoZero"/>
        <c:crossBetween val="midCat"/>
      </c:valAx>
      <c:valAx>
        <c:axId val="40443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Ideal Gas Enthalpy of 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Ideal Gas Enthalpy of O2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5.656501345203048E-2"/>
                  <c:y val="-4.3318436981421857E-3"/>
                </c:manualLayout>
              </c:layout>
              <c:numFmt formatCode="#,##0.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'O2'!$B$4:$B$838</c:f>
              <c:numCache>
                <c:formatCode>General</c:formatCode>
                <c:ptCount val="835"/>
                <c:pt idx="0">
                  <c:v>298</c:v>
                </c:pt>
                <c:pt idx="1">
                  <c:v>300</c:v>
                </c:pt>
                <c:pt idx="2">
                  <c:v>350</c:v>
                </c:pt>
                <c:pt idx="3">
                  <c:v>400</c:v>
                </c:pt>
                <c:pt idx="4">
                  <c:v>450</c:v>
                </c:pt>
                <c:pt idx="5">
                  <c:v>500</c:v>
                </c:pt>
                <c:pt idx="6">
                  <c:v>550</c:v>
                </c:pt>
                <c:pt idx="7">
                  <c:v>600</c:v>
                </c:pt>
                <c:pt idx="8">
                  <c:v>650</c:v>
                </c:pt>
                <c:pt idx="9">
                  <c:v>700</c:v>
                </c:pt>
                <c:pt idx="10">
                  <c:v>750</c:v>
                </c:pt>
                <c:pt idx="11">
                  <c:v>800</c:v>
                </c:pt>
                <c:pt idx="12">
                  <c:v>850</c:v>
                </c:pt>
                <c:pt idx="13">
                  <c:v>900</c:v>
                </c:pt>
                <c:pt idx="14">
                  <c:v>950</c:v>
                </c:pt>
                <c:pt idx="15">
                  <c:v>1000</c:v>
                </c:pt>
                <c:pt idx="16">
                  <c:v>1050</c:v>
                </c:pt>
                <c:pt idx="17">
                  <c:v>1100</c:v>
                </c:pt>
                <c:pt idx="18">
                  <c:v>1150</c:v>
                </c:pt>
                <c:pt idx="19">
                  <c:v>1200</c:v>
                </c:pt>
                <c:pt idx="20">
                  <c:v>1250</c:v>
                </c:pt>
                <c:pt idx="21">
                  <c:v>1300</c:v>
                </c:pt>
                <c:pt idx="22">
                  <c:v>1350</c:v>
                </c:pt>
                <c:pt idx="23">
                  <c:v>1400</c:v>
                </c:pt>
                <c:pt idx="24">
                  <c:v>1450</c:v>
                </c:pt>
                <c:pt idx="25">
                  <c:v>1500</c:v>
                </c:pt>
                <c:pt idx="26">
                  <c:v>1550</c:v>
                </c:pt>
                <c:pt idx="27">
                  <c:v>1600</c:v>
                </c:pt>
                <c:pt idx="28">
                  <c:v>1650</c:v>
                </c:pt>
                <c:pt idx="29">
                  <c:v>1700</c:v>
                </c:pt>
                <c:pt idx="30">
                  <c:v>1750</c:v>
                </c:pt>
                <c:pt idx="31">
                  <c:v>1800</c:v>
                </c:pt>
                <c:pt idx="32">
                  <c:v>1850</c:v>
                </c:pt>
                <c:pt idx="33">
                  <c:v>1900</c:v>
                </c:pt>
                <c:pt idx="34">
                  <c:v>1950</c:v>
                </c:pt>
                <c:pt idx="35">
                  <c:v>2000</c:v>
                </c:pt>
                <c:pt idx="36">
                  <c:v>2050</c:v>
                </c:pt>
                <c:pt idx="37">
                  <c:v>2100</c:v>
                </c:pt>
                <c:pt idx="38">
                  <c:v>2150</c:v>
                </c:pt>
                <c:pt idx="39">
                  <c:v>2200</c:v>
                </c:pt>
                <c:pt idx="40">
                  <c:v>2250</c:v>
                </c:pt>
                <c:pt idx="41">
                  <c:v>2300</c:v>
                </c:pt>
                <c:pt idx="42">
                  <c:v>2350</c:v>
                </c:pt>
                <c:pt idx="43">
                  <c:v>2400</c:v>
                </c:pt>
                <c:pt idx="44">
                  <c:v>2450</c:v>
                </c:pt>
                <c:pt idx="45">
                  <c:v>2500</c:v>
                </c:pt>
                <c:pt idx="46">
                  <c:v>2550</c:v>
                </c:pt>
                <c:pt idx="47">
                  <c:v>2600</c:v>
                </c:pt>
                <c:pt idx="48">
                  <c:v>2650</c:v>
                </c:pt>
                <c:pt idx="49">
                  <c:v>2700</c:v>
                </c:pt>
                <c:pt idx="50">
                  <c:v>2750</c:v>
                </c:pt>
                <c:pt idx="51">
                  <c:v>2800</c:v>
                </c:pt>
                <c:pt idx="52">
                  <c:v>2850</c:v>
                </c:pt>
                <c:pt idx="53">
                  <c:v>2900</c:v>
                </c:pt>
                <c:pt idx="54">
                  <c:v>2950</c:v>
                </c:pt>
                <c:pt idx="55">
                  <c:v>3000</c:v>
                </c:pt>
                <c:pt idx="56">
                  <c:v>3050</c:v>
                </c:pt>
                <c:pt idx="57">
                  <c:v>3100</c:v>
                </c:pt>
                <c:pt idx="58">
                  <c:v>3150</c:v>
                </c:pt>
                <c:pt idx="59">
                  <c:v>3200</c:v>
                </c:pt>
                <c:pt idx="60">
                  <c:v>3250</c:v>
                </c:pt>
                <c:pt idx="61">
                  <c:v>3300</c:v>
                </c:pt>
                <c:pt idx="62">
                  <c:v>3350</c:v>
                </c:pt>
                <c:pt idx="63">
                  <c:v>3400</c:v>
                </c:pt>
                <c:pt idx="64">
                  <c:v>3450</c:v>
                </c:pt>
                <c:pt idx="65">
                  <c:v>3500</c:v>
                </c:pt>
              </c:numCache>
            </c:numRef>
          </c:xVal>
          <c:yVal>
            <c:numRef>
              <c:f>'O2'!$C$4:$C$838</c:f>
              <c:numCache>
                <c:formatCode>General</c:formatCode>
                <c:ptCount val="835"/>
                <c:pt idx="0">
                  <c:v>0</c:v>
                </c:pt>
                <c:pt idx="1">
                  <c:v>0.05</c:v>
                </c:pt>
                <c:pt idx="2">
                  <c:v>1.53</c:v>
                </c:pt>
                <c:pt idx="3">
                  <c:v>3.03</c:v>
                </c:pt>
                <c:pt idx="4">
                  <c:v>4.55</c:v>
                </c:pt>
                <c:pt idx="5">
                  <c:v>6.1</c:v>
                </c:pt>
                <c:pt idx="6">
                  <c:v>7.66</c:v>
                </c:pt>
                <c:pt idx="7">
                  <c:v>9.25</c:v>
                </c:pt>
                <c:pt idx="8">
                  <c:v>10.87</c:v>
                </c:pt>
                <c:pt idx="9">
                  <c:v>12.5</c:v>
                </c:pt>
                <c:pt idx="10">
                  <c:v>14.16</c:v>
                </c:pt>
                <c:pt idx="11">
                  <c:v>15.84</c:v>
                </c:pt>
                <c:pt idx="12">
                  <c:v>17.53</c:v>
                </c:pt>
                <c:pt idx="13">
                  <c:v>19.25</c:v>
                </c:pt>
                <c:pt idx="14">
                  <c:v>20.98</c:v>
                </c:pt>
                <c:pt idx="15">
                  <c:v>22.72</c:v>
                </c:pt>
                <c:pt idx="16">
                  <c:v>24.47</c:v>
                </c:pt>
                <c:pt idx="17">
                  <c:v>26.23</c:v>
                </c:pt>
                <c:pt idx="18">
                  <c:v>28</c:v>
                </c:pt>
                <c:pt idx="19">
                  <c:v>29.77</c:v>
                </c:pt>
                <c:pt idx="20">
                  <c:v>31.56</c:v>
                </c:pt>
                <c:pt idx="21">
                  <c:v>33.35</c:v>
                </c:pt>
                <c:pt idx="22">
                  <c:v>35.15</c:v>
                </c:pt>
                <c:pt idx="23">
                  <c:v>36.950000000000003</c:v>
                </c:pt>
                <c:pt idx="24">
                  <c:v>38.770000000000003</c:v>
                </c:pt>
                <c:pt idx="25">
                  <c:v>40.590000000000003</c:v>
                </c:pt>
                <c:pt idx="26">
                  <c:v>42.42</c:v>
                </c:pt>
                <c:pt idx="27">
                  <c:v>44.25</c:v>
                </c:pt>
                <c:pt idx="28">
                  <c:v>46.09</c:v>
                </c:pt>
                <c:pt idx="29">
                  <c:v>47.94</c:v>
                </c:pt>
                <c:pt idx="30">
                  <c:v>49.8</c:v>
                </c:pt>
                <c:pt idx="31">
                  <c:v>51.66</c:v>
                </c:pt>
                <c:pt idx="32">
                  <c:v>53.53</c:v>
                </c:pt>
                <c:pt idx="33">
                  <c:v>55.4</c:v>
                </c:pt>
                <c:pt idx="34">
                  <c:v>57.28</c:v>
                </c:pt>
                <c:pt idx="35">
                  <c:v>59.17</c:v>
                </c:pt>
                <c:pt idx="36">
                  <c:v>61.06</c:v>
                </c:pt>
                <c:pt idx="37">
                  <c:v>62.96</c:v>
                </c:pt>
                <c:pt idx="38">
                  <c:v>64.86</c:v>
                </c:pt>
                <c:pt idx="39">
                  <c:v>66.77</c:v>
                </c:pt>
                <c:pt idx="40">
                  <c:v>68.69</c:v>
                </c:pt>
                <c:pt idx="41">
                  <c:v>70.61</c:v>
                </c:pt>
                <c:pt idx="42">
                  <c:v>72.53</c:v>
                </c:pt>
                <c:pt idx="43">
                  <c:v>74.459999999999994</c:v>
                </c:pt>
                <c:pt idx="44">
                  <c:v>76.400000000000006</c:v>
                </c:pt>
                <c:pt idx="45">
                  <c:v>78.34</c:v>
                </c:pt>
                <c:pt idx="46">
                  <c:v>80.290000000000006</c:v>
                </c:pt>
                <c:pt idx="47">
                  <c:v>82.24</c:v>
                </c:pt>
                <c:pt idx="48">
                  <c:v>84.2</c:v>
                </c:pt>
                <c:pt idx="49">
                  <c:v>86.16</c:v>
                </c:pt>
                <c:pt idx="50">
                  <c:v>88.13</c:v>
                </c:pt>
                <c:pt idx="51">
                  <c:v>90.1</c:v>
                </c:pt>
                <c:pt idx="52">
                  <c:v>92.07</c:v>
                </c:pt>
                <c:pt idx="53">
                  <c:v>94.06</c:v>
                </c:pt>
                <c:pt idx="54">
                  <c:v>96.04</c:v>
                </c:pt>
                <c:pt idx="55">
                  <c:v>98.03</c:v>
                </c:pt>
                <c:pt idx="56">
                  <c:v>100.03</c:v>
                </c:pt>
                <c:pt idx="57">
                  <c:v>102.02</c:v>
                </c:pt>
                <c:pt idx="58">
                  <c:v>104.03</c:v>
                </c:pt>
                <c:pt idx="59">
                  <c:v>106.03</c:v>
                </c:pt>
                <c:pt idx="60">
                  <c:v>108.05</c:v>
                </c:pt>
                <c:pt idx="61">
                  <c:v>110.06</c:v>
                </c:pt>
                <c:pt idx="62">
                  <c:v>112.08</c:v>
                </c:pt>
                <c:pt idx="63">
                  <c:v>114.11</c:v>
                </c:pt>
                <c:pt idx="64">
                  <c:v>116.13</c:v>
                </c:pt>
                <c:pt idx="65">
                  <c:v>118.17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819-457F-B200-1452F62D87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434152"/>
        <c:axId val="404437104"/>
      </c:scatterChart>
      <c:valAx>
        <c:axId val="404434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7104"/>
        <c:crosses val="autoZero"/>
        <c:crossBetween val="midCat"/>
      </c:valAx>
      <c:valAx>
        <c:axId val="40443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 (MJ/kmol)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434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NOx PPM vs Equivalence Ratio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'Goal Seek'!$B$4:$B$16</c:f>
              <c:numCache>
                <c:formatCode>0.00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('Part 2a'!$D$23,'Part 2a'!$F$23,'Part 2a'!$H$23,'Part 2a'!$J$23,'Part 2a'!$L$23,'Part 2a'!$N$23,'Part 2a'!$P$23,'Part 2a'!$R$23,'Part 2a'!$T$23,'Part 2a'!$V$23,'Part 2a'!$X$23,'Part 2a'!$Z$23,'Part 2a'!$AB$23)</c:f>
              <c:numCache>
                <c:formatCode>0.00E+00</c:formatCode>
                <c:ptCount val="13"/>
                <c:pt idx="0">
                  <c:v>0</c:v>
                </c:pt>
                <c:pt idx="1">
                  <c:v>30162.396896092589</c:v>
                </c:pt>
                <c:pt idx="2">
                  <c:v>36420.510784411184</c:v>
                </c:pt>
                <c:pt idx="3">
                  <c:v>38004.227774443905</c:v>
                </c:pt>
                <c:pt idx="4">
                  <c:v>37245.540452639027</c:v>
                </c:pt>
                <c:pt idx="5">
                  <c:v>35262.280731682062</c:v>
                </c:pt>
                <c:pt idx="6">
                  <c:v>20625.076938690498</c:v>
                </c:pt>
                <c:pt idx="7">
                  <c:v>9524.5580583619376</c:v>
                </c:pt>
                <c:pt idx="8">
                  <c:v>3723.6814499577472</c:v>
                </c:pt>
                <c:pt idx="9">
                  <c:v>1243.4319195403405</c:v>
                </c:pt>
                <c:pt idx="10">
                  <c:v>350.30509820801166</c:v>
                </c:pt>
                <c:pt idx="11">
                  <c:v>81.364276957778799</c:v>
                </c:pt>
                <c:pt idx="12">
                  <c:v>15.06163035412512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CB-4F59-921D-256748B1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768168"/>
        <c:axId val="440768824"/>
      </c:scatterChart>
      <c:valAx>
        <c:axId val="440768168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768824"/>
        <c:crosses val="autoZero"/>
        <c:crossBetween val="midCat"/>
      </c:valAx>
      <c:valAx>
        <c:axId val="44076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layout>
            <c:manualLayout>
              <c:xMode val="edge"/>
              <c:yMode val="edge"/>
              <c:x val="6.0537268255769962E-3"/>
              <c:y val="0.423933493997500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768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How EGR Affects NOx Production per Degree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'Part 2b - EGR'!$D$2:$E$2</c:f>
              <c:strCache>
                <c:ptCount val="1"/>
                <c:pt idx="0">
                  <c:v>1.2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'Part 2b - EGR'!$B$4:$B$19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'Part 2b - EGR'!$E$4:$E$19</c:f>
              <c:numCache>
                <c:formatCode>0.00E+00</c:formatCode>
                <c:ptCount val="16"/>
                <c:pt idx="0">
                  <c:v>3.8296413434686023E-12</c:v>
                </c:pt>
                <c:pt idx="1">
                  <c:v>9.0397656534598694E-12</c:v>
                </c:pt>
                <c:pt idx="2">
                  <c:v>1.8361378950355275E-11</c:v>
                </c:pt>
                <c:pt idx="3">
                  <c:v>3.349451621291717E-11</c:v>
                </c:pt>
                <c:pt idx="4">
                  <c:v>5.6374841291229186E-11</c:v>
                </c:pt>
                <c:pt idx="5">
                  <c:v>8.9144810510072756E-11</c:v>
                </c:pt>
                <c:pt idx="6">
                  <c:v>1.3412735074662611E-10</c:v>
                </c:pt>
                <c:pt idx="7">
                  <c:v>1.9380224016000374E-10</c:v>
                </c:pt>
                <c:pt idx="8">
                  <c:v>2.7078510408965451E-10</c:v>
                </c:pt>
                <c:pt idx="9">
                  <c:v>3.6780882334434898E-10</c:v>
                </c:pt>
                <c:pt idx="10">
                  <c:v>4.8770711379916023E-10</c:v>
                </c:pt>
                <c:pt idx="11">
                  <c:v>6.3340003449574228E-10</c:v>
                </c:pt>
                <c:pt idx="12">
                  <c:v>8.0788119628734703E-10</c:v>
                </c:pt>
                <c:pt idx="13">
                  <c:v>1.0142064644835794E-9</c:v>
                </c:pt>
                <c:pt idx="14">
                  <c:v>1.2554839719687773E-9</c:v>
                </c:pt>
                <c:pt idx="15">
                  <c:v>1.5348652815130105E-9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7B-4C20-A056-B8EBA2DBF740}"/>
            </c:ext>
          </c:extLst>
        </c:ser>
        <c:ser>
          <c:idx val="1"/>
          <c:order val="1"/>
          <c:tx>
            <c:strRef>
              <c:f>'Part 2b - EGR'!$F$2:$G$2</c:f>
              <c:strCache>
                <c:ptCount val="1"/>
                <c:pt idx="0">
                  <c:v>1.15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'Part 2b - EGR'!$B$4:$B$19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'Part 2b - EGR'!$G$4:$G$19</c:f>
              <c:numCache>
                <c:formatCode>0.00E+00</c:formatCode>
                <c:ptCount val="16"/>
                <c:pt idx="0">
                  <c:v>3.7439759271148036E-12</c:v>
                </c:pt>
                <c:pt idx="1">
                  <c:v>8.8427831812784206E-12</c:v>
                </c:pt>
                <c:pt idx="2">
                  <c:v>1.7970039192119098E-11</c:v>
                </c:pt>
                <c:pt idx="3">
                  <c:v>3.2794213549366478E-11</c:v>
                </c:pt>
                <c:pt idx="4">
                  <c:v>5.5215950356845696E-11</c:v>
                </c:pt>
                <c:pt idx="5">
                  <c:v>8.7339827731799608E-11</c:v>
                </c:pt>
                <c:pt idx="6">
                  <c:v>1.3144854696374386E-10</c:v>
                </c:pt>
                <c:pt idx="7">
                  <c:v>1.8997974841337018E-10</c:v>
                </c:pt>
                <c:pt idx="8">
                  <c:v>2.655053769086803E-10</c:v>
                </c:pt>
                <c:pt idx="9">
                  <c:v>3.6071340360501843E-10</c:v>
                </c:pt>
                <c:pt idx="10">
                  <c:v>4.783916718581097E-10</c:v>
                </c:pt>
                <c:pt idx="11">
                  <c:v>6.2141363170410049E-10</c:v>
                </c:pt>
                <c:pt idx="12">
                  <c:v>7.9272574123015763E-10</c:v>
                </c:pt>
                <c:pt idx="13">
                  <c:v>9.9533633351743499E-10</c:v>
                </c:pt>
                <c:pt idx="14">
                  <c:v>1.2323057699951011E-9</c:v>
                </c:pt>
                <c:pt idx="15">
                  <c:v>1.5067377225671042E-9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7B-4C20-A056-B8EBA2DBF740}"/>
            </c:ext>
          </c:extLst>
        </c:ser>
        <c:ser>
          <c:idx val="2"/>
          <c:order val="2"/>
          <c:tx>
            <c:strRef>
              <c:f>'Part 2b - EGR'!$H$2:$I$2</c:f>
              <c:strCache>
                <c:ptCount val="1"/>
                <c:pt idx="0">
                  <c:v>1.1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'Part 2b - EGR'!$B$4:$B$19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'Part 2b - EGR'!$I$4:$I$19</c:f>
              <c:numCache>
                <c:formatCode>0.00E+00</c:formatCode>
                <c:ptCount val="16"/>
                <c:pt idx="0">
                  <c:v>3.6925371714322326E-12</c:v>
                </c:pt>
                <c:pt idx="1">
                  <c:v>8.7244463941178003E-12</c:v>
                </c:pt>
                <c:pt idx="2">
                  <c:v>1.7734850106027062E-11</c:v>
                </c:pt>
                <c:pt idx="3">
                  <c:v>3.2373201980333452E-11</c:v>
                </c:pt>
                <c:pt idx="4">
                  <c:v>5.4519040750987847E-11</c:v>
                </c:pt>
                <c:pt idx="5">
                  <c:v>8.6254108525340797E-11</c:v>
                </c:pt>
                <c:pt idx="6">
                  <c:v>1.2983684796087896E-10</c:v>
                </c:pt>
                <c:pt idx="7">
                  <c:v>1.8767948063091994E-10</c:v>
                </c:pt>
                <c:pt idx="8">
                  <c:v>2.623275954288703E-10</c:v>
                </c:pt>
                <c:pt idx="9">
                  <c:v>3.564420597990058E-10</c:v>
                </c:pt>
                <c:pt idx="10">
                  <c:v>4.727830265111217E-10</c:v>
                </c:pt>
                <c:pt idx="11">
                  <c:v>6.141958050101605E-10</c:v>
                </c:pt>
                <c:pt idx="12">
                  <c:v>7.8359837937192061E-10</c:v>
                </c:pt>
                <c:pt idx="13">
                  <c:v>9.8397037468783215E-10</c:v>
                </c:pt>
                <c:pt idx="14">
                  <c:v>1.218343295342299E-9</c:v>
                </c:pt>
                <c:pt idx="15">
                  <c:v>1.4897918797367541E-9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87B-4C20-A056-B8EBA2DBF740}"/>
            </c:ext>
          </c:extLst>
        </c:ser>
        <c:ser>
          <c:idx val="3"/>
          <c:order val="3"/>
          <c:tx>
            <c:strRef>
              <c:f>'Part 2b - EGR'!$J$2:$K$2</c:f>
              <c:strCache>
                <c:ptCount val="1"/>
                <c:pt idx="0">
                  <c:v>1.05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'Part 2b - EGR'!$B$4:$B$19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'Part 2b - EGR'!$K$4:$K$19</c:f>
              <c:numCache>
                <c:formatCode>0.00E+00</c:formatCode>
                <c:ptCount val="16"/>
                <c:pt idx="0">
                  <c:v>3.6745620204878457E-12</c:v>
                </c:pt>
                <c:pt idx="1">
                  <c:v>8.6830837530078815E-12</c:v>
                </c:pt>
                <c:pt idx="2">
                  <c:v>1.7652627084393085E-11</c:v>
                </c:pt>
                <c:pt idx="3">
                  <c:v>3.2225989455327203E-11</c:v>
                </c:pt>
                <c:pt idx="4">
                  <c:v>5.4275320467955284E-11</c:v>
                </c:pt>
                <c:pt idx="5">
                  <c:v>8.587436576396808E-11</c:v>
                </c:pt>
                <c:pt idx="6">
                  <c:v>1.2927307204060772E-10</c:v>
                </c:pt>
                <c:pt idx="7">
                  <c:v>1.8687475734371921E-10</c:v>
                </c:pt>
                <c:pt idx="8">
                  <c:v>2.6121577760626093E-10</c:v>
                </c:pt>
                <c:pt idx="9">
                  <c:v>3.5494750424890997E-10</c:v>
                </c:pt>
                <c:pt idx="10">
                  <c:v>4.708203873636596E-10</c:v>
                </c:pt>
                <c:pt idx="11">
                  <c:v>6.1166987506076012E-10</c:v>
                </c:pt>
                <c:pt idx="12">
                  <c:v>7.8040397231972971E-10</c:v>
                </c:pt>
                <c:pt idx="13">
                  <c:v>9.7999224226564035E-10</c:v>
                </c:pt>
                <c:pt idx="14">
                  <c:v>1.2134560742516709E-9</c:v>
                </c:pt>
                <c:pt idx="15">
                  <c:v>1.4838600640698297E-9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87B-4C20-A056-B8EBA2DBF7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5156720"/>
        <c:axId val="500808712"/>
      </c:scatterChart>
      <c:valAx>
        <c:axId val="405156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808712"/>
        <c:crosses val="autoZero"/>
        <c:crossBetween val="midCat"/>
      </c:valAx>
      <c:valAx>
        <c:axId val="500808712"/>
        <c:scaling>
          <c:orientation val="minMax"/>
          <c:max val="1.6000000000000009E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(kmols/deg)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156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How EGR Affects NOx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'Part 2b - EGR'!$D$2:$E$2</c:f>
              <c:strCache>
                <c:ptCount val="2"/>
                <c:pt idx="0">
                  <c:v>1.2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6="http://schemas.microsoft.com/office/drawing/2014/chart" uri="{F5D05F6E-A05E-4728-AFD3-386EB277150F}">
                  <c16:filteredLitCache>
                    <c:strCache>
                      <c:ptCount val="0"/>
                    </c:strCache>
                  </c16:filteredLitCache>
                </c:ext>
              </c:extLst>
              <c:f/>
              <c:strCache>
                <c:ptCount val="1"/>
                <c:pt idx="0">
                  <c:v>EGR Value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'Part 2b - EGR'!$D$23:$E$23</c15:sqref>
                  </c15:fullRef>
                </c:ext>
              </c:extLst>
              <c:f>'Part 2b - EGR'!$D$23</c:f>
              <c:numCache>
                <c:formatCode>0.00E+00</c:formatCode>
                <c:ptCount val="1"/>
                <c:pt idx="0">
                  <c:v>833.29711104478827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BA-4DF4-8FF7-0723D9042119}"/>
            </c:ext>
          </c:extLst>
        </c:ser>
        <c:ser>
          <c:idx val="1"/>
          <c:order val="1"/>
          <c:tx>
            <c:strRef>
              <c:f>'Part 2b - EGR'!$F$2:$G$2</c:f>
              <c:strCache>
                <c:ptCount val="2"/>
                <c:pt idx="0">
                  <c:v>1.15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6="http://schemas.microsoft.com/office/drawing/2014/chart" uri="{F5D05F6E-A05E-4728-AFD3-386EB277150F}">
                  <c16:filteredLitCache>
                    <c:strCache>
                      <c:ptCount val="0"/>
                    </c:strCache>
                  </c16:filteredLitCache>
                </c:ext>
              </c:extLst>
              <c:f/>
              <c:strCache>
                <c:ptCount val="1"/>
                <c:pt idx="0">
                  <c:v>EGR Value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'Part 2b - EGR'!$F$23:$G$23</c15:sqref>
                  </c15:fullRef>
                </c:ext>
              </c:extLst>
              <c:f>'Part 2b - EGR'!$F$23</c:f>
              <c:numCache>
                <c:formatCode>0.00E+00</c:formatCode>
                <c:ptCount val="1"/>
                <c:pt idx="0">
                  <c:v>852.48582799547796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BA-4DF4-8FF7-0723D9042119}"/>
            </c:ext>
          </c:extLst>
        </c:ser>
        <c:ser>
          <c:idx val="2"/>
          <c:order val="2"/>
          <c:tx>
            <c:strRef>
              <c:f>'Part 2b - EGR'!$H$2:$I$2</c:f>
              <c:strCache>
                <c:ptCount val="2"/>
                <c:pt idx="0">
                  <c:v>1.1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6="http://schemas.microsoft.com/office/drawing/2014/chart" uri="{F5D05F6E-A05E-4728-AFD3-386EB277150F}">
                  <c16:filteredLitCache>
                    <c:strCache>
                      <c:ptCount val="0"/>
                    </c:strCache>
                  </c16:filteredLitCache>
                </c:ext>
              </c:extLst>
              <c:f/>
              <c:strCache>
                <c:ptCount val="1"/>
                <c:pt idx="0">
                  <c:v>EGR Value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'Part 2b - EGR'!$H$23:$I$23</c15:sqref>
                  </c15:fullRef>
                </c:ext>
              </c:extLst>
              <c:f>'Part 2b - EGR'!$H$23</c:f>
              <c:numCache>
                <c:formatCode>0.00E+00</c:formatCode>
                <c:ptCount val="1"/>
                <c:pt idx="0">
                  <c:v>880.23047556017309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BA-4DF4-8FF7-0723D9042119}"/>
            </c:ext>
          </c:extLst>
        </c:ser>
        <c:ser>
          <c:idx val="3"/>
          <c:order val="3"/>
          <c:tx>
            <c:strRef>
              <c:f>'Part 2b - EGR'!$J$2:$K$2</c:f>
              <c:strCache>
                <c:ptCount val="2"/>
                <c:pt idx="0">
                  <c:v>1.05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6="http://schemas.microsoft.com/office/drawing/2014/chart" uri="{F5D05F6E-A05E-4728-AFD3-386EB277150F}">
                  <c16:filteredLitCache>
                    <c:strCache>
                      <c:ptCount val="0"/>
                    </c:strCache>
                  </c16:filteredLitCache>
                </c:ext>
              </c:extLst>
              <c:f/>
              <c:strCache>
                <c:ptCount val="1"/>
                <c:pt idx="0">
                  <c:v>EGR Value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'Part 2b - EGR'!$J$23:$K$23</c15:sqref>
                  </c15:fullRef>
                </c:ext>
              </c:extLst>
              <c:f>'Part 2b - EGR'!$J$23</c:f>
              <c:numCache>
                <c:formatCode>0.00E+00</c:formatCode>
                <c:ptCount val="1"/>
                <c:pt idx="0">
                  <c:v>917.62308835044064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BA-4DF4-8FF7-0723D90421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000808"/>
        <c:axId val="501003104"/>
      </c:barChart>
      <c:catAx>
        <c:axId val="50100080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501003104"/>
        <c:crosses val="autoZero"/>
        <c:auto val="1"/>
        <c:lblAlgn val="ctr"/>
        <c:lblOffset val="100"/>
        <c:tickMarkSkip val="1"/>
        <c:noMultiLvlLbl val="0"/>
      </c:catAx>
      <c:valAx>
        <c:axId val="50100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 PPM</a:t>
                </a:r>
              </a:p>
            </c:rich>
          </c:tx>
          <c:layout>
            <c:manualLayout>
              <c:xMode val="edge"/>
              <c:yMode val="edge"/>
              <c:x val="1.3459515407104636E-2"/>
              <c:y val="0.451859751400010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000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523874</xdr:colOff>
      <xdr:row>9</xdr:row>
      <xdr:rowOff>95250</xdr:rowOff>
    </xdr:from>
    <xdr:to>
      <xdr:col>17</xdr:col>
      <xdr:colOff>361949</xdr:colOff>
      <xdr:row>26</xdr:row>
      <xdr:rowOff>52387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4E10F2-BC4C-4BAF-911C-9EB95BEBD9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11</xdr:row>
      <xdr:rowOff>47625</xdr:rowOff>
    </xdr:from>
    <xdr:to>
      <xdr:col>18</xdr:col>
      <xdr:colOff>85725</xdr:colOff>
      <xdr:row>28</xdr:row>
      <xdr:rowOff>4762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112BD7-0D1F-4731-A829-544D1F4D93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11</xdr:row>
      <xdr:rowOff>114300</xdr:rowOff>
    </xdr:from>
    <xdr:to>
      <xdr:col>18</xdr:col>
      <xdr:colOff>76200</xdr:colOff>
      <xdr:row>28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540E08-9CFA-4574-A876-67E3462D4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11</xdr:row>
      <xdr:rowOff>0</xdr:rowOff>
    </xdr:from>
    <xdr:to>
      <xdr:col>18</xdr:col>
      <xdr:colOff>47625</xdr:colOff>
      <xdr:row>27</xdr:row>
      <xdr:rowOff>147637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05E9A99-70C0-4C8C-9C39-6442F2B3D9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26</xdr:row>
      <xdr:rowOff>166686</xdr:rowOff>
    </xdr:from>
    <xdr:to>
      <xdr:col>28</xdr:col>
      <xdr:colOff>19050</xdr:colOff>
      <xdr:row>49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9FF58-67DC-4C5D-9EEE-F282F8991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600074</xdr:colOff>
      <xdr:row>31</xdr:row>
      <xdr:rowOff>0</xdr:rowOff>
    </xdr:from>
    <xdr:to>
      <xdr:col>16</xdr:col>
      <xdr:colOff>828674</xdr:colOff>
      <xdr:row>65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3440E0-2D56-4D9F-8A9A-D90DE07334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604836</xdr:colOff>
      <xdr:row>66</xdr:row>
      <xdr:rowOff>14286</xdr:rowOff>
    </xdr:from>
    <xdr:to>
      <xdr:col>10</xdr:col>
      <xdr:colOff>180974</xdr:colOff>
      <xdr:row>87</xdr:row>
      <xdr:rowOff>57149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3D941D4-D7FC-4E23-A644-9596DDF142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B1D54-AB1A-452D-9A48-CFB212268993}">
  <dimension ref="B2:AB29"/>
  <sheetViews>
    <sheetView workbookViewId="0">
      <selection activeCell="I5" sqref="I5"/>
    </sheetView>
  </sheetViews>
  <sheetFormatPr defaultRowHeight="15" x14ac:dyDescent="0.25"/>
  <cols>
    <col min="2" max="2" width="26" customWidth="1"/>
    <col min="3" max="3" width="8" bestFit="1" customWidth="1"/>
    <col min="8" max="8" width="40.140625" bestFit="1" customWidth="1"/>
  </cols>
  <sheetData>
    <row r="2" spans="2:28" x14ac:dyDescent="0.25">
      <c r="B2" s="2" t="s">
        <v>0</v>
      </c>
      <c r="C2" s="2" t="s">
        <v>3</v>
      </c>
      <c r="D2" s="2" t="s">
        <v>4</v>
      </c>
      <c r="E2" s="2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x14ac:dyDescent="0.25">
      <c r="B3" s="3" t="s">
        <v>1</v>
      </c>
      <c r="C3" s="4">
        <v>50</v>
      </c>
      <c r="D3" s="4">
        <v>32</v>
      </c>
      <c r="E3" s="5">
        <f>D3/($D$3+$D$4)*100</f>
        <v>21.917808219178081</v>
      </c>
      <c r="F3" s="1"/>
      <c r="G3" s="1"/>
      <c r="H3" s="3" t="s">
        <v>19</v>
      </c>
      <c r="I3" s="4">
        <f>D3+D4</f>
        <v>146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x14ac:dyDescent="0.25">
      <c r="B4" s="3" t="s">
        <v>2</v>
      </c>
      <c r="C4" s="4">
        <v>50</v>
      </c>
      <c r="D4" s="4">
        <v>114</v>
      </c>
      <c r="E4" s="5">
        <f>D4/($D$3+$D$4)*100</f>
        <v>78.082191780821915</v>
      </c>
      <c r="F4" s="1"/>
      <c r="G4" s="1"/>
      <c r="H4" s="3" t="s">
        <v>20</v>
      </c>
      <c r="I4" s="4">
        <f>9*44</f>
        <v>396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x14ac:dyDescent="0.25">
      <c r="B6" s="2" t="s">
        <v>6</v>
      </c>
      <c r="C6" s="3">
        <f>14*((2*16)+(3.76*2*14))</f>
        <v>1921.92</v>
      </c>
      <c r="D6" s="1"/>
      <c r="E6" s="1"/>
      <c r="F6" s="1"/>
      <c r="G6" s="1"/>
      <c r="H6" s="3" t="s">
        <v>21</v>
      </c>
      <c r="I6" s="5">
        <f>I4/I3</f>
        <v>2.7123287671232879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2:28" x14ac:dyDescent="0.25">
      <c r="B7" s="2" t="s">
        <v>7</v>
      </c>
      <c r="C7" s="6">
        <f>C6/(D3+D4)</f>
        <v>13.163835616438357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2:28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2:28" x14ac:dyDescent="0.25">
      <c r="B9" s="36" t="s">
        <v>17</v>
      </c>
      <c r="C9" s="3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2:28" x14ac:dyDescent="0.25">
      <c r="B10" s="3" t="s">
        <v>8</v>
      </c>
      <c r="C10" s="4">
        <v>259.2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2:28" x14ac:dyDescent="0.25">
      <c r="B11" s="3" t="s">
        <v>9</v>
      </c>
      <c r="C11" s="4">
        <v>201.5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2:28" x14ac:dyDescent="0.25">
      <c r="B12" s="3" t="s">
        <v>10</v>
      </c>
      <c r="C12" s="4">
        <f>9*393.5</f>
        <v>3541.5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2:28" x14ac:dyDescent="0.25">
      <c r="B13" s="3" t="s">
        <v>12</v>
      </c>
      <c r="C13" s="4">
        <f>11*241.8</f>
        <v>2659.8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2:28" x14ac:dyDescent="0.25">
      <c r="B14" s="3" t="s">
        <v>11</v>
      </c>
      <c r="C14" s="4">
        <f>53.64*0</f>
        <v>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2:28" x14ac:dyDescent="0.25">
      <c r="B15" s="3" t="s">
        <v>13</v>
      </c>
      <c r="C15" s="4">
        <f>14*0</f>
        <v>0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2:28" x14ac:dyDescent="0.25">
      <c r="B16" s="3" t="s">
        <v>14</v>
      </c>
      <c r="C16" s="4">
        <f>C14+C13+C12</f>
        <v>6201.3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2:28" x14ac:dyDescent="0.25">
      <c r="B17" s="3" t="s">
        <v>15</v>
      </c>
      <c r="C17" s="4">
        <f>C11+C10</f>
        <v>460.7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2:28" x14ac:dyDescent="0.25">
      <c r="B18" s="3" t="s">
        <v>16</v>
      </c>
      <c r="C18" s="4">
        <f>C16-C17</f>
        <v>5740.6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2:28" x14ac:dyDescent="0.25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2:28" x14ac:dyDescent="0.25">
      <c r="B20" s="3" t="s">
        <v>18</v>
      </c>
      <c r="C20" s="4">
        <f>C18/(D3+D4)</f>
        <v>39.319178082191783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2:28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2:28" x14ac:dyDescent="0.2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2:28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2:28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2:28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2:28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2:28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</sheetData>
  <mergeCells count="1">
    <mergeCell ref="B9:C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6E983-A931-454F-8A11-18AD596E0F16}">
  <dimension ref="B1:H325"/>
  <sheetViews>
    <sheetView topLeftCell="A288" workbookViewId="0">
      <selection activeCell="T26" sqref="T26"/>
    </sheetView>
  </sheetViews>
  <sheetFormatPr defaultRowHeight="15" x14ac:dyDescent="0.25"/>
  <cols>
    <col min="2" max="2" width="9.42578125" customWidth="1"/>
    <col min="3" max="3" width="18.5703125" bestFit="1" customWidth="1"/>
    <col min="4" max="4" width="17.85546875" bestFit="1" customWidth="1"/>
    <col min="7" max="7" width="22.7109375" bestFit="1" customWidth="1"/>
    <col min="8" max="8" width="22" bestFit="1" customWidth="1"/>
  </cols>
  <sheetData>
    <row r="1" spans="2:8" x14ac:dyDescent="0.25">
      <c r="B1" s="8"/>
      <c r="C1" s="8"/>
      <c r="D1" s="8"/>
    </row>
    <row r="2" spans="2:8" x14ac:dyDescent="0.25">
      <c r="B2" s="8"/>
      <c r="C2" s="8"/>
      <c r="D2" s="8"/>
      <c r="E2" s="7"/>
    </row>
    <row r="3" spans="2:8" x14ac:dyDescent="0.25">
      <c r="B3" s="18" t="s">
        <v>27</v>
      </c>
      <c r="C3" s="18" t="s">
        <v>28</v>
      </c>
      <c r="D3" s="18" t="s">
        <v>29</v>
      </c>
      <c r="E3" s="1"/>
      <c r="F3" s="18" t="s">
        <v>27</v>
      </c>
      <c r="G3" s="18" t="s">
        <v>50</v>
      </c>
      <c r="H3" s="29" t="s">
        <v>49</v>
      </c>
    </row>
    <row r="4" spans="2:8" x14ac:dyDescent="0.25">
      <c r="B4" s="19">
        <v>298</v>
      </c>
      <c r="C4" s="19">
        <v>0</v>
      </c>
      <c r="D4" s="19">
        <f>C4*1000</f>
        <v>0</v>
      </c>
      <c r="E4" s="1"/>
      <c r="F4" s="19">
        <v>298</v>
      </c>
      <c r="G4" s="33">
        <f xml:space="preserve"> 0.000002545829609*F4^2 + 0.048927429665575*F4 - 17.0296119562392</f>
        <v>-2.2231580633002146</v>
      </c>
      <c r="H4" s="34">
        <f>G4*1000</f>
        <v>-2223.1580633002145</v>
      </c>
    </row>
    <row r="5" spans="2:8" x14ac:dyDescent="0.25">
      <c r="B5" s="19">
        <v>300</v>
      </c>
      <c r="C5" s="19">
        <v>7.0000000000000007E-2</v>
      </c>
      <c r="D5" s="19">
        <f t="shared" ref="D5:D68" si="0">C5*1000</f>
        <v>70</v>
      </c>
      <c r="E5" s="11"/>
      <c r="F5" s="22">
        <v>300</v>
      </c>
      <c r="G5" s="33">
        <f t="shared" ref="G5:G68" si="1" xml:space="preserve"> 0.000002545829609*F5^2 + 0.048927429665575*F5 - 17.0296119562392</f>
        <v>-2.1222583917567022</v>
      </c>
      <c r="H5" s="34">
        <f t="shared" ref="H5:H68" si="2">G5*1000</f>
        <v>-2122.2583917567022</v>
      </c>
    </row>
    <row r="6" spans="2:8" x14ac:dyDescent="0.25">
      <c r="B6" s="19">
        <v>350</v>
      </c>
      <c r="C6" s="19">
        <v>1.99</v>
      </c>
      <c r="D6" s="19">
        <f t="shared" si="0"/>
        <v>1990</v>
      </c>
      <c r="E6" s="11"/>
      <c r="F6" s="22">
        <v>310</v>
      </c>
      <c r="G6" s="33">
        <f t="shared" si="1"/>
        <v>-1.6174545344860505</v>
      </c>
      <c r="H6" s="34">
        <f t="shared" si="2"/>
        <v>-1617.4545344860505</v>
      </c>
    </row>
    <row r="7" spans="2:8" x14ac:dyDescent="0.25">
      <c r="B7" s="19">
        <v>400</v>
      </c>
      <c r="C7" s="19">
        <v>4</v>
      </c>
      <c r="D7" s="19">
        <f t="shared" si="0"/>
        <v>4000</v>
      </c>
      <c r="E7" s="11"/>
      <c r="F7" s="22">
        <v>320</v>
      </c>
      <c r="G7" s="33">
        <f t="shared" si="1"/>
        <v>-1.1121415112936006</v>
      </c>
      <c r="H7" s="34">
        <f t="shared" si="2"/>
        <v>-1112.1415112936006</v>
      </c>
    </row>
    <row r="8" spans="2:8" x14ac:dyDescent="0.25">
      <c r="B8" s="19">
        <v>450</v>
      </c>
      <c r="C8" s="19">
        <v>6.11</v>
      </c>
      <c r="D8" s="19">
        <f t="shared" si="0"/>
        <v>6110</v>
      </c>
      <c r="E8" s="11"/>
      <c r="F8" s="22">
        <v>330</v>
      </c>
      <c r="G8" s="33">
        <f t="shared" si="1"/>
        <v>-0.60631932217935258</v>
      </c>
      <c r="H8" s="34">
        <f t="shared" si="2"/>
        <v>-606.31932217935264</v>
      </c>
    </row>
    <row r="9" spans="2:8" x14ac:dyDescent="0.25">
      <c r="B9" s="19">
        <v>500</v>
      </c>
      <c r="C9" s="19">
        <v>8.3000000000000007</v>
      </c>
      <c r="D9" s="19">
        <f t="shared" si="0"/>
        <v>8300</v>
      </c>
      <c r="E9" s="11"/>
      <c r="F9" s="22">
        <v>340</v>
      </c>
      <c r="G9" s="33">
        <f t="shared" si="1"/>
        <v>-9.9987967143299272E-2</v>
      </c>
      <c r="H9" s="34">
        <f t="shared" si="2"/>
        <v>-99.987967143299272</v>
      </c>
    </row>
    <row r="10" spans="2:8" x14ac:dyDescent="0.25">
      <c r="B10" s="19">
        <v>550</v>
      </c>
      <c r="C10" s="19">
        <v>10.56</v>
      </c>
      <c r="D10" s="19">
        <f t="shared" si="0"/>
        <v>10560</v>
      </c>
      <c r="E10" s="11"/>
      <c r="F10" s="22">
        <v>350</v>
      </c>
      <c r="G10" s="33">
        <f t="shared" si="1"/>
        <v>0.40685255381454866</v>
      </c>
      <c r="H10" s="34">
        <f t="shared" si="2"/>
        <v>406.85255381454863</v>
      </c>
    </row>
    <row r="11" spans="2:8" x14ac:dyDescent="0.25">
      <c r="B11" s="19">
        <v>600</v>
      </c>
      <c r="C11" s="19">
        <v>12.9</v>
      </c>
      <c r="D11" s="19">
        <f t="shared" si="0"/>
        <v>12900</v>
      </c>
      <c r="E11" s="11"/>
      <c r="F11" s="22">
        <v>360</v>
      </c>
      <c r="G11" s="33">
        <f t="shared" si="1"/>
        <v>0.91420224069420186</v>
      </c>
      <c r="H11" s="34">
        <f t="shared" si="2"/>
        <v>914.20224069420192</v>
      </c>
    </row>
    <row r="12" spans="2:8" x14ac:dyDescent="0.25">
      <c r="B12" s="19">
        <v>650</v>
      </c>
      <c r="C12" s="19">
        <v>15.29</v>
      </c>
      <c r="D12" s="19">
        <f t="shared" si="0"/>
        <v>15290</v>
      </c>
      <c r="E12" s="11"/>
      <c r="F12" s="22">
        <v>370</v>
      </c>
      <c r="G12" s="33">
        <f t="shared" si="1"/>
        <v>1.4220610934956461</v>
      </c>
      <c r="H12" s="34">
        <f t="shared" si="2"/>
        <v>1422.0610934956462</v>
      </c>
    </row>
    <row r="13" spans="2:8" x14ac:dyDescent="0.25">
      <c r="B13" s="19">
        <v>700</v>
      </c>
      <c r="C13" s="19">
        <v>17.75</v>
      </c>
      <c r="D13" s="19">
        <f t="shared" si="0"/>
        <v>17750</v>
      </c>
      <c r="E13" s="11"/>
      <c r="F13" s="22">
        <v>380</v>
      </c>
      <c r="G13" s="33">
        <f t="shared" si="1"/>
        <v>1.9304291122188992</v>
      </c>
      <c r="H13" s="34">
        <f t="shared" si="2"/>
        <v>1930.4291122188993</v>
      </c>
    </row>
    <row r="14" spans="2:8" x14ac:dyDescent="0.25">
      <c r="B14" s="19">
        <v>750</v>
      </c>
      <c r="C14" s="19">
        <v>20.25</v>
      </c>
      <c r="D14" s="19">
        <f t="shared" si="0"/>
        <v>20250</v>
      </c>
      <c r="E14" s="11"/>
      <c r="F14" s="22">
        <v>390</v>
      </c>
      <c r="G14" s="33">
        <f t="shared" si="1"/>
        <v>2.439306296863947</v>
      </c>
      <c r="H14" s="34">
        <f t="shared" si="2"/>
        <v>2439.306296863947</v>
      </c>
    </row>
    <row r="15" spans="2:8" x14ac:dyDescent="0.25">
      <c r="B15" s="19">
        <v>800</v>
      </c>
      <c r="C15" s="19">
        <v>22.81</v>
      </c>
      <c r="D15" s="19">
        <f t="shared" si="0"/>
        <v>22810</v>
      </c>
      <c r="E15" s="11"/>
      <c r="F15" s="22">
        <v>400</v>
      </c>
      <c r="G15" s="33">
        <f t="shared" si="1"/>
        <v>2.9486926474308</v>
      </c>
      <c r="H15" s="34">
        <f t="shared" si="2"/>
        <v>2948.6926474307998</v>
      </c>
    </row>
    <row r="16" spans="2:8" x14ac:dyDescent="0.25">
      <c r="B16" s="19">
        <v>850</v>
      </c>
      <c r="C16" s="19">
        <v>25.41</v>
      </c>
      <c r="D16" s="19">
        <f t="shared" si="0"/>
        <v>25410</v>
      </c>
      <c r="E16" s="11"/>
      <c r="F16" s="22">
        <v>410</v>
      </c>
      <c r="G16" s="33">
        <f t="shared" si="1"/>
        <v>3.4585881639194511</v>
      </c>
      <c r="H16" s="34">
        <f t="shared" si="2"/>
        <v>3458.5881639194513</v>
      </c>
    </row>
    <row r="17" spans="2:8" x14ac:dyDescent="0.25">
      <c r="B17" s="19">
        <v>900</v>
      </c>
      <c r="C17" s="19">
        <v>28.05</v>
      </c>
      <c r="D17" s="19">
        <f t="shared" si="0"/>
        <v>28050</v>
      </c>
      <c r="E17" s="11"/>
      <c r="F17" s="22">
        <v>420</v>
      </c>
      <c r="G17" s="33">
        <f t="shared" si="1"/>
        <v>3.9689928463299005</v>
      </c>
      <c r="H17" s="34">
        <f t="shared" si="2"/>
        <v>3968.9928463299007</v>
      </c>
    </row>
    <row r="18" spans="2:8" x14ac:dyDescent="0.25">
      <c r="B18" s="19">
        <v>950</v>
      </c>
      <c r="C18" s="19">
        <v>30.72</v>
      </c>
      <c r="D18" s="19">
        <f t="shared" si="0"/>
        <v>30720</v>
      </c>
      <c r="E18" s="11"/>
      <c r="F18" s="22">
        <v>430</v>
      </c>
      <c r="G18" s="33">
        <f t="shared" si="1"/>
        <v>4.479906694662148</v>
      </c>
      <c r="H18" s="34">
        <f t="shared" si="2"/>
        <v>4479.9066946621479</v>
      </c>
    </row>
    <row r="19" spans="2:8" x14ac:dyDescent="0.25">
      <c r="B19" s="19">
        <v>1000</v>
      </c>
      <c r="C19" s="19">
        <v>33.42</v>
      </c>
      <c r="D19" s="19">
        <f t="shared" si="0"/>
        <v>33420</v>
      </c>
      <c r="E19" s="11"/>
      <c r="F19" s="22">
        <v>440</v>
      </c>
      <c r="G19" s="33">
        <f t="shared" si="1"/>
        <v>4.9913297089161972</v>
      </c>
      <c r="H19" s="34">
        <f t="shared" si="2"/>
        <v>4991.329708916197</v>
      </c>
    </row>
    <row r="20" spans="2:8" x14ac:dyDescent="0.25">
      <c r="B20" s="19">
        <v>1050</v>
      </c>
      <c r="C20" s="19">
        <v>36.15</v>
      </c>
      <c r="D20" s="19">
        <f t="shared" si="0"/>
        <v>36150</v>
      </c>
      <c r="E20" s="11"/>
      <c r="F20" s="22">
        <v>450</v>
      </c>
      <c r="G20" s="33">
        <f t="shared" si="1"/>
        <v>5.5032618890920482</v>
      </c>
      <c r="H20" s="34">
        <f t="shared" si="2"/>
        <v>5503.2618890920485</v>
      </c>
    </row>
    <row r="21" spans="2:8" x14ac:dyDescent="0.25">
      <c r="B21" s="19">
        <v>1100</v>
      </c>
      <c r="C21" s="19">
        <v>38.909999999999997</v>
      </c>
      <c r="D21" s="19">
        <f t="shared" si="0"/>
        <v>38910</v>
      </c>
      <c r="E21" s="11"/>
      <c r="F21" s="22">
        <v>460</v>
      </c>
      <c r="G21" s="33">
        <f t="shared" si="1"/>
        <v>6.0157032351897008</v>
      </c>
      <c r="H21" s="34">
        <f t="shared" si="2"/>
        <v>6015.7032351897005</v>
      </c>
    </row>
    <row r="22" spans="2:8" x14ac:dyDescent="0.25">
      <c r="B22" s="19">
        <v>1150</v>
      </c>
      <c r="C22" s="19">
        <v>41.69</v>
      </c>
      <c r="D22" s="19">
        <f t="shared" si="0"/>
        <v>41690</v>
      </c>
      <c r="E22" s="11"/>
      <c r="F22" s="22">
        <v>470</v>
      </c>
      <c r="G22" s="33">
        <f t="shared" si="1"/>
        <v>6.5286537472091482</v>
      </c>
      <c r="H22" s="34">
        <f t="shared" si="2"/>
        <v>6528.6537472091477</v>
      </c>
    </row>
    <row r="23" spans="2:8" x14ac:dyDescent="0.25">
      <c r="B23" s="19">
        <v>1200</v>
      </c>
      <c r="C23" s="19">
        <v>44.49</v>
      </c>
      <c r="D23" s="19">
        <f t="shared" si="0"/>
        <v>44490</v>
      </c>
      <c r="E23" s="11"/>
      <c r="F23" s="22">
        <v>480</v>
      </c>
      <c r="G23" s="33">
        <f t="shared" si="1"/>
        <v>7.0421134251504007</v>
      </c>
      <c r="H23" s="34">
        <f t="shared" si="2"/>
        <v>7042.1134251504009</v>
      </c>
    </row>
    <row r="24" spans="2:8" x14ac:dyDescent="0.25">
      <c r="B24" s="19">
        <v>1250</v>
      </c>
      <c r="C24" s="19">
        <v>47.31</v>
      </c>
      <c r="D24" s="19">
        <f t="shared" si="0"/>
        <v>47310</v>
      </c>
      <c r="E24" s="11"/>
      <c r="F24" s="22">
        <v>490</v>
      </c>
      <c r="G24" s="33">
        <f t="shared" si="1"/>
        <v>7.5560822690134479</v>
      </c>
      <c r="H24" s="34">
        <f t="shared" si="2"/>
        <v>7556.0822690134482</v>
      </c>
    </row>
    <row r="25" spans="2:8" x14ac:dyDescent="0.25">
      <c r="B25" s="19">
        <v>1300</v>
      </c>
      <c r="C25" s="19">
        <v>50.15</v>
      </c>
      <c r="D25" s="19">
        <f t="shared" si="0"/>
        <v>50150</v>
      </c>
      <c r="E25" s="11"/>
      <c r="F25" s="22">
        <v>500</v>
      </c>
      <c r="G25" s="33">
        <f t="shared" si="1"/>
        <v>8.0705602787982968</v>
      </c>
      <c r="H25" s="34">
        <f t="shared" si="2"/>
        <v>8070.5602787982971</v>
      </c>
    </row>
    <row r="26" spans="2:8" x14ac:dyDescent="0.25">
      <c r="B26" s="19">
        <v>1350</v>
      </c>
      <c r="C26" s="19">
        <v>53</v>
      </c>
      <c r="D26" s="19">
        <f t="shared" si="0"/>
        <v>53000</v>
      </c>
      <c r="E26" s="11"/>
      <c r="F26" s="22">
        <v>510</v>
      </c>
      <c r="G26" s="33">
        <f t="shared" si="1"/>
        <v>8.5855474545049475</v>
      </c>
      <c r="H26" s="34">
        <f t="shared" si="2"/>
        <v>8585.5474545049474</v>
      </c>
    </row>
    <row r="27" spans="2:8" x14ac:dyDescent="0.25">
      <c r="B27" s="19">
        <v>1400</v>
      </c>
      <c r="C27" s="19">
        <v>55.88</v>
      </c>
      <c r="D27" s="19">
        <f t="shared" si="0"/>
        <v>55880</v>
      </c>
      <c r="E27" s="11"/>
      <c r="F27" s="22">
        <v>520</v>
      </c>
      <c r="G27" s="33">
        <f t="shared" si="1"/>
        <v>9.1010437961333999</v>
      </c>
      <c r="H27" s="34">
        <f t="shared" si="2"/>
        <v>9101.0437961333992</v>
      </c>
    </row>
    <row r="28" spans="2:8" x14ac:dyDescent="0.25">
      <c r="B28" s="19">
        <v>1450</v>
      </c>
      <c r="C28" s="19">
        <v>58.77</v>
      </c>
      <c r="D28" s="19">
        <f t="shared" si="0"/>
        <v>58770</v>
      </c>
      <c r="E28" s="11"/>
      <c r="F28" s="22">
        <v>530</v>
      </c>
      <c r="G28" s="33">
        <f t="shared" si="1"/>
        <v>9.6170493036836504</v>
      </c>
      <c r="H28" s="34">
        <f t="shared" si="2"/>
        <v>9617.0493036836506</v>
      </c>
    </row>
    <row r="29" spans="2:8" x14ac:dyDescent="0.25">
      <c r="B29" s="19">
        <v>1500</v>
      </c>
      <c r="C29" s="19">
        <v>61.68</v>
      </c>
      <c r="D29" s="19">
        <f t="shared" si="0"/>
        <v>61680</v>
      </c>
      <c r="E29" s="11"/>
      <c r="F29" s="22">
        <v>540</v>
      </c>
      <c r="G29" s="33">
        <f t="shared" si="1"/>
        <v>10.133563977155699</v>
      </c>
      <c r="H29" s="34">
        <f t="shared" si="2"/>
        <v>10133.5639771557</v>
      </c>
    </row>
    <row r="30" spans="2:8" x14ac:dyDescent="0.25">
      <c r="B30" s="19">
        <v>1550</v>
      </c>
      <c r="C30" s="19">
        <v>64.599999999999994</v>
      </c>
      <c r="D30" s="19">
        <f t="shared" si="0"/>
        <v>64599.999999999993</v>
      </c>
      <c r="E30" s="11"/>
      <c r="F30" s="22">
        <v>550</v>
      </c>
      <c r="G30" s="33">
        <f t="shared" si="1"/>
        <v>10.650587816549546</v>
      </c>
      <c r="H30" s="34">
        <f t="shared" si="2"/>
        <v>10650.587816549545</v>
      </c>
    </row>
    <row r="31" spans="2:8" x14ac:dyDescent="0.25">
      <c r="B31" s="19">
        <v>1600</v>
      </c>
      <c r="C31" s="19">
        <v>67.540000000000006</v>
      </c>
      <c r="D31" s="19">
        <f t="shared" si="0"/>
        <v>67540</v>
      </c>
      <c r="E31" s="11"/>
      <c r="F31" s="22">
        <v>560</v>
      </c>
      <c r="G31" s="33">
        <f t="shared" si="1"/>
        <v>11.168120821865198</v>
      </c>
      <c r="H31" s="34">
        <f t="shared" si="2"/>
        <v>11168.120821865197</v>
      </c>
    </row>
    <row r="32" spans="2:8" x14ac:dyDescent="0.25">
      <c r="B32" s="19">
        <v>1650</v>
      </c>
      <c r="C32" s="19">
        <v>70.48</v>
      </c>
      <c r="D32" s="19">
        <f t="shared" si="0"/>
        <v>70480</v>
      </c>
      <c r="E32" s="11"/>
      <c r="F32" s="22">
        <v>570</v>
      </c>
      <c r="G32" s="33">
        <f t="shared" si="1"/>
        <v>11.686162993102648</v>
      </c>
      <c r="H32" s="34">
        <f t="shared" si="2"/>
        <v>11686.162993102649</v>
      </c>
    </row>
    <row r="33" spans="2:8" x14ac:dyDescent="0.25">
      <c r="B33" s="19">
        <v>1700</v>
      </c>
      <c r="C33" s="19">
        <v>73.44</v>
      </c>
      <c r="D33" s="19">
        <f t="shared" si="0"/>
        <v>73440</v>
      </c>
      <c r="E33" s="11"/>
      <c r="F33" s="22">
        <v>580</v>
      </c>
      <c r="G33" s="33">
        <f t="shared" si="1"/>
        <v>12.204714330261901</v>
      </c>
      <c r="H33" s="34">
        <f t="shared" si="2"/>
        <v>12204.714330261901</v>
      </c>
    </row>
    <row r="34" spans="2:8" x14ac:dyDescent="0.25">
      <c r="B34" s="19">
        <v>1750</v>
      </c>
      <c r="C34" s="19">
        <v>76.41</v>
      </c>
      <c r="D34" s="19">
        <f t="shared" si="0"/>
        <v>76410</v>
      </c>
      <c r="E34" s="11"/>
      <c r="F34" s="22">
        <v>590</v>
      </c>
      <c r="G34" s="33">
        <f t="shared" si="1"/>
        <v>12.723774833342951</v>
      </c>
      <c r="H34" s="34">
        <f t="shared" si="2"/>
        <v>12723.77483334295</v>
      </c>
    </row>
    <row r="35" spans="2:8" x14ac:dyDescent="0.25">
      <c r="B35" s="19">
        <v>1800</v>
      </c>
      <c r="C35" s="19">
        <v>79.400000000000006</v>
      </c>
      <c r="D35" s="19">
        <f t="shared" si="0"/>
        <v>79400</v>
      </c>
      <c r="E35" s="11"/>
      <c r="F35" s="22">
        <v>600</v>
      </c>
      <c r="G35" s="33">
        <f t="shared" si="1"/>
        <v>13.243344502345796</v>
      </c>
      <c r="H35" s="34">
        <f t="shared" si="2"/>
        <v>13243.344502345795</v>
      </c>
    </row>
    <row r="36" spans="2:8" x14ac:dyDescent="0.25">
      <c r="B36" s="19">
        <v>1850</v>
      </c>
      <c r="C36" s="19">
        <v>82.39</v>
      </c>
      <c r="D36" s="19">
        <f t="shared" si="0"/>
        <v>82390</v>
      </c>
      <c r="E36" s="11"/>
      <c r="F36" s="22">
        <v>610</v>
      </c>
      <c r="G36" s="33">
        <f t="shared" si="1"/>
        <v>13.763423337270449</v>
      </c>
      <c r="H36" s="34">
        <f t="shared" si="2"/>
        <v>13763.423337270449</v>
      </c>
    </row>
    <row r="37" spans="2:8" x14ac:dyDescent="0.25">
      <c r="B37" s="19">
        <v>1900</v>
      </c>
      <c r="C37" s="19">
        <v>85.39</v>
      </c>
      <c r="D37" s="19">
        <f t="shared" si="0"/>
        <v>85390</v>
      </c>
      <c r="E37" s="11"/>
      <c r="F37" s="22">
        <v>620</v>
      </c>
      <c r="G37" s="33">
        <f t="shared" si="1"/>
        <v>14.284011338116898</v>
      </c>
      <c r="H37" s="34">
        <f t="shared" si="2"/>
        <v>14284.011338116898</v>
      </c>
    </row>
    <row r="38" spans="2:8" x14ac:dyDescent="0.25">
      <c r="B38" s="19">
        <v>1950</v>
      </c>
      <c r="C38" s="19">
        <v>88.4</v>
      </c>
      <c r="D38" s="19">
        <f t="shared" si="0"/>
        <v>88400</v>
      </c>
      <c r="E38" s="11"/>
      <c r="F38" s="22">
        <v>630</v>
      </c>
      <c r="G38" s="33">
        <f t="shared" si="1"/>
        <v>14.805108504885148</v>
      </c>
      <c r="H38" s="34">
        <f t="shared" si="2"/>
        <v>14805.108504885147</v>
      </c>
    </row>
    <row r="39" spans="2:8" x14ac:dyDescent="0.25">
      <c r="B39" s="19">
        <v>2000</v>
      </c>
      <c r="C39" s="19">
        <v>91.42</v>
      </c>
      <c r="D39" s="19">
        <f t="shared" si="0"/>
        <v>91420</v>
      </c>
      <c r="E39" s="11"/>
      <c r="F39" s="22">
        <v>640</v>
      </c>
      <c r="G39" s="33">
        <f t="shared" si="1"/>
        <v>15.326714837575203</v>
      </c>
      <c r="H39" s="34">
        <f t="shared" si="2"/>
        <v>15326.714837575202</v>
      </c>
    </row>
    <row r="40" spans="2:8" x14ac:dyDescent="0.25">
      <c r="B40" s="19">
        <v>2050</v>
      </c>
      <c r="C40" s="19">
        <v>94.44</v>
      </c>
      <c r="D40" s="19">
        <f t="shared" si="0"/>
        <v>94440</v>
      </c>
      <c r="E40" s="11"/>
      <c r="F40" s="22">
        <v>650</v>
      </c>
      <c r="G40" s="33">
        <f t="shared" si="1"/>
        <v>15.848830336187049</v>
      </c>
      <c r="H40" s="34">
        <f t="shared" si="2"/>
        <v>15848.830336187049</v>
      </c>
    </row>
    <row r="41" spans="2:8" x14ac:dyDescent="0.25">
      <c r="B41" s="19">
        <v>2100</v>
      </c>
      <c r="C41" s="19">
        <v>97.47</v>
      </c>
      <c r="D41" s="19">
        <f t="shared" si="0"/>
        <v>97470</v>
      </c>
      <c r="E41" s="11"/>
      <c r="F41" s="22">
        <v>660</v>
      </c>
      <c r="G41" s="33">
        <f t="shared" si="1"/>
        <v>16.371455000720694</v>
      </c>
      <c r="H41" s="34">
        <f t="shared" si="2"/>
        <v>16371.455000720694</v>
      </c>
    </row>
    <row r="42" spans="2:8" x14ac:dyDescent="0.25">
      <c r="B42" s="19">
        <v>2150</v>
      </c>
      <c r="C42" s="19">
        <v>100.51</v>
      </c>
      <c r="D42" s="19">
        <f t="shared" si="0"/>
        <v>100510</v>
      </c>
      <c r="E42" s="11"/>
      <c r="F42" s="22">
        <v>670</v>
      </c>
      <c r="G42" s="33">
        <f t="shared" si="1"/>
        <v>16.894588831176151</v>
      </c>
      <c r="H42" s="34">
        <f t="shared" si="2"/>
        <v>16894.588831176152</v>
      </c>
    </row>
    <row r="43" spans="2:8" x14ac:dyDescent="0.25">
      <c r="B43" s="19">
        <v>2200</v>
      </c>
      <c r="C43" s="19">
        <v>103.56</v>
      </c>
      <c r="D43" s="19">
        <f t="shared" si="0"/>
        <v>103560</v>
      </c>
      <c r="E43" s="11"/>
      <c r="F43" s="22">
        <v>680</v>
      </c>
      <c r="G43" s="33">
        <f t="shared" si="1"/>
        <v>17.418231827553399</v>
      </c>
      <c r="H43" s="34">
        <f t="shared" si="2"/>
        <v>17418.231827553398</v>
      </c>
    </row>
    <row r="44" spans="2:8" x14ac:dyDescent="0.25">
      <c r="B44" s="19">
        <v>2250</v>
      </c>
      <c r="C44" s="19">
        <v>106.61</v>
      </c>
      <c r="D44" s="19">
        <f t="shared" si="0"/>
        <v>106610</v>
      </c>
      <c r="E44" s="11"/>
      <c r="F44" s="22">
        <v>690</v>
      </c>
      <c r="G44" s="33">
        <f t="shared" si="1"/>
        <v>17.942383989852452</v>
      </c>
      <c r="H44" s="34">
        <f t="shared" si="2"/>
        <v>17942.383989852453</v>
      </c>
    </row>
    <row r="45" spans="2:8" x14ac:dyDescent="0.25">
      <c r="B45" s="19">
        <v>2300</v>
      </c>
      <c r="C45" s="19">
        <v>109.66</v>
      </c>
      <c r="D45" s="19">
        <f t="shared" si="0"/>
        <v>109660</v>
      </c>
      <c r="E45" s="11"/>
      <c r="F45" s="22">
        <v>700</v>
      </c>
      <c r="G45" s="33">
        <f t="shared" si="1"/>
        <v>18.467045318073296</v>
      </c>
      <c r="H45" s="34">
        <f t="shared" si="2"/>
        <v>18467.045318073295</v>
      </c>
    </row>
    <row r="46" spans="2:8" x14ac:dyDescent="0.25">
      <c r="B46" s="19">
        <v>2350</v>
      </c>
      <c r="C46" s="19">
        <v>112.73</v>
      </c>
      <c r="D46" s="19">
        <f t="shared" si="0"/>
        <v>112730</v>
      </c>
      <c r="E46" s="11"/>
      <c r="F46" s="22">
        <v>710</v>
      </c>
      <c r="G46" s="33">
        <f t="shared" si="1"/>
        <v>18.992215812215953</v>
      </c>
      <c r="H46" s="34">
        <f t="shared" si="2"/>
        <v>18992.215812215953</v>
      </c>
    </row>
    <row r="47" spans="2:8" x14ac:dyDescent="0.25">
      <c r="B47" s="19">
        <v>2400</v>
      </c>
      <c r="C47" s="19">
        <v>115.79</v>
      </c>
      <c r="D47" s="19">
        <f t="shared" si="0"/>
        <v>115790</v>
      </c>
      <c r="E47" s="11"/>
      <c r="F47" s="22">
        <v>720</v>
      </c>
      <c r="G47" s="33">
        <f t="shared" si="1"/>
        <v>19.517895472280401</v>
      </c>
      <c r="H47" s="34">
        <f t="shared" si="2"/>
        <v>19517.895472280401</v>
      </c>
    </row>
    <row r="48" spans="2:8" x14ac:dyDescent="0.25">
      <c r="B48" s="19">
        <v>2450</v>
      </c>
      <c r="C48" s="19">
        <v>118.86</v>
      </c>
      <c r="D48" s="19">
        <f t="shared" si="0"/>
        <v>118860</v>
      </c>
      <c r="E48" s="11"/>
      <c r="F48" s="22">
        <v>730</v>
      </c>
      <c r="G48" s="33">
        <f t="shared" si="1"/>
        <v>20.044084298266654</v>
      </c>
      <c r="H48" s="34">
        <f t="shared" si="2"/>
        <v>20044.084298266655</v>
      </c>
    </row>
    <row r="49" spans="2:8" x14ac:dyDescent="0.25">
      <c r="B49" s="19">
        <v>2500</v>
      </c>
      <c r="C49" s="19">
        <v>121.94</v>
      </c>
      <c r="D49" s="19">
        <f t="shared" si="0"/>
        <v>121940</v>
      </c>
      <c r="E49" s="11"/>
      <c r="F49" s="22">
        <v>740</v>
      </c>
      <c r="G49" s="33">
        <f t="shared" si="1"/>
        <v>20.570782290174698</v>
      </c>
      <c r="H49" s="34">
        <f t="shared" si="2"/>
        <v>20570.782290174699</v>
      </c>
    </row>
    <row r="50" spans="2:8" x14ac:dyDescent="0.25">
      <c r="B50" s="19">
        <v>2550</v>
      </c>
      <c r="C50" s="19">
        <v>125.02</v>
      </c>
      <c r="D50" s="19">
        <f t="shared" si="0"/>
        <v>125020</v>
      </c>
      <c r="E50" s="11"/>
      <c r="F50" s="22">
        <v>750</v>
      </c>
      <c r="G50" s="33">
        <f t="shared" si="1"/>
        <v>21.097989448004547</v>
      </c>
      <c r="H50" s="34">
        <f t="shared" si="2"/>
        <v>21097.989448004548</v>
      </c>
    </row>
    <row r="51" spans="2:8" x14ac:dyDescent="0.25">
      <c r="B51" s="19">
        <v>2600</v>
      </c>
      <c r="C51" s="19">
        <v>128.1</v>
      </c>
      <c r="D51" s="19">
        <f t="shared" si="0"/>
        <v>128100</v>
      </c>
      <c r="E51" s="11"/>
      <c r="F51" s="22">
        <v>760</v>
      </c>
      <c r="G51" s="33">
        <f t="shared" si="1"/>
        <v>21.625705771756195</v>
      </c>
      <c r="H51" s="34">
        <f t="shared" si="2"/>
        <v>21625.705771756195</v>
      </c>
    </row>
    <row r="52" spans="2:8" x14ac:dyDescent="0.25">
      <c r="B52" s="19">
        <v>2650</v>
      </c>
      <c r="C52" s="19">
        <v>131.19</v>
      </c>
      <c r="D52" s="19">
        <f t="shared" si="0"/>
        <v>131190</v>
      </c>
      <c r="E52" s="11"/>
      <c r="F52" s="22">
        <v>770</v>
      </c>
      <c r="G52" s="33">
        <f t="shared" si="1"/>
        <v>22.153931261429648</v>
      </c>
      <c r="H52" s="34">
        <f t="shared" si="2"/>
        <v>22153.931261429647</v>
      </c>
    </row>
    <row r="53" spans="2:8" x14ac:dyDescent="0.25">
      <c r="B53" s="19">
        <v>2700</v>
      </c>
      <c r="C53" s="19">
        <v>134.28</v>
      </c>
      <c r="D53" s="19">
        <f t="shared" si="0"/>
        <v>134280</v>
      </c>
      <c r="E53" s="11"/>
      <c r="F53" s="22">
        <v>780</v>
      </c>
      <c r="G53" s="33">
        <f t="shared" si="1"/>
        <v>22.682665917024899</v>
      </c>
      <c r="H53" s="34">
        <f t="shared" si="2"/>
        <v>22682.6659170249</v>
      </c>
    </row>
    <row r="54" spans="2:8" x14ac:dyDescent="0.25">
      <c r="B54" s="19">
        <v>2750</v>
      </c>
      <c r="C54" s="19">
        <v>137.37</v>
      </c>
      <c r="D54" s="19">
        <f t="shared" si="0"/>
        <v>137370</v>
      </c>
      <c r="E54" s="11"/>
      <c r="F54" s="22">
        <v>790</v>
      </c>
      <c r="G54" s="33">
        <f t="shared" si="1"/>
        <v>23.211909738541948</v>
      </c>
      <c r="H54" s="34">
        <f t="shared" si="2"/>
        <v>23211.909738541948</v>
      </c>
    </row>
    <row r="55" spans="2:8" x14ac:dyDescent="0.25">
      <c r="B55" s="19">
        <v>2800</v>
      </c>
      <c r="C55" s="19">
        <v>140.47</v>
      </c>
      <c r="D55" s="19">
        <f t="shared" si="0"/>
        <v>140470</v>
      </c>
      <c r="E55" s="11"/>
      <c r="F55" s="22">
        <v>800</v>
      </c>
      <c r="G55" s="33">
        <f t="shared" si="1"/>
        <v>23.741662725980795</v>
      </c>
      <c r="H55" s="34">
        <f t="shared" si="2"/>
        <v>23741.662725980794</v>
      </c>
    </row>
    <row r="56" spans="2:8" x14ac:dyDescent="0.25">
      <c r="B56" s="19">
        <v>2850</v>
      </c>
      <c r="C56" s="19">
        <v>143.57</v>
      </c>
      <c r="D56" s="19">
        <f t="shared" si="0"/>
        <v>143570</v>
      </c>
      <c r="E56" s="11"/>
      <c r="F56" s="22">
        <v>810</v>
      </c>
      <c r="G56" s="33">
        <f t="shared" si="1"/>
        <v>24.271924879341448</v>
      </c>
      <c r="H56" s="34">
        <f t="shared" si="2"/>
        <v>24271.924879341448</v>
      </c>
    </row>
    <row r="57" spans="2:8" x14ac:dyDescent="0.25">
      <c r="B57" s="19">
        <v>2900</v>
      </c>
      <c r="C57" s="19">
        <v>146.66999999999999</v>
      </c>
      <c r="D57" s="19">
        <f t="shared" si="0"/>
        <v>146670</v>
      </c>
      <c r="E57" s="11"/>
      <c r="F57" s="22">
        <v>820</v>
      </c>
      <c r="G57" s="33">
        <f t="shared" si="1"/>
        <v>24.802696198623899</v>
      </c>
      <c r="H57" s="34">
        <f t="shared" si="2"/>
        <v>24802.6961986239</v>
      </c>
    </row>
    <row r="58" spans="2:8" x14ac:dyDescent="0.25">
      <c r="B58" s="19">
        <v>2950</v>
      </c>
      <c r="C58" s="19">
        <v>149.78</v>
      </c>
      <c r="D58" s="19">
        <f t="shared" si="0"/>
        <v>149780</v>
      </c>
      <c r="E58" s="11"/>
      <c r="F58" s="22">
        <v>830</v>
      </c>
      <c r="G58" s="33">
        <f t="shared" si="1"/>
        <v>25.333976683828148</v>
      </c>
      <c r="H58" s="34">
        <f t="shared" si="2"/>
        <v>25333.976683828147</v>
      </c>
    </row>
    <row r="59" spans="2:8" x14ac:dyDescent="0.25">
      <c r="B59" s="19">
        <v>3000</v>
      </c>
      <c r="C59" s="19">
        <v>152.88</v>
      </c>
      <c r="D59" s="19">
        <f t="shared" si="0"/>
        <v>152880</v>
      </c>
      <c r="E59" s="11"/>
      <c r="F59" s="22">
        <v>840</v>
      </c>
      <c r="G59" s="33">
        <f t="shared" si="1"/>
        <v>25.865766334954202</v>
      </c>
      <c r="H59" s="34">
        <f t="shared" si="2"/>
        <v>25865.766334954202</v>
      </c>
    </row>
    <row r="60" spans="2:8" x14ac:dyDescent="0.25">
      <c r="B60" s="19">
        <v>3050</v>
      </c>
      <c r="C60" s="19">
        <v>155.99</v>
      </c>
      <c r="D60" s="19">
        <f t="shared" si="0"/>
        <v>155990</v>
      </c>
      <c r="E60" s="11"/>
      <c r="F60" s="22">
        <v>850</v>
      </c>
      <c r="G60" s="33">
        <f t="shared" si="1"/>
        <v>26.398065152002054</v>
      </c>
      <c r="H60" s="34">
        <f t="shared" si="2"/>
        <v>26398.065152002055</v>
      </c>
    </row>
    <row r="61" spans="2:8" x14ac:dyDescent="0.25">
      <c r="B61" s="19">
        <v>3100</v>
      </c>
      <c r="C61" s="19">
        <v>159.11000000000001</v>
      </c>
      <c r="D61" s="19">
        <f t="shared" si="0"/>
        <v>159110</v>
      </c>
      <c r="E61" s="11"/>
      <c r="F61" s="22">
        <v>860</v>
      </c>
      <c r="G61" s="33">
        <f t="shared" si="1"/>
        <v>26.930873134971698</v>
      </c>
      <c r="H61" s="34">
        <f t="shared" si="2"/>
        <v>26930.873134971698</v>
      </c>
    </row>
    <row r="62" spans="2:8" x14ac:dyDescent="0.25">
      <c r="B62" s="19">
        <v>3150</v>
      </c>
      <c r="C62" s="19">
        <v>162.22</v>
      </c>
      <c r="D62" s="19">
        <f t="shared" si="0"/>
        <v>162220</v>
      </c>
      <c r="E62" s="11"/>
      <c r="F62" s="22">
        <v>870</v>
      </c>
      <c r="G62" s="33">
        <f t="shared" si="1"/>
        <v>27.464190283863147</v>
      </c>
      <c r="H62" s="34">
        <f t="shared" si="2"/>
        <v>27464.190283863147</v>
      </c>
    </row>
    <row r="63" spans="2:8" x14ac:dyDescent="0.25">
      <c r="B63" s="19">
        <v>3200</v>
      </c>
      <c r="C63" s="19">
        <v>165.34</v>
      </c>
      <c r="D63" s="19">
        <f t="shared" si="0"/>
        <v>165340</v>
      </c>
      <c r="E63" s="11"/>
      <c r="F63" s="22">
        <v>880</v>
      </c>
      <c r="G63" s="33">
        <f t="shared" si="1"/>
        <v>27.998016598676394</v>
      </c>
      <c r="H63" s="34">
        <f t="shared" si="2"/>
        <v>27998.016598676393</v>
      </c>
    </row>
    <row r="64" spans="2:8" x14ac:dyDescent="0.25">
      <c r="B64" s="19">
        <v>3250</v>
      </c>
      <c r="C64" s="19">
        <v>168.46</v>
      </c>
      <c r="D64" s="19">
        <f t="shared" si="0"/>
        <v>168460</v>
      </c>
      <c r="E64" s="11"/>
      <c r="F64" s="22">
        <v>890</v>
      </c>
      <c r="G64" s="33">
        <f t="shared" si="1"/>
        <v>28.532352079411446</v>
      </c>
      <c r="H64" s="34">
        <f t="shared" si="2"/>
        <v>28532.352079411445</v>
      </c>
    </row>
    <row r="65" spans="2:8" x14ac:dyDescent="0.25">
      <c r="B65" s="19">
        <v>3300</v>
      </c>
      <c r="C65" s="19">
        <v>171.59</v>
      </c>
      <c r="D65" s="19">
        <f t="shared" si="0"/>
        <v>171590</v>
      </c>
      <c r="E65" s="11"/>
      <c r="F65" s="22">
        <v>900</v>
      </c>
      <c r="G65" s="33">
        <f t="shared" si="1"/>
        <v>29.067196726068296</v>
      </c>
      <c r="H65" s="34">
        <f t="shared" si="2"/>
        <v>29067.196726068298</v>
      </c>
    </row>
    <row r="66" spans="2:8" x14ac:dyDescent="0.25">
      <c r="B66" s="19">
        <v>3350</v>
      </c>
      <c r="C66" s="19">
        <v>174.72</v>
      </c>
      <c r="D66" s="19">
        <f t="shared" si="0"/>
        <v>174720</v>
      </c>
      <c r="E66" s="11"/>
      <c r="F66" s="22">
        <v>910</v>
      </c>
      <c r="G66" s="33">
        <f t="shared" si="1"/>
        <v>29.602550538646952</v>
      </c>
      <c r="H66" s="34">
        <f t="shared" si="2"/>
        <v>29602.550538646952</v>
      </c>
    </row>
    <row r="67" spans="2:8" x14ac:dyDescent="0.25">
      <c r="B67" s="19">
        <v>3400</v>
      </c>
      <c r="C67" s="19">
        <v>177.84</v>
      </c>
      <c r="D67" s="19">
        <f t="shared" si="0"/>
        <v>177840</v>
      </c>
      <c r="E67" s="11"/>
      <c r="F67" s="22">
        <v>920</v>
      </c>
      <c r="G67" s="33">
        <f t="shared" si="1"/>
        <v>30.138413517147399</v>
      </c>
      <c r="H67" s="34">
        <f t="shared" si="2"/>
        <v>30138.413517147397</v>
      </c>
    </row>
    <row r="68" spans="2:8" x14ac:dyDescent="0.25">
      <c r="B68" s="19">
        <v>3450</v>
      </c>
      <c r="C68" s="19">
        <v>180.98</v>
      </c>
      <c r="D68" s="19">
        <f t="shared" si="0"/>
        <v>180980</v>
      </c>
      <c r="E68" s="11"/>
      <c r="F68" s="22">
        <v>930</v>
      </c>
      <c r="G68" s="33">
        <f t="shared" si="1"/>
        <v>30.674785661569651</v>
      </c>
      <c r="H68" s="34">
        <f t="shared" si="2"/>
        <v>30674.785661569651</v>
      </c>
    </row>
    <row r="69" spans="2:8" x14ac:dyDescent="0.25">
      <c r="B69" s="19">
        <v>3500</v>
      </c>
      <c r="C69" s="19">
        <v>184.11</v>
      </c>
      <c r="D69" s="19">
        <f t="shared" ref="D69" si="3">C69*1000</f>
        <v>184110</v>
      </c>
      <c r="E69" s="11"/>
      <c r="F69" s="22">
        <v>940</v>
      </c>
      <c r="G69" s="33">
        <f t="shared" ref="G69:G132" si="4" xml:space="preserve"> 0.000002545829609*F69^2 + 0.048927429665575*F69 - 17.0296119562392</f>
        <v>31.211666971913701</v>
      </c>
      <c r="H69" s="34">
        <f t="shared" ref="H69:H132" si="5">G69*1000</f>
        <v>31211.666971913699</v>
      </c>
    </row>
    <row r="70" spans="2:8" x14ac:dyDescent="0.25">
      <c r="F70" s="22">
        <v>950</v>
      </c>
      <c r="G70" s="33">
        <f t="shared" si="4"/>
        <v>31.749057448179549</v>
      </c>
      <c r="H70" s="34">
        <f t="shared" si="5"/>
        <v>31749.057448179548</v>
      </c>
    </row>
    <row r="71" spans="2:8" x14ac:dyDescent="0.25">
      <c r="F71" s="22">
        <v>960</v>
      </c>
      <c r="G71" s="33">
        <f t="shared" si="4"/>
        <v>32.286957090367203</v>
      </c>
      <c r="H71" s="34">
        <f t="shared" si="5"/>
        <v>32286.957090367203</v>
      </c>
    </row>
    <row r="72" spans="2:8" x14ac:dyDescent="0.25">
      <c r="F72" s="22">
        <v>970</v>
      </c>
      <c r="G72" s="33">
        <f t="shared" si="4"/>
        <v>32.825365898476647</v>
      </c>
      <c r="H72" s="34">
        <f t="shared" si="5"/>
        <v>32825.365898476644</v>
      </c>
    </row>
    <row r="73" spans="2:8" x14ac:dyDescent="0.25">
      <c r="F73" s="22">
        <v>980</v>
      </c>
      <c r="G73" s="33">
        <f t="shared" si="4"/>
        <v>33.364283872507897</v>
      </c>
      <c r="H73" s="34">
        <f t="shared" si="5"/>
        <v>33364.283872507898</v>
      </c>
    </row>
    <row r="74" spans="2:8" x14ac:dyDescent="0.25">
      <c r="F74" s="22">
        <v>990</v>
      </c>
      <c r="G74" s="33">
        <f t="shared" si="4"/>
        <v>33.903711012460946</v>
      </c>
      <c r="H74" s="34">
        <f t="shared" si="5"/>
        <v>33903.711012460946</v>
      </c>
    </row>
    <row r="75" spans="2:8" x14ac:dyDescent="0.25">
      <c r="F75" s="22">
        <v>1000</v>
      </c>
      <c r="G75" s="33">
        <f t="shared" si="4"/>
        <v>34.443647318335799</v>
      </c>
      <c r="H75" s="34">
        <f t="shared" si="5"/>
        <v>34443.647318335796</v>
      </c>
    </row>
    <row r="76" spans="2:8" x14ac:dyDescent="0.25">
      <c r="F76" s="22">
        <v>1010</v>
      </c>
      <c r="G76" s="33">
        <f t="shared" si="4"/>
        <v>34.984092790132451</v>
      </c>
      <c r="H76" s="34">
        <f t="shared" si="5"/>
        <v>34984.092790132454</v>
      </c>
    </row>
    <row r="77" spans="2:8" x14ac:dyDescent="0.25">
      <c r="F77" s="22">
        <v>1020</v>
      </c>
      <c r="G77" s="33">
        <f t="shared" si="4"/>
        <v>35.5250474278509</v>
      </c>
      <c r="H77" s="34">
        <f t="shared" si="5"/>
        <v>35525.047427850899</v>
      </c>
    </row>
    <row r="78" spans="2:8" x14ac:dyDescent="0.25">
      <c r="F78" s="22">
        <v>1030</v>
      </c>
      <c r="G78" s="33">
        <f t="shared" si="4"/>
        <v>36.066511231491148</v>
      </c>
      <c r="H78" s="34">
        <f t="shared" si="5"/>
        <v>36066.511231491146</v>
      </c>
    </row>
    <row r="79" spans="2:8" x14ac:dyDescent="0.25">
      <c r="F79" s="22">
        <v>1040</v>
      </c>
      <c r="G79" s="33">
        <f t="shared" si="4"/>
        <v>36.608484201053201</v>
      </c>
      <c r="H79" s="34">
        <f t="shared" si="5"/>
        <v>36608.484201053201</v>
      </c>
    </row>
    <row r="80" spans="2:8" x14ac:dyDescent="0.25">
      <c r="F80" s="22">
        <v>1050</v>
      </c>
      <c r="G80" s="33">
        <f t="shared" si="4"/>
        <v>37.150966336537053</v>
      </c>
      <c r="H80" s="34">
        <f t="shared" si="5"/>
        <v>37150.966336537051</v>
      </c>
    </row>
    <row r="81" spans="6:8" x14ac:dyDescent="0.25">
      <c r="F81" s="22">
        <v>1060</v>
      </c>
      <c r="G81" s="33">
        <f t="shared" si="4"/>
        <v>37.693957637942702</v>
      </c>
      <c r="H81" s="34">
        <f t="shared" si="5"/>
        <v>37693.957637942702</v>
      </c>
    </row>
    <row r="82" spans="6:8" x14ac:dyDescent="0.25">
      <c r="F82" s="22">
        <v>1070</v>
      </c>
      <c r="G82" s="33">
        <f t="shared" si="4"/>
        <v>38.23745810527015</v>
      </c>
      <c r="H82" s="34">
        <f t="shared" si="5"/>
        <v>38237.458105270147</v>
      </c>
    </row>
    <row r="83" spans="6:8" x14ac:dyDescent="0.25">
      <c r="F83" s="22">
        <v>1080</v>
      </c>
      <c r="G83" s="33">
        <f t="shared" si="4"/>
        <v>38.781467738519403</v>
      </c>
      <c r="H83" s="34">
        <f t="shared" si="5"/>
        <v>38781.467738519401</v>
      </c>
    </row>
    <row r="84" spans="6:8" x14ac:dyDescent="0.25">
      <c r="F84" s="22">
        <v>1090</v>
      </c>
      <c r="G84" s="33">
        <f t="shared" si="4"/>
        <v>39.325986537690447</v>
      </c>
      <c r="H84" s="34">
        <f t="shared" si="5"/>
        <v>39325.986537690449</v>
      </c>
    </row>
    <row r="85" spans="6:8" x14ac:dyDescent="0.25">
      <c r="F85" s="22">
        <v>1100</v>
      </c>
      <c r="G85" s="33">
        <f t="shared" si="4"/>
        <v>39.871014502783297</v>
      </c>
      <c r="H85" s="34">
        <f t="shared" si="5"/>
        <v>39871.014502783299</v>
      </c>
    </row>
    <row r="86" spans="6:8" x14ac:dyDescent="0.25">
      <c r="F86" s="22">
        <v>1110</v>
      </c>
      <c r="G86" s="33">
        <f t="shared" si="4"/>
        <v>40.416551633797944</v>
      </c>
      <c r="H86" s="34">
        <f t="shared" si="5"/>
        <v>40416.551633797942</v>
      </c>
    </row>
    <row r="87" spans="6:8" x14ac:dyDescent="0.25">
      <c r="F87" s="22">
        <v>1120</v>
      </c>
      <c r="G87" s="33">
        <f t="shared" si="4"/>
        <v>40.962597930734397</v>
      </c>
      <c r="H87" s="34">
        <f t="shared" si="5"/>
        <v>40962.597930734395</v>
      </c>
    </row>
    <row r="88" spans="6:8" x14ac:dyDescent="0.25">
      <c r="F88" s="22">
        <v>1130</v>
      </c>
      <c r="G88" s="33">
        <f t="shared" si="4"/>
        <v>41.509153393592648</v>
      </c>
      <c r="H88" s="34">
        <f t="shared" si="5"/>
        <v>41509.153393592649</v>
      </c>
    </row>
    <row r="89" spans="6:8" x14ac:dyDescent="0.25">
      <c r="F89" s="22">
        <v>1140</v>
      </c>
      <c r="G89" s="33">
        <f t="shared" si="4"/>
        <v>42.056218022372697</v>
      </c>
      <c r="H89" s="34">
        <f t="shared" si="5"/>
        <v>42056.218022372697</v>
      </c>
    </row>
    <row r="90" spans="6:8" x14ac:dyDescent="0.25">
      <c r="F90" s="22">
        <v>1150</v>
      </c>
      <c r="G90" s="33">
        <f t="shared" si="4"/>
        <v>42.603791817074551</v>
      </c>
      <c r="H90" s="34">
        <f t="shared" si="5"/>
        <v>42603.791817074554</v>
      </c>
    </row>
    <row r="91" spans="6:8" x14ac:dyDescent="0.25">
      <c r="F91" s="22">
        <v>1160</v>
      </c>
      <c r="G91" s="33">
        <f t="shared" si="4"/>
        <v>43.151874777698197</v>
      </c>
      <c r="H91" s="34">
        <f t="shared" si="5"/>
        <v>43151.874777698198</v>
      </c>
    </row>
    <row r="92" spans="6:8" x14ac:dyDescent="0.25">
      <c r="F92" s="22">
        <v>1170</v>
      </c>
      <c r="G92" s="33">
        <f t="shared" si="4"/>
        <v>43.700466904243648</v>
      </c>
      <c r="H92" s="34">
        <f t="shared" si="5"/>
        <v>43700.466904243651</v>
      </c>
    </row>
    <row r="93" spans="6:8" x14ac:dyDescent="0.25">
      <c r="F93" s="22">
        <v>1180</v>
      </c>
      <c r="G93" s="33">
        <f t="shared" si="4"/>
        <v>44.249568196710904</v>
      </c>
      <c r="H93" s="34">
        <f t="shared" si="5"/>
        <v>44249.568196710905</v>
      </c>
    </row>
    <row r="94" spans="6:8" x14ac:dyDescent="0.25">
      <c r="F94" s="22">
        <v>1190</v>
      </c>
      <c r="G94" s="33">
        <f t="shared" si="4"/>
        <v>44.799178655099951</v>
      </c>
      <c r="H94" s="34">
        <f t="shared" si="5"/>
        <v>44799.178655099953</v>
      </c>
    </row>
    <row r="95" spans="6:8" x14ac:dyDescent="0.25">
      <c r="F95" s="22">
        <v>1200</v>
      </c>
      <c r="G95" s="33">
        <f t="shared" si="4"/>
        <v>45.349298279410796</v>
      </c>
      <c r="H95" s="34">
        <f t="shared" si="5"/>
        <v>45349.298279410796</v>
      </c>
    </row>
    <row r="96" spans="6:8" x14ac:dyDescent="0.25">
      <c r="F96" s="22">
        <v>1210</v>
      </c>
      <c r="G96" s="33">
        <f t="shared" si="4"/>
        <v>45.899927069643446</v>
      </c>
      <c r="H96" s="34">
        <f t="shared" si="5"/>
        <v>45899.927069643447</v>
      </c>
    </row>
    <row r="97" spans="6:8" x14ac:dyDescent="0.25">
      <c r="F97" s="22">
        <v>1220</v>
      </c>
      <c r="G97" s="33">
        <f t="shared" si="4"/>
        <v>46.451065025797895</v>
      </c>
      <c r="H97" s="34">
        <f t="shared" si="5"/>
        <v>46451.065025797892</v>
      </c>
    </row>
    <row r="98" spans="6:8" x14ac:dyDescent="0.25">
      <c r="F98" s="22">
        <v>1230</v>
      </c>
      <c r="G98" s="33">
        <f t="shared" si="4"/>
        <v>47.002712147874142</v>
      </c>
      <c r="H98" s="34">
        <f t="shared" si="5"/>
        <v>47002.712147874139</v>
      </c>
    </row>
    <row r="99" spans="6:8" x14ac:dyDescent="0.25">
      <c r="F99" s="22">
        <v>1240</v>
      </c>
      <c r="G99" s="33">
        <f t="shared" si="4"/>
        <v>47.554868435872201</v>
      </c>
      <c r="H99" s="34">
        <f t="shared" si="5"/>
        <v>47554.868435872202</v>
      </c>
    </row>
    <row r="100" spans="6:8" x14ac:dyDescent="0.25">
      <c r="F100" s="22">
        <v>1250</v>
      </c>
      <c r="G100" s="33">
        <f t="shared" si="4"/>
        <v>48.107533889792045</v>
      </c>
      <c r="H100" s="34">
        <f t="shared" si="5"/>
        <v>48107.533889792045</v>
      </c>
    </row>
    <row r="101" spans="6:8" x14ac:dyDescent="0.25">
      <c r="F101" s="22">
        <v>1260</v>
      </c>
      <c r="G101" s="33">
        <f t="shared" si="4"/>
        <v>48.6607085096337</v>
      </c>
      <c r="H101" s="34">
        <f t="shared" si="5"/>
        <v>48660.708509633703</v>
      </c>
    </row>
    <row r="102" spans="6:8" x14ac:dyDescent="0.25">
      <c r="F102" s="22">
        <v>1270</v>
      </c>
      <c r="G102" s="33">
        <f t="shared" si="4"/>
        <v>49.214392295397154</v>
      </c>
      <c r="H102" s="34">
        <f t="shared" si="5"/>
        <v>49214.392295397156</v>
      </c>
    </row>
    <row r="103" spans="6:8" x14ac:dyDescent="0.25">
      <c r="F103" s="22">
        <v>1280</v>
      </c>
      <c r="G103" s="33">
        <f t="shared" si="4"/>
        <v>49.768585247082406</v>
      </c>
      <c r="H103" s="34">
        <f t="shared" si="5"/>
        <v>49768.585247082403</v>
      </c>
    </row>
    <row r="104" spans="6:8" x14ac:dyDescent="0.25">
      <c r="F104" s="22">
        <v>1290</v>
      </c>
      <c r="G104" s="33">
        <f t="shared" si="4"/>
        <v>50.323287364689456</v>
      </c>
      <c r="H104" s="34">
        <f t="shared" si="5"/>
        <v>50323.287364689459</v>
      </c>
    </row>
    <row r="105" spans="6:8" x14ac:dyDescent="0.25">
      <c r="F105" s="22">
        <v>1300</v>
      </c>
      <c r="G105" s="33">
        <f t="shared" si="4"/>
        <v>50.878498648218304</v>
      </c>
      <c r="H105" s="34">
        <f t="shared" si="5"/>
        <v>50878.498648218301</v>
      </c>
    </row>
    <row r="106" spans="6:8" x14ac:dyDescent="0.25">
      <c r="F106" s="22">
        <v>1310</v>
      </c>
      <c r="G106" s="33">
        <f t="shared" si="4"/>
        <v>51.434219097668951</v>
      </c>
      <c r="H106" s="34">
        <f t="shared" si="5"/>
        <v>51434.219097668953</v>
      </c>
    </row>
    <row r="107" spans="6:8" x14ac:dyDescent="0.25">
      <c r="F107" s="22">
        <v>1320</v>
      </c>
      <c r="G107" s="33">
        <f t="shared" si="4"/>
        <v>51.990448713041395</v>
      </c>
      <c r="H107" s="34">
        <f t="shared" si="5"/>
        <v>51990.448713041398</v>
      </c>
    </row>
    <row r="108" spans="6:8" x14ac:dyDescent="0.25">
      <c r="F108" s="22">
        <v>1330</v>
      </c>
      <c r="G108" s="33">
        <f t="shared" si="4"/>
        <v>52.547187494335653</v>
      </c>
      <c r="H108" s="34">
        <f t="shared" si="5"/>
        <v>52547.187494335652</v>
      </c>
    </row>
    <row r="109" spans="6:8" x14ac:dyDescent="0.25">
      <c r="F109" s="22">
        <v>1340</v>
      </c>
      <c r="G109" s="33">
        <f t="shared" si="4"/>
        <v>53.104435441551693</v>
      </c>
      <c r="H109" s="34">
        <f t="shared" si="5"/>
        <v>53104.435441551694</v>
      </c>
    </row>
    <row r="110" spans="6:8" x14ac:dyDescent="0.25">
      <c r="F110" s="22">
        <v>1350</v>
      </c>
      <c r="G110" s="33">
        <f t="shared" si="4"/>
        <v>53.662192554689547</v>
      </c>
      <c r="H110" s="34">
        <f t="shared" si="5"/>
        <v>53662.192554689544</v>
      </c>
    </row>
    <row r="111" spans="6:8" x14ac:dyDescent="0.25">
      <c r="F111" s="22">
        <v>1360</v>
      </c>
      <c r="G111" s="33">
        <f t="shared" si="4"/>
        <v>54.220458833749198</v>
      </c>
      <c r="H111" s="34">
        <f t="shared" si="5"/>
        <v>54220.458833749195</v>
      </c>
    </row>
    <row r="112" spans="6:8" x14ac:dyDescent="0.25">
      <c r="F112" s="22">
        <v>1370</v>
      </c>
      <c r="G112" s="33">
        <f t="shared" si="4"/>
        <v>54.779234278730648</v>
      </c>
      <c r="H112" s="34">
        <f t="shared" si="5"/>
        <v>54779.234278730648</v>
      </c>
    </row>
    <row r="113" spans="6:8" x14ac:dyDescent="0.25">
      <c r="F113" s="22">
        <v>1380</v>
      </c>
      <c r="G113" s="33">
        <f t="shared" si="4"/>
        <v>55.338518889633896</v>
      </c>
      <c r="H113" s="34">
        <f t="shared" si="5"/>
        <v>55338.518889633895</v>
      </c>
    </row>
    <row r="114" spans="6:8" x14ac:dyDescent="0.25">
      <c r="F114" s="22">
        <v>1390</v>
      </c>
      <c r="G114" s="33">
        <f t="shared" si="4"/>
        <v>55.898312666458956</v>
      </c>
      <c r="H114" s="34">
        <f t="shared" si="5"/>
        <v>55898.312666458958</v>
      </c>
    </row>
    <row r="115" spans="6:8" x14ac:dyDescent="0.25">
      <c r="F115" s="22">
        <v>1400</v>
      </c>
      <c r="G115" s="33">
        <f t="shared" si="4"/>
        <v>56.4586156092058</v>
      </c>
      <c r="H115" s="34">
        <f t="shared" si="5"/>
        <v>56458.615609205801</v>
      </c>
    </row>
    <row r="116" spans="6:8" x14ac:dyDescent="0.25">
      <c r="F116" s="22">
        <v>1410</v>
      </c>
      <c r="G116" s="33">
        <f t="shared" si="4"/>
        <v>57.019427717874457</v>
      </c>
      <c r="H116" s="34">
        <f t="shared" si="5"/>
        <v>57019.42771787446</v>
      </c>
    </row>
    <row r="117" spans="6:8" x14ac:dyDescent="0.25">
      <c r="F117" s="22">
        <v>1420</v>
      </c>
      <c r="G117" s="33">
        <f t="shared" si="4"/>
        <v>57.580748992464898</v>
      </c>
      <c r="H117" s="34">
        <f t="shared" si="5"/>
        <v>57580.748992464898</v>
      </c>
    </row>
    <row r="118" spans="6:8" x14ac:dyDescent="0.25">
      <c r="F118" s="22">
        <v>1430</v>
      </c>
      <c r="G118" s="33">
        <f t="shared" si="4"/>
        <v>58.142579432977151</v>
      </c>
      <c r="H118" s="34">
        <f t="shared" si="5"/>
        <v>58142.579432977152</v>
      </c>
    </row>
    <row r="119" spans="6:8" x14ac:dyDescent="0.25">
      <c r="F119" s="22">
        <v>1440</v>
      </c>
      <c r="G119" s="33">
        <f t="shared" si="4"/>
        <v>58.704919039411202</v>
      </c>
      <c r="H119" s="34">
        <f t="shared" si="5"/>
        <v>58704.919039411201</v>
      </c>
    </row>
    <row r="120" spans="6:8" x14ac:dyDescent="0.25">
      <c r="F120" s="22">
        <v>1450</v>
      </c>
      <c r="G120" s="33">
        <f t="shared" si="4"/>
        <v>59.267767811767051</v>
      </c>
      <c r="H120" s="34">
        <f t="shared" si="5"/>
        <v>59267.767811767051</v>
      </c>
    </row>
    <row r="121" spans="6:8" x14ac:dyDescent="0.25">
      <c r="F121" s="22">
        <v>1460</v>
      </c>
      <c r="G121" s="33">
        <f t="shared" si="4"/>
        <v>59.831125750044698</v>
      </c>
      <c r="H121" s="34">
        <f t="shared" si="5"/>
        <v>59831.125750044695</v>
      </c>
    </row>
    <row r="122" spans="6:8" x14ac:dyDescent="0.25">
      <c r="F122" s="22">
        <v>1470</v>
      </c>
      <c r="G122" s="33">
        <f t="shared" si="4"/>
        <v>60.394992854244158</v>
      </c>
      <c r="H122" s="34">
        <f t="shared" si="5"/>
        <v>60394.992854244156</v>
      </c>
    </row>
    <row r="123" spans="6:8" x14ac:dyDescent="0.25">
      <c r="F123" s="22">
        <v>1480</v>
      </c>
      <c r="G123" s="33">
        <f t="shared" si="4"/>
        <v>60.959369124365388</v>
      </c>
      <c r="H123" s="34">
        <f t="shared" si="5"/>
        <v>60959.369124365388</v>
      </c>
    </row>
    <row r="124" spans="6:8" x14ac:dyDescent="0.25">
      <c r="F124" s="22">
        <v>1490</v>
      </c>
      <c r="G124" s="33">
        <f t="shared" si="4"/>
        <v>61.524254560408444</v>
      </c>
      <c r="H124" s="34">
        <f t="shared" si="5"/>
        <v>61524.254560408444</v>
      </c>
    </row>
    <row r="125" spans="6:8" x14ac:dyDescent="0.25">
      <c r="F125" s="22">
        <v>1500</v>
      </c>
      <c r="G125" s="33">
        <f t="shared" si="4"/>
        <v>62.089649162373298</v>
      </c>
      <c r="H125" s="34">
        <f t="shared" si="5"/>
        <v>62089.649162373302</v>
      </c>
    </row>
    <row r="126" spans="6:8" x14ac:dyDescent="0.25">
      <c r="F126" s="22">
        <v>1510</v>
      </c>
      <c r="G126" s="33">
        <f t="shared" si="4"/>
        <v>62.655552930259937</v>
      </c>
      <c r="H126" s="34">
        <f t="shared" si="5"/>
        <v>62655.552930259939</v>
      </c>
    </row>
    <row r="127" spans="6:8" x14ac:dyDescent="0.25">
      <c r="F127" s="22">
        <v>1520</v>
      </c>
      <c r="G127" s="33">
        <f t="shared" si="4"/>
        <v>63.221965864068387</v>
      </c>
      <c r="H127" s="34">
        <f t="shared" si="5"/>
        <v>63221.965864068385</v>
      </c>
    </row>
    <row r="128" spans="6:8" x14ac:dyDescent="0.25">
      <c r="F128" s="22">
        <v>1530</v>
      </c>
      <c r="G128" s="33">
        <f t="shared" si="4"/>
        <v>63.788887963798651</v>
      </c>
      <c r="H128" s="34">
        <f t="shared" si="5"/>
        <v>63788.887963798654</v>
      </c>
    </row>
    <row r="129" spans="6:8" x14ac:dyDescent="0.25">
      <c r="F129" s="22">
        <v>1540</v>
      </c>
      <c r="G129" s="33">
        <f t="shared" si="4"/>
        <v>64.356319229450691</v>
      </c>
      <c r="H129" s="34">
        <f t="shared" si="5"/>
        <v>64356.319229450688</v>
      </c>
    </row>
    <row r="130" spans="6:8" x14ac:dyDescent="0.25">
      <c r="F130" s="22">
        <v>1550</v>
      </c>
      <c r="G130" s="33">
        <f t="shared" si="4"/>
        <v>64.924259661024536</v>
      </c>
      <c r="H130" s="34">
        <f t="shared" si="5"/>
        <v>64924.259661024538</v>
      </c>
    </row>
    <row r="131" spans="6:8" x14ac:dyDescent="0.25">
      <c r="F131" s="22">
        <v>1560</v>
      </c>
      <c r="G131" s="33">
        <f t="shared" si="4"/>
        <v>65.492709258520193</v>
      </c>
      <c r="H131" s="34">
        <f t="shared" si="5"/>
        <v>65492.70925852019</v>
      </c>
    </row>
    <row r="132" spans="6:8" x14ac:dyDescent="0.25">
      <c r="F132" s="22">
        <v>1570</v>
      </c>
      <c r="G132" s="33">
        <f t="shared" si="4"/>
        <v>66.061668021937635</v>
      </c>
      <c r="H132" s="34">
        <f t="shared" si="5"/>
        <v>66061.668021937629</v>
      </c>
    </row>
    <row r="133" spans="6:8" x14ac:dyDescent="0.25">
      <c r="F133" s="22">
        <v>1580</v>
      </c>
      <c r="G133" s="33">
        <f t="shared" ref="G133:G196" si="6" xml:space="preserve"> 0.000002545829609*F133^2 + 0.048927429665575*F133 - 17.0296119562392</f>
        <v>66.631135951276889</v>
      </c>
      <c r="H133" s="34">
        <f t="shared" ref="H133:H196" si="7">G133*1000</f>
        <v>66631.135951276883</v>
      </c>
    </row>
    <row r="134" spans="6:8" x14ac:dyDescent="0.25">
      <c r="F134" s="22">
        <v>1590</v>
      </c>
      <c r="G134" s="33">
        <f t="shared" si="6"/>
        <v>67.201113046537955</v>
      </c>
      <c r="H134" s="34">
        <f t="shared" si="7"/>
        <v>67201.113046537954</v>
      </c>
    </row>
    <row r="135" spans="6:8" x14ac:dyDescent="0.25">
      <c r="F135" s="22">
        <v>1600</v>
      </c>
      <c r="G135" s="33">
        <f t="shared" si="6"/>
        <v>67.771599307720805</v>
      </c>
      <c r="H135" s="34">
        <f t="shared" si="7"/>
        <v>67771.599307720811</v>
      </c>
    </row>
    <row r="136" spans="6:8" x14ac:dyDescent="0.25">
      <c r="F136" s="22">
        <v>1610</v>
      </c>
      <c r="G136" s="33">
        <f t="shared" si="6"/>
        <v>68.34259473482544</v>
      </c>
      <c r="H136" s="34">
        <f t="shared" si="7"/>
        <v>68342.594734825441</v>
      </c>
    </row>
    <row r="137" spans="6:8" x14ac:dyDescent="0.25">
      <c r="F137" s="22">
        <v>1620</v>
      </c>
      <c r="G137" s="33">
        <f t="shared" si="6"/>
        <v>68.914099327851886</v>
      </c>
      <c r="H137" s="34">
        <f t="shared" si="7"/>
        <v>68914.099327851887</v>
      </c>
    </row>
    <row r="138" spans="6:8" x14ac:dyDescent="0.25">
      <c r="F138" s="22">
        <v>1630</v>
      </c>
      <c r="G138" s="33">
        <f t="shared" si="6"/>
        <v>69.486113086800145</v>
      </c>
      <c r="H138" s="34">
        <f t="shared" si="7"/>
        <v>69486.113086800149</v>
      </c>
    </row>
    <row r="139" spans="6:8" x14ac:dyDescent="0.25">
      <c r="F139" s="22">
        <v>1640</v>
      </c>
      <c r="G139" s="33">
        <f t="shared" si="6"/>
        <v>70.058636011670188</v>
      </c>
      <c r="H139" s="34">
        <f t="shared" si="7"/>
        <v>70058.636011670184</v>
      </c>
    </row>
    <row r="140" spans="6:8" x14ac:dyDescent="0.25">
      <c r="F140" s="22">
        <v>1650</v>
      </c>
      <c r="G140" s="33">
        <f t="shared" si="6"/>
        <v>70.631668102462044</v>
      </c>
      <c r="H140" s="34">
        <f t="shared" si="7"/>
        <v>70631.668102462048</v>
      </c>
    </row>
    <row r="141" spans="6:8" x14ac:dyDescent="0.25">
      <c r="F141" s="22">
        <v>1660</v>
      </c>
      <c r="G141" s="33">
        <f t="shared" si="6"/>
        <v>71.205209359175711</v>
      </c>
      <c r="H141" s="34">
        <f t="shared" si="7"/>
        <v>71205.209359175715</v>
      </c>
    </row>
    <row r="142" spans="6:8" x14ac:dyDescent="0.25">
      <c r="F142" s="22">
        <v>1670</v>
      </c>
      <c r="G142" s="33">
        <f t="shared" si="6"/>
        <v>71.779259781811163</v>
      </c>
      <c r="H142" s="34">
        <f t="shared" si="7"/>
        <v>71779.259781811168</v>
      </c>
    </row>
    <row r="143" spans="6:8" x14ac:dyDescent="0.25">
      <c r="F143" s="22">
        <v>1680</v>
      </c>
      <c r="G143" s="33">
        <f t="shared" si="6"/>
        <v>72.353819370368399</v>
      </c>
      <c r="H143" s="34">
        <f t="shared" si="7"/>
        <v>72353.819370368394</v>
      </c>
    </row>
    <row r="144" spans="6:8" x14ac:dyDescent="0.25">
      <c r="F144" s="22">
        <v>1690</v>
      </c>
      <c r="G144" s="33">
        <f t="shared" si="6"/>
        <v>72.928888124847447</v>
      </c>
      <c r="H144" s="34">
        <f t="shared" si="7"/>
        <v>72928.88812484745</v>
      </c>
    </row>
    <row r="145" spans="6:8" x14ac:dyDescent="0.25">
      <c r="F145" s="22">
        <v>1700</v>
      </c>
      <c r="G145" s="33">
        <f t="shared" si="6"/>
        <v>73.504466045248307</v>
      </c>
      <c r="H145" s="34">
        <f t="shared" si="7"/>
        <v>73504.466045248308</v>
      </c>
    </row>
    <row r="146" spans="6:8" x14ac:dyDescent="0.25">
      <c r="F146" s="22">
        <v>1710</v>
      </c>
      <c r="G146" s="33">
        <f t="shared" si="6"/>
        <v>74.080553131570952</v>
      </c>
      <c r="H146" s="34">
        <f t="shared" si="7"/>
        <v>74080.553131570952</v>
      </c>
    </row>
    <row r="147" spans="6:8" x14ac:dyDescent="0.25">
      <c r="F147" s="22">
        <v>1720</v>
      </c>
      <c r="G147" s="33">
        <f t="shared" si="6"/>
        <v>74.65714938381538</v>
      </c>
      <c r="H147" s="34">
        <f t="shared" si="7"/>
        <v>74657.149383815384</v>
      </c>
    </row>
    <row r="148" spans="6:8" x14ac:dyDescent="0.25">
      <c r="F148" s="22">
        <v>1730</v>
      </c>
      <c r="G148" s="33">
        <f t="shared" si="6"/>
        <v>75.234254801981649</v>
      </c>
      <c r="H148" s="34">
        <f t="shared" si="7"/>
        <v>75234.254801981646</v>
      </c>
    </row>
    <row r="149" spans="6:8" x14ac:dyDescent="0.25">
      <c r="F149" s="22">
        <v>1740</v>
      </c>
      <c r="G149" s="33">
        <f t="shared" si="6"/>
        <v>75.811869386069702</v>
      </c>
      <c r="H149" s="34">
        <f t="shared" si="7"/>
        <v>75811.869386069709</v>
      </c>
    </row>
    <row r="150" spans="6:8" x14ac:dyDescent="0.25">
      <c r="F150" s="22">
        <v>1750</v>
      </c>
      <c r="G150" s="33">
        <f t="shared" si="6"/>
        <v>76.389993136079539</v>
      </c>
      <c r="H150" s="34">
        <f t="shared" si="7"/>
        <v>76389.993136079545</v>
      </c>
    </row>
    <row r="151" spans="6:8" x14ac:dyDescent="0.25">
      <c r="F151" s="22">
        <v>1760</v>
      </c>
      <c r="G151" s="33">
        <f t="shared" si="6"/>
        <v>76.968626052011189</v>
      </c>
      <c r="H151" s="34">
        <f t="shared" si="7"/>
        <v>76968.626052011183</v>
      </c>
    </row>
    <row r="152" spans="6:8" x14ac:dyDescent="0.25">
      <c r="F152" s="22">
        <v>1770</v>
      </c>
      <c r="G152" s="33">
        <f t="shared" si="6"/>
        <v>77.547768133864651</v>
      </c>
      <c r="H152" s="34">
        <f t="shared" si="7"/>
        <v>77547.768133864651</v>
      </c>
    </row>
    <row r="153" spans="6:8" x14ac:dyDescent="0.25">
      <c r="F153" s="22">
        <v>1780</v>
      </c>
      <c r="G153" s="33">
        <f t="shared" si="6"/>
        <v>78.127419381639896</v>
      </c>
      <c r="H153" s="34">
        <f t="shared" si="7"/>
        <v>78127.419381639891</v>
      </c>
    </row>
    <row r="154" spans="6:8" x14ac:dyDescent="0.25">
      <c r="F154" s="22">
        <v>1790</v>
      </c>
      <c r="G154" s="33">
        <f t="shared" si="6"/>
        <v>78.707579795336954</v>
      </c>
      <c r="H154" s="34">
        <f t="shared" si="7"/>
        <v>78707.579795336947</v>
      </c>
    </row>
    <row r="155" spans="6:8" x14ac:dyDescent="0.25">
      <c r="F155" s="22">
        <v>1800</v>
      </c>
      <c r="G155" s="33">
        <f t="shared" si="6"/>
        <v>79.288249374955797</v>
      </c>
      <c r="H155" s="34">
        <f t="shared" si="7"/>
        <v>79288.249374955791</v>
      </c>
    </row>
    <row r="156" spans="6:8" x14ac:dyDescent="0.25">
      <c r="F156" s="22">
        <v>1810</v>
      </c>
      <c r="G156" s="33">
        <f t="shared" si="6"/>
        <v>79.869428120496451</v>
      </c>
      <c r="H156" s="34">
        <f t="shared" si="7"/>
        <v>79869.42812049645</v>
      </c>
    </row>
    <row r="157" spans="6:8" x14ac:dyDescent="0.25">
      <c r="F157" s="22">
        <v>1820</v>
      </c>
      <c r="G157" s="33">
        <f t="shared" si="6"/>
        <v>80.45111603195889</v>
      </c>
      <c r="H157" s="34">
        <f t="shared" si="7"/>
        <v>80451.116031958896</v>
      </c>
    </row>
    <row r="158" spans="6:8" x14ac:dyDescent="0.25">
      <c r="F158" s="22">
        <v>1830</v>
      </c>
      <c r="G158" s="33">
        <f t="shared" si="6"/>
        <v>81.03331310934314</v>
      </c>
      <c r="H158" s="34">
        <f t="shared" si="7"/>
        <v>81033.313109343144</v>
      </c>
    </row>
    <row r="159" spans="6:8" x14ac:dyDescent="0.25">
      <c r="F159" s="22">
        <v>1840</v>
      </c>
      <c r="G159" s="33">
        <f t="shared" si="6"/>
        <v>81.616019352649204</v>
      </c>
      <c r="H159" s="34">
        <f t="shared" si="7"/>
        <v>81616.019352649208</v>
      </c>
    </row>
    <row r="160" spans="6:8" x14ac:dyDescent="0.25">
      <c r="F160" s="22">
        <v>1850</v>
      </c>
      <c r="G160" s="33">
        <f t="shared" si="6"/>
        <v>82.199234761877051</v>
      </c>
      <c r="H160" s="34">
        <f t="shared" si="7"/>
        <v>82199.234761877044</v>
      </c>
    </row>
    <row r="161" spans="6:8" x14ac:dyDescent="0.25">
      <c r="F161" s="22">
        <v>1860</v>
      </c>
      <c r="G161" s="33">
        <f t="shared" si="6"/>
        <v>82.782959337026711</v>
      </c>
      <c r="H161" s="34">
        <f t="shared" si="7"/>
        <v>82782.95933702671</v>
      </c>
    </row>
    <row r="162" spans="6:8" x14ac:dyDescent="0.25">
      <c r="F162" s="22">
        <v>1870</v>
      </c>
      <c r="G162" s="33">
        <f t="shared" si="6"/>
        <v>83.367193078098154</v>
      </c>
      <c r="H162" s="34">
        <f t="shared" si="7"/>
        <v>83367.193078098149</v>
      </c>
    </row>
    <row r="163" spans="6:8" x14ac:dyDescent="0.25">
      <c r="F163" s="22">
        <v>1880</v>
      </c>
      <c r="G163" s="33">
        <f t="shared" si="6"/>
        <v>83.95193598509141</v>
      </c>
      <c r="H163" s="34">
        <f t="shared" si="7"/>
        <v>83951.935985091404</v>
      </c>
    </row>
    <row r="164" spans="6:8" x14ac:dyDescent="0.25">
      <c r="F164" s="22">
        <v>1890</v>
      </c>
      <c r="G164" s="33">
        <f t="shared" si="6"/>
        <v>84.53718805800645</v>
      </c>
      <c r="H164" s="34">
        <f t="shared" si="7"/>
        <v>84537.188058006446</v>
      </c>
    </row>
    <row r="165" spans="6:8" x14ac:dyDescent="0.25">
      <c r="F165" s="22">
        <v>1900</v>
      </c>
      <c r="G165" s="33">
        <f t="shared" si="6"/>
        <v>85.122949296843302</v>
      </c>
      <c r="H165" s="34">
        <f t="shared" si="7"/>
        <v>85122.949296843304</v>
      </c>
    </row>
    <row r="166" spans="6:8" x14ac:dyDescent="0.25">
      <c r="F166" s="22">
        <v>1910</v>
      </c>
      <c r="G166" s="33">
        <f t="shared" si="6"/>
        <v>85.709219701601967</v>
      </c>
      <c r="H166" s="34">
        <f t="shared" si="7"/>
        <v>85709.219701601964</v>
      </c>
    </row>
    <row r="167" spans="6:8" x14ac:dyDescent="0.25">
      <c r="F167" s="22">
        <v>1920</v>
      </c>
      <c r="G167" s="33">
        <f t="shared" si="6"/>
        <v>86.295999272282415</v>
      </c>
      <c r="H167" s="34">
        <f t="shared" si="7"/>
        <v>86295.99927228241</v>
      </c>
    </row>
    <row r="168" spans="6:8" x14ac:dyDescent="0.25">
      <c r="F168" s="22">
        <v>1930</v>
      </c>
      <c r="G168" s="33">
        <f t="shared" si="6"/>
        <v>86.883288008884648</v>
      </c>
      <c r="H168" s="34">
        <f t="shared" si="7"/>
        <v>86883.288008884643</v>
      </c>
    </row>
    <row r="169" spans="6:8" x14ac:dyDescent="0.25">
      <c r="F169" s="22">
        <v>1940</v>
      </c>
      <c r="G169" s="33">
        <f t="shared" si="6"/>
        <v>87.471085911408693</v>
      </c>
      <c r="H169" s="34">
        <f t="shared" si="7"/>
        <v>87471.085911408692</v>
      </c>
    </row>
    <row r="170" spans="6:8" x14ac:dyDescent="0.25">
      <c r="F170" s="22">
        <v>1950</v>
      </c>
      <c r="G170" s="33">
        <f t="shared" si="6"/>
        <v>88.05939297985455</v>
      </c>
      <c r="H170" s="34">
        <f t="shared" si="7"/>
        <v>88059.392979854543</v>
      </c>
    </row>
    <row r="171" spans="6:8" x14ac:dyDescent="0.25">
      <c r="F171" s="22">
        <v>1960</v>
      </c>
      <c r="G171" s="33">
        <f t="shared" si="6"/>
        <v>88.648209214222192</v>
      </c>
      <c r="H171" s="34">
        <f t="shared" si="7"/>
        <v>88648.209214222195</v>
      </c>
    </row>
    <row r="172" spans="6:8" x14ac:dyDescent="0.25">
      <c r="F172" s="22">
        <v>1970</v>
      </c>
      <c r="G172" s="33">
        <f t="shared" si="6"/>
        <v>89.237534614511645</v>
      </c>
      <c r="H172" s="34">
        <f t="shared" si="7"/>
        <v>89237.534614511649</v>
      </c>
    </row>
    <row r="173" spans="6:8" x14ac:dyDescent="0.25">
      <c r="F173" s="22">
        <v>1980</v>
      </c>
      <c r="G173" s="33">
        <f t="shared" si="6"/>
        <v>89.827369180722883</v>
      </c>
      <c r="H173" s="34">
        <f t="shared" si="7"/>
        <v>89827.36918072289</v>
      </c>
    </row>
    <row r="174" spans="6:8" x14ac:dyDescent="0.25">
      <c r="F174" s="22">
        <v>1990</v>
      </c>
      <c r="G174" s="33">
        <f t="shared" si="6"/>
        <v>90.417712912855933</v>
      </c>
      <c r="H174" s="34">
        <f t="shared" si="7"/>
        <v>90417.712912855932</v>
      </c>
    </row>
    <row r="175" spans="6:8" x14ac:dyDescent="0.25">
      <c r="F175" s="22">
        <v>2000</v>
      </c>
      <c r="G175" s="33">
        <f t="shared" si="6"/>
        <v>91.008565810910795</v>
      </c>
      <c r="H175" s="34">
        <f t="shared" si="7"/>
        <v>91008.56581091079</v>
      </c>
    </row>
    <row r="176" spans="6:8" x14ac:dyDescent="0.25">
      <c r="F176" s="22">
        <v>2010</v>
      </c>
      <c r="G176" s="33">
        <f t="shared" si="6"/>
        <v>91.599927874887442</v>
      </c>
      <c r="H176" s="34">
        <f t="shared" si="7"/>
        <v>91599.927874887435</v>
      </c>
    </row>
    <row r="177" spans="6:8" x14ac:dyDescent="0.25">
      <c r="F177" s="22">
        <v>2020</v>
      </c>
      <c r="G177" s="33">
        <f t="shared" si="6"/>
        <v>92.1917991047859</v>
      </c>
      <c r="H177" s="34">
        <f t="shared" si="7"/>
        <v>92191.799104785896</v>
      </c>
    </row>
    <row r="178" spans="6:8" x14ac:dyDescent="0.25">
      <c r="F178" s="22">
        <v>2030</v>
      </c>
      <c r="G178" s="33">
        <f t="shared" si="6"/>
        <v>92.784179500606143</v>
      </c>
      <c r="H178" s="34">
        <f t="shared" si="7"/>
        <v>92784.179500606144</v>
      </c>
    </row>
    <row r="179" spans="6:8" x14ac:dyDescent="0.25">
      <c r="F179" s="22">
        <v>2040</v>
      </c>
      <c r="G179" s="33">
        <f t="shared" si="6"/>
        <v>93.377069062348198</v>
      </c>
      <c r="H179" s="34">
        <f t="shared" si="7"/>
        <v>93377.069062348193</v>
      </c>
    </row>
    <row r="180" spans="6:8" x14ac:dyDescent="0.25">
      <c r="F180" s="22">
        <v>2050</v>
      </c>
      <c r="G180" s="33">
        <f t="shared" si="6"/>
        <v>93.970467790012037</v>
      </c>
      <c r="H180" s="34">
        <f t="shared" si="7"/>
        <v>93970.467790012044</v>
      </c>
    </row>
    <row r="181" spans="6:8" x14ac:dyDescent="0.25">
      <c r="F181" s="22">
        <v>2060</v>
      </c>
      <c r="G181" s="33">
        <f t="shared" si="6"/>
        <v>94.564375683597689</v>
      </c>
      <c r="H181" s="34">
        <f t="shared" si="7"/>
        <v>94564.375683597682</v>
      </c>
    </row>
    <row r="182" spans="6:8" x14ac:dyDescent="0.25">
      <c r="F182" s="22">
        <v>2070</v>
      </c>
      <c r="G182" s="33">
        <f t="shared" si="6"/>
        <v>95.158792743105153</v>
      </c>
      <c r="H182" s="34">
        <f t="shared" si="7"/>
        <v>95158.79274310515</v>
      </c>
    </row>
    <row r="183" spans="6:8" x14ac:dyDescent="0.25">
      <c r="F183" s="22">
        <v>2080</v>
      </c>
      <c r="G183" s="33">
        <f t="shared" si="6"/>
        <v>95.7537189685344</v>
      </c>
      <c r="H183" s="34">
        <f t="shared" si="7"/>
        <v>95753.718968534406</v>
      </c>
    </row>
    <row r="184" spans="6:8" x14ac:dyDescent="0.25">
      <c r="F184" s="22">
        <v>2090</v>
      </c>
      <c r="G184" s="33">
        <f t="shared" si="6"/>
        <v>96.349154359885461</v>
      </c>
      <c r="H184" s="34">
        <f t="shared" si="7"/>
        <v>96349.154359885462</v>
      </c>
    </row>
    <row r="185" spans="6:8" x14ac:dyDescent="0.25">
      <c r="F185" s="22">
        <v>2100</v>
      </c>
      <c r="G185" s="33">
        <f t="shared" si="6"/>
        <v>96.945098917158305</v>
      </c>
      <c r="H185" s="34">
        <f t="shared" si="7"/>
        <v>96945.098917158306</v>
      </c>
    </row>
    <row r="186" spans="6:8" x14ac:dyDescent="0.25">
      <c r="F186" s="22">
        <v>2110</v>
      </c>
      <c r="G186" s="33">
        <f t="shared" si="6"/>
        <v>97.541552640352961</v>
      </c>
      <c r="H186" s="34">
        <f t="shared" si="7"/>
        <v>97541.552640352966</v>
      </c>
    </row>
    <row r="187" spans="6:8" x14ac:dyDescent="0.25">
      <c r="F187" s="22">
        <v>2120</v>
      </c>
      <c r="G187" s="33">
        <f t="shared" si="6"/>
        <v>98.138515529469402</v>
      </c>
      <c r="H187" s="34">
        <f t="shared" si="7"/>
        <v>98138.515529469398</v>
      </c>
    </row>
    <row r="188" spans="6:8" x14ac:dyDescent="0.25">
      <c r="F188" s="22">
        <v>2130</v>
      </c>
      <c r="G188" s="33">
        <f t="shared" si="6"/>
        <v>98.735987584507654</v>
      </c>
      <c r="H188" s="34">
        <f t="shared" si="7"/>
        <v>98735.98758450766</v>
      </c>
    </row>
    <row r="189" spans="6:8" x14ac:dyDescent="0.25">
      <c r="F189" s="22">
        <v>2140</v>
      </c>
      <c r="G189" s="33">
        <f t="shared" si="6"/>
        <v>99.333968805467691</v>
      </c>
      <c r="H189" s="34">
        <f t="shared" si="7"/>
        <v>99333.968805467695</v>
      </c>
    </row>
    <row r="190" spans="6:8" x14ac:dyDescent="0.25">
      <c r="F190" s="22">
        <v>2150</v>
      </c>
      <c r="G190" s="33">
        <f t="shared" si="6"/>
        <v>99.932459192349569</v>
      </c>
      <c r="H190" s="34">
        <f t="shared" si="7"/>
        <v>99932.459192349575</v>
      </c>
    </row>
    <row r="191" spans="6:8" x14ac:dyDescent="0.25">
      <c r="F191" s="22">
        <v>2160</v>
      </c>
      <c r="G191" s="33">
        <f t="shared" si="6"/>
        <v>100.5314587451532</v>
      </c>
      <c r="H191" s="34">
        <f t="shared" si="7"/>
        <v>100531.4587451532</v>
      </c>
    </row>
    <row r="192" spans="6:8" x14ac:dyDescent="0.25">
      <c r="F192" s="22">
        <v>2170</v>
      </c>
      <c r="G192" s="33">
        <f t="shared" si="6"/>
        <v>101.13096746387865</v>
      </c>
      <c r="H192" s="34">
        <f t="shared" si="7"/>
        <v>101130.96746387865</v>
      </c>
    </row>
    <row r="193" spans="6:8" x14ac:dyDescent="0.25">
      <c r="F193" s="22">
        <v>2180</v>
      </c>
      <c r="G193" s="33">
        <f t="shared" si="6"/>
        <v>101.73098534852591</v>
      </c>
      <c r="H193" s="34">
        <f t="shared" si="7"/>
        <v>101730.98534852591</v>
      </c>
    </row>
    <row r="194" spans="6:8" x14ac:dyDescent="0.25">
      <c r="F194" s="22">
        <v>2190</v>
      </c>
      <c r="G194" s="33">
        <f t="shared" si="6"/>
        <v>102.33151239909495</v>
      </c>
      <c r="H194" s="34">
        <f t="shared" si="7"/>
        <v>102331.51239909495</v>
      </c>
    </row>
    <row r="195" spans="6:8" x14ac:dyDescent="0.25">
      <c r="F195" s="22">
        <v>2200</v>
      </c>
      <c r="G195" s="33">
        <f t="shared" si="6"/>
        <v>102.9325486155858</v>
      </c>
      <c r="H195" s="34">
        <f t="shared" si="7"/>
        <v>102932.54861558581</v>
      </c>
    </row>
    <row r="196" spans="6:8" x14ac:dyDescent="0.25">
      <c r="F196" s="22">
        <v>2210</v>
      </c>
      <c r="G196" s="33">
        <f t="shared" si="6"/>
        <v>103.53409399799844</v>
      </c>
      <c r="H196" s="34">
        <f t="shared" si="7"/>
        <v>103534.09399799844</v>
      </c>
    </row>
    <row r="197" spans="6:8" x14ac:dyDescent="0.25">
      <c r="F197" s="22">
        <v>2220</v>
      </c>
      <c r="G197" s="33">
        <f t="shared" ref="G197:G260" si="8" xml:space="preserve"> 0.000002545829609*F197^2 + 0.048927429665575*F197 - 17.0296119562392</f>
        <v>104.13614854633289</v>
      </c>
      <c r="H197" s="34">
        <f t="shared" ref="H197:H260" si="9">G197*1000</f>
        <v>104136.14854633289</v>
      </c>
    </row>
    <row r="198" spans="6:8" x14ac:dyDescent="0.25">
      <c r="F198" s="22">
        <v>2230</v>
      </c>
      <c r="G198" s="33">
        <f t="shared" si="8"/>
        <v>104.73871226058915</v>
      </c>
      <c r="H198" s="34">
        <f t="shared" si="9"/>
        <v>104738.71226058915</v>
      </c>
    </row>
    <row r="199" spans="6:8" x14ac:dyDescent="0.25">
      <c r="F199" s="22">
        <v>2240</v>
      </c>
      <c r="G199" s="33">
        <f t="shared" si="8"/>
        <v>105.3417851407672</v>
      </c>
      <c r="H199" s="34">
        <f t="shared" si="9"/>
        <v>105341.7851407672</v>
      </c>
    </row>
    <row r="200" spans="6:8" x14ac:dyDescent="0.25">
      <c r="F200" s="22">
        <v>2250</v>
      </c>
      <c r="G200" s="33">
        <f t="shared" si="8"/>
        <v>105.94536718686706</v>
      </c>
      <c r="H200" s="34">
        <f t="shared" si="9"/>
        <v>105945.36718686706</v>
      </c>
    </row>
    <row r="201" spans="6:8" x14ac:dyDescent="0.25">
      <c r="F201" s="22">
        <v>2260</v>
      </c>
      <c r="G201" s="33">
        <f t="shared" si="8"/>
        <v>106.5494583988887</v>
      </c>
      <c r="H201" s="34">
        <f t="shared" si="9"/>
        <v>106549.4583988887</v>
      </c>
    </row>
    <row r="202" spans="6:8" x14ac:dyDescent="0.25">
      <c r="F202" s="22">
        <v>2270</v>
      </c>
      <c r="G202" s="33">
        <f t="shared" si="8"/>
        <v>107.15405877683216</v>
      </c>
      <c r="H202" s="34">
        <f t="shared" si="9"/>
        <v>107154.05877683216</v>
      </c>
    </row>
    <row r="203" spans="6:8" x14ac:dyDescent="0.25">
      <c r="F203" s="22">
        <v>2280</v>
      </c>
      <c r="G203" s="33">
        <f t="shared" si="8"/>
        <v>107.7591683206974</v>
      </c>
      <c r="H203" s="34">
        <f t="shared" si="9"/>
        <v>107759.1683206974</v>
      </c>
    </row>
    <row r="204" spans="6:8" x14ac:dyDescent="0.25">
      <c r="F204" s="22">
        <v>2290</v>
      </c>
      <c r="G204" s="33">
        <f t="shared" si="8"/>
        <v>108.36478703048445</v>
      </c>
      <c r="H204" s="34">
        <f t="shared" si="9"/>
        <v>108364.78703048445</v>
      </c>
    </row>
    <row r="205" spans="6:8" x14ac:dyDescent="0.25">
      <c r="F205" s="22">
        <v>2300</v>
      </c>
      <c r="G205" s="33">
        <f t="shared" si="8"/>
        <v>108.97091490619329</v>
      </c>
      <c r="H205" s="34">
        <f t="shared" si="9"/>
        <v>108970.91490619328</v>
      </c>
    </row>
    <row r="206" spans="6:8" x14ac:dyDescent="0.25">
      <c r="F206" s="22">
        <v>2310</v>
      </c>
      <c r="G206" s="33">
        <f t="shared" si="8"/>
        <v>109.57755194782396</v>
      </c>
      <c r="H206" s="34">
        <f t="shared" si="9"/>
        <v>109577.55194782396</v>
      </c>
    </row>
    <row r="207" spans="6:8" x14ac:dyDescent="0.25">
      <c r="F207" s="22">
        <v>2320</v>
      </c>
      <c r="G207" s="33">
        <f t="shared" si="8"/>
        <v>110.1846981553764</v>
      </c>
      <c r="H207" s="34">
        <f t="shared" si="9"/>
        <v>110184.69815537639</v>
      </c>
    </row>
    <row r="208" spans="6:8" x14ac:dyDescent="0.25">
      <c r="F208" s="22">
        <v>2330</v>
      </c>
      <c r="G208" s="33">
        <f t="shared" si="8"/>
        <v>110.79235352885064</v>
      </c>
      <c r="H208" s="34">
        <f t="shared" si="9"/>
        <v>110792.35352885064</v>
      </c>
    </row>
    <row r="209" spans="6:8" x14ac:dyDescent="0.25">
      <c r="F209" s="22">
        <v>2340</v>
      </c>
      <c r="G209" s="33">
        <f t="shared" si="8"/>
        <v>111.4005180682467</v>
      </c>
      <c r="H209" s="34">
        <f t="shared" si="9"/>
        <v>111400.5180682467</v>
      </c>
    </row>
    <row r="210" spans="6:8" x14ac:dyDescent="0.25">
      <c r="F210" s="22">
        <v>2350</v>
      </c>
      <c r="G210" s="33">
        <f t="shared" si="8"/>
        <v>112.00919177356457</v>
      </c>
      <c r="H210" s="34">
        <f t="shared" si="9"/>
        <v>112009.19177356457</v>
      </c>
    </row>
    <row r="211" spans="6:8" x14ac:dyDescent="0.25">
      <c r="F211" s="22">
        <v>2360</v>
      </c>
      <c r="G211" s="33">
        <f t="shared" si="8"/>
        <v>112.61837464480422</v>
      </c>
      <c r="H211" s="34">
        <f t="shared" si="9"/>
        <v>112618.37464480422</v>
      </c>
    </row>
    <row r="212" spans="6:8" x14ac:dyDescent="0.25">
      <c r="F212" s="22">
        <v>2370</v>
      </c>
      <c r="G212" s="33">
        <f t="shared" si="8"/>
        <v>113.22806668196566</v>
      </c>
      <c r="H212" s="34">
        <f t="shared" si="9"/>
        <v>113228.06668196566</v>
      </c>
    </row>
    <row r="213" spans="6:8" x14ac:dyDescent="0.25">
      <c r="F213" s="22">
        <v>2380</v>
      </c>
      <c r="G213" s="33">
        <f t="shared" si="8"/>
        <v>113.83826788504891</v>
      </c>
      <c r="H213" s="34">
        <f t="shared" si="9"/>
        <v>113838.2678850489</v>
      </c>
    </row>
    <row r="214" spans="6:8" x14ac:dyDescent="0.25">
      <c r="F214" s="22">
        <v>2390</v>
      </c>
      <c r="G214" s="33">
        <f t="shared" si="8"/>
        <v>114.44897825405394</v>
      </c>
      <c r="H214" s="34">
        <f t="shared" si="9"/>
        <v>114448.97825405395</v>
      </c>
    </row>
    <row r="215" spans="6:8" x14ac:dyDescent="0.25">
      <c r="F215" s="22">
        <v>2400</v>
      </c>
      <c r="G215" s="33">
        <f t="shared" si="8"/>
        <v>115.06019778898079</v>
      </c>
      <c r="H215" s="34">
        <f t="shared" si="9"/>
        <v>115060.19778898079</v>
      </c>
    </row>
    <row r="216" spans="6:8" x14ac:dyDescent="0.25">
      <c r="F216" s="22">
        <v>2410</v>
      </c>
      <c r="G216" s="33">
        <f t="shared" si="8"/>
        <v>115.67192648982945</v>
      </c>
      <c r="H216" s="34">
        <f t="shared" si="9"/>
        <v>115671.92648982945</v>
      </c>
    </row>
    <row r="217" spans="6:8" x14ac:dyDescent="0.25">
      <c r="F217" s="22">
        <v>2420</v>
      </c>
      <c r="G217" s="33">
        <f t="shared" si="8"/>
        <v>116.28416435659989</v>
      </c>
      <c r="H217" s="34">
        <f t="shared" si="9"/>
        <v>116284.16435659988</v>
      </c>
    </row>
    <row r="218" spans="6:8" x14ac:dyDescent="0.25">
      <c r="F218" s="22">
        <v>2430</v>
      </c>
      <c r="G218" s="33">
        <f t="shared" si="8"/>
        <v>116.89691138929214</v>
      </c>
      <c r="H218" s="34">
        <f t="shared" si="9"/>
        <v>116896.91138929215</v>
      </c>
    </row>
    <row r="219" spans="6:8" x14ac:dyDescent="0.25">
      <c r="F219" s="22">
        <v>2440</v>
      </c>
      <c r="G219" s="33">
        <f t="shared" si="8"/>
        <v>117.51016758790621</v>
      </c>
      <c r="H219" s="34">
        <f t="shared" si="9"/>
        <v>117510.16758790621</v>
      </c>
    </row>
    <row r="220" spans="6:8" x14ac:dyDescent="0.25">
      <c r="F220" s="22">
        <v>2450</v>
      </c>
      <c r="G220" s="33">
        <f t="shared" si="8"/>
        <v>118.12393295244206</v>
      </c>
      <c r="H220" s="34">
        <f t="shared" si="9"/>
        <v>118123.93295244206</v>
      </c>
    </row>
    <row r="221" spans="6:8" x14ac:dyDescent="0.25">
      <c r="F221" s="22">
        <v>2460</v>
      </c>
      <c r="G221" s="33">
        <f t="shared" si="8"/>
        <v>118.7382074828997</v>
      </c>
      <c r="H221" s="34">
        <f t="shared" si="9"/>
        <v>118738.2074828997</v>
      </c>
    </row>
    <row r="222" spans="6:8" x14ac:dyDescent="0.25">
      <c r="F222" s="22">
        <v>2470</v>
      </c>
      <c r="G222" s="33">
        <f t="shared" si="8"/>
        <v>119.35299117927914</v>
      </c>
      <c r="H222" s="34">
        <f t="shared" si="9"/>
        <v>119352.99117927914</v>
      </c>
    </row>
    <row r="223" spans="6:8" x14ac:dyDescent="0.25">
      <c r="F223" s="22">
        <v>2480</v>
      </c>
      <c r="G223" s="33">
        <f t="shared" si="8"/>
        <v>119.9682840415804</v>
      </c>
      <c r="H223" s="34">
        <f t="shared" si="9"/>
        <v>119968.28404158041</v>
      </c>
    </row>
    <row r="224" spans="6:8" x14ac:dyDescent="0.25">
      <c r="F224" s="22">
        <v>2490</v>
      </c>
      <c r="G224" s="33">
        <f t="shared" si="8"/>
        <v>120.58408606980345</v>
      </c>
      <c r="H224" s="34">
        <f t="shared" si="9"/>
        <v>120584.08606980345</v>
      </c>
    </row>
    <row r="225" spans="6:8" x14ac:dyDescent="0.25">
      <c r="F225" s="22">
        <v>2500</v>
      </c>
      <c r="G225" s="33">
        <f t="shared" si="8"/>
        <v>121.2003972639483</v>
      </c>
      <c r="H225" s="34">
        <f t="shared" si="9"/>
        <v>121200.39726394831</v>
      </c>
    </row>
    <row r="226" spans="6:8" x14ac:dyDescent="0.25">
      <c r="F226" s="22">
        <v>2510</v>
      </c>
      <c r="G226" s="33">
        <f t="shared" si="8"/>
        <v>121.81721762401494</v>
      </c>
      <c r="H226" s="34">
        <f t="shared" si="9"/>
        <v>121817.21762401494</v>
      </c>
    </row>
    <row r="227" spans="6:8" x14ac:dyDescent="0.25">
      <c r="F227" s="22">
        <v>2520</v>
      </c>
      <c r="G227" s="33">
        <f t="shared" si="8"/>
        <v>122.4345471500034</v>
      </c>
      <c r="H227" s="34">
        <f t="shared" si="9"/>
        <v>122434.5471500034</v>
      </c>
    </row>
    <row r="228" spans="6:8" x14ac:dyDescent="0.25">
      <c r="F228" s="22">
        <v>2530</v>
      </c>
      <c r="G228" s="33">
        <f t="shared" si="8"/>
        <v>123.05238584191366</v>
      </c>
      <c r="H228" s="34">
        <f t="shared" si="9"/>
        <v>123052.38584191367</v>
      </c>
    </row>
    <row r="229" spans="6:8" x14ac:dyDescent="0.25">
      <c r="F229" s="22">
        <v>2540</v>
      </c>
      <c r="G229" s="33">
        <f t="shared" si="8"/>
        <v>123.67073369974571</v>
      </c>
      <c r="H229" s="34">
        <f t="shared" si="9"/>
        <v>123670.73369974572</v>
      </c>
    </row>
    <row r="230" spans="6:8" x14ac:dyDescent="0.25">
      <c r="F230" s="22">
        <v>2550</v>
      </c>
      <c r="G230" s="33">
        <f t="shared" si="8"/>
        <v>124.28959072349954</v>
      </c>
      <c r="H230" s="34">
        <f t="shared" si="9"/>
        <v>124289.59072349954</v>
      </c>
    </row>
    <row r="231" spans="6:8" x14ac:dyDescent="0.25">
      <c r="F231" s="22">
        <v>2560</v>
      </c>
      <c r="G231" s="33">
        <f t="shared" si="8"/>
        <v>124.90895691317522</v>
      </c>
      <c r="H231" s="34">
        <f t="shared" si="9"/>
        <v>124908.95691317522</v>
      </c>
    </row>
    <row r="232" spans="6:8" x14ac:dyDescent="0.25">
      <c r="F232" s="22">
        <v>2570</v>
      </c>
      <c r="G232" s="33">
        <f t="shared" si="8"/>
        <v>125.52883226877265</v>
      </c>
      <c r="H232" s="34">
        <f t="shared" si="9"/>
        <v>125528.83226877265</v>
      </c>
    </row>
    <row r="233" spans="6:8" x14ac:dyDescent="0.25">
      <c r="F233" s="22">
        <v>2580</v>
      </c>
      <c r="G233" s="33">
        <f t="shared" si="8"/>
        <v>126.14921679029192</v>
      </c>
      <c r="H233" s="34">
        <f t="shared" si="9"/>
        <v>126149.21679029192</v>
      </c>
    </row>
    <row r="234" spans="6:8" x14ac:dyDescent="0.25">
      <c r="F234" s="22">
        <v>2590</v>
      </c>
      <c r="G234" s="33">
        <f t="shared" si="8"/>
        <v>126.77011047773297</v>
      </c>
      <c r="H234" s="34">
        <f t="shared" si="9"/>
        <v>126770.11047773297</v>
      </c>
    </row>
    <row r="235" spans="6:8" x14ac:dyDescent="0.25">
      <c r="F235" s="22">
        <v>2600</v>
      </c>
      <c r="G235" s="33">
        <f t="shared" si="8"/>
        <v>127.39151333109581</v>
      </c>
      <c r="H235" s="34">
        <f t="shared" si="9"/>
        <v>127391.5133310958</v>
      </c>
    </row>
    <row r="236" spans="6:8" x14ac:dyDescent="0.25">
      <c r="F236" s="22">
        <v>2610</v>
      </c>
      <c r="G236" s="33">
        <f t="shared" si="8"/>
        <v>128.01342535038046</v>
      </c>
      <c r="H236" s="34">
        <f t="shared" si="9"/>
        <v>128013.42535038046</v>
      </c>
    </row>
    <row r="237" spans="6:8" x14ac:dyDescent="0.25">
      <c r="F237" s="22">
        <v>2620</v>
      </c>
      <c r="G237" s="33">
        <f t="shared" si="8"/>
        <v>128.63584653558689</v>
      </c>
      <c r="H237" s="34">
        <f t="shared" si="9"/>
        <v>128635.8465355869</v>
      </c>
    </row>
    <row r="238" spans="6:8" x14ac:dyDescent="0.25">
      <c r="F238" s="22">
        <v>2630</v>
      </c>
      <c r="G238" s="33">
        <f t="shared" si="8"/>
        <v>129.25877688671517</v>
      </c>
      <c r="H238" s="34">
        <f t="shared" si="9"/>
        <v>129258.77688671518</v>
      </c>
    </row>
    <row r="239" spans="6:8" x14ac:dyDescent="0.25">
      <c r="F239" s="22">
        <v>2640</v>
      </c>
      <c r="G239" s="33">
        <f t="shared" si="8"/>
        <v>129.8822164037652</v>
      </c>
      <c r="H239" s="34">
        <f t="shared" si="9"/>
        <v>129882.2164037652</v>
      </c>
    </row>
    <row r="240" spans="6:8" x14ac:dyDescent="0.25">
      <c r="F240" s="22">
        <v>2650</v>
      </c>
      <c r="G240" s="33">
        <f t="shared" si="8"/>
        <v>130.50616508673707</v>
      </c>
      <c r="H240" s="34">
        <f t="shared" si="9"/>
        <v>130506.16508673708</v>
      </c>
    </row>
    <row r="241" spans="6:8" x14ac:dyDescent="0.25">
      <c r="F241" s="22">
        <v>2660</v>
      </c>
      <c r="G241" s="33">
        <f t="shared" si="8"/>
        <v>131.1306229356307</v>
      </c>
      <c r="H241" s="34">
        <f t="shared" si="9"/>
        <v>131130.6229356307</v>
      </c>
    </row>
    <row r="242" spans="6:8" x14ac:dyDescent="0.25">
      <c r="F242" s="22">
        <v>2670</v>
      </c>
      <c r="G242" s="33">
        <f t="shared" si="8"/>
        <v>131.75558995044616</v>
      </c>
      <c r="H242" s="34">
        <f t="shared" si="9"/>
        <v>131755.58995044616</v>
      </c>
    </row>
    <row r="243" spans="6:8" x14ac:dyDescent="0.25">
      <c r="F243" s="22">
        <v>2680</v>
      </c>
      <c r="G243" s="33">
        <f t="shared" si="8"/>
        <v>132.38106613118339</v>
      </c>
      <c r="H243" s="34">
        <f t="shared" si="9"/>
        <v>132381.06613118338</v>
      </c>
    </row>
    <row r="244" spans="6:8" x14ac:dyDescent="0.25">
      <c r="F244" s="22">
        <v>2690</v>
      </c>
      <c r="G244" s="33">
        <f t="shared" si="8"/>
        <v>133.00705147784248</v>
      </c>
      <c r="H244" s="34">
        <f t="shared" si="9"/>
        <v>133007.05147784247</v>
      </c>
    </row>
    <row r="245" spans="6:8" x14ac:dyDescent="0.25">
      <c r="F245" s="22">
        <v>2700</v>
      </c>
      <c r="G245" s="33">
        <f t="shared" si="8"/>
        <v>133.6335459904233</v>
      </c>
      <c r="H245" s="34">
        <f t="shared" si="9"/>
        <v>133633.5459904233</v>
      </c>
    </row>
    <row r="246" spans="6:8" x14ac:dyDescent="0.25">
      <c r="F246" s="22">
        <v>2710</v>
      </c>
      <c r="G246" s="33">
        <f t="shared" si="8"/>
        <v>134.26054966892596</v>
      </c>
      <c r="H246" s="34">
        <f t="shared" si="9"/>
        <v>134260.54966892596</v>
      </c>
    </row>
    <row r="247" spans="6:8" x14ac:dyDescent="0.25">
      <c r="F247" s="22">
        <v>2720</v>
      </c>
      <c r="G247" s="33">
        <f t="shared" si="8"/>
        <v>134.88806251335041</v>
      </c>
      <c r="H247" s="34">
        <f t="shared" si="9"/>
        <v>134888.06251335039</v>
      </c>
    </row>
    <row r="248" spans="6:8" x14ac:dyDescent="0.25">
      <c r="F248" s="22">
        <v>2730</v>
      </c>
      <c r="G248" s="33">
        <f t="shared" si="8"/>
        <v>135.51608452369666</v>
      </c>
      <c r="H248" s="34">
        <f t="shared" si="9"/>
        <v>135516.08452369666</v>
      </c>
    </row>
    <row r="249" spans="6:8" x14ac:dyDescent="0.25">
      <c r="F249" s="22">
        <v>2740</v>
      </c>
      <c r="G249" s="33">
        <f t="shared" si="8"/>
        <v>136.1446156999647</v>
      </c>
      <c r="H249" s="34">
        <f t="shared" si="9"/>
        <v>136144.61569996469</v>
      </c>
    </row>
    <row r="250" spans="6:8" x14ac:dyDescent="0.25">
      <c r="F250" s="22">
        <v>2750</v>
      </c>
      <c r="G250" s="33">
        <f t="shared" si="8"/>
        <v>136.77365604215453</v>
      </c>
      <c r="H250" s="34">
        <f t="shared" si="9"/>
        <v>136773.65604215453</v>
      </c>
    </row>
    <row r="251" spans="6:8" x14ac:dyDescent="0.25">
      <c r="F251" s="22">
        <v>2760</v>
      </c>
      <c r="G251" s="33">
        <f t="shared" si="8"/>
        <v>137.40320555026619</v>
      </c>
      <c r="H251" s="34">
        <f t="shared" si="9"/>
        <v>137403.2055502662</v>
      </c>
    </row>
    <row r="252" spans="6:8" x14ac:dyDescent="0.25">
      <c r="F252" s="22">
        <v>2770</v>
      </c>
      <c r="G252" s="33">
        <f t="shared" si="8"/>
        <v>138.03326422429964</v>
      </c>
      <c r="H252" s="34">
        <f t="shared" si="9"/>
        <v>138033.26422429964</v>
      </c>
    </row>
    <row r="253" spans="6:8" x14ac:dyDescent="0.25">
      <c r="F253" s="22">
        <v>2780</v>
      </c>
      <c r="G253" s="33">
        <f t="shared" si="8"/>
        <v>138.6638320642549</v>
      </c>
      <c r="H253" s="34">
        <f t="shared" si="9"/>
        <v>138663.83206425491</v>
      </c>
    </row>
    <row r="254" spans="6:8" x14ac:dyDescent="0.25">
      <c r="F254" s="22">
        <v>2790</v>
      </c>
      <c r="G254" s="33">
        <f t="shared" si="8"/>
        <v>139.29490907013195</v>
      </c>
      <c r="H254" s="34">
        <f t="shared" si="9"/>
        <v>139294.90907013195</v>
      </c>
    </row>
    <row r="255" spans="6:8" x14ac:dyDescent="0.25">
      <c r="F255" s="22">
        <v>2800</v>
      </c>
      <c r="G255" s="33">
        <f t="shared" si="8"/>
        <v>139.92649524193081</v>
      </c>
      <c r="H255" s="34">
        <f t="shared" si="9"/>
        <v>139926.4952419308</v>
      </c>
    </row>
    <row r="256" spans="6:8" x14ac:dyDescent="0.25">
      <c r="F256" s="22">
        <v>2810</v>
      </c>
      <c r="G256" s="33">
        <f t="shared" si="8"/>
        <v>140.55859057965145</v>
      </c>
      <c r="H256" s="34">
        <f t="shared" si="9"/>
        <v>140558.59057965144</v>
      </c>
    </row>
    <row r="257" spans="6:8" x14ac:dyDescent="0.25">
      <c r="F257" s="22">
        <v>2820</v>
      </c>
      <c r="G257" s="33">
        <f t="shared" si="8"/>
        <v>141.19119508329391</v>
      </c>
      <c r="H257" s="34">
        <f t="shared" si="9"/>
        <v>141191.19508329392</v>
      </c>
    </row>
    <row r="258" spans="6:8" x14ac:dyDescent="0.25">
      <c r="F258" s="22">
        <v>2830</v>
      </c>
      <c r="G258" s="33">
        <f t="shared" si="8"/>
        <v>141.82430875285814</v>
      </c>
      <c r="H258" s="34">
        <f t="shared" si="9"/>
        <v>141824.30875285814</v>
      </c>
    </row>
    <row r="259" spans="6:8" x14ac:dyDescent="0.25">
      <c r="F259" s="22">
        <v>2840</v>
      </c>
      <c r="G259" s="33">
        <f t="shared" si="8"/>
        <v>142.45793158834422</v>
      </c>
      <c r="H259" s="34">
        <f t="shared" si="9"/>
        <v>142457.93158834422</v>
      </c>
    </row>
    <row r="260" spans="6:8" x14ac:dyDescent="0.25">
      <c r="F260" s="22">
        <v>2850</v>
      </c>
      <c r="G260" s="33">
        <f t="shared" si="8"/>
        <v>143.09206358975206</v>
      </c>
      <c r="H260" s="34">
        <f t="shared" si="9"/>
        <v>143092.06358975207</v>
      </c>
    </row>
    <row r="261" spans="6:8" x14ac:dyDescent="0.25">
      <c r="F261" s="22">
        <v>2860</v>
      </c>
      <c r="G261" s="33">
        <f t="shared" ref="G261:G324" si="10" xml:space="preserve"> 0.000002545829609*F261^2 + 0.048927429665575*F261 - 17.0296119562392</f>
        <v>143.72670475708171</v>
      </c>
      <c r="H261" s="34">
        <f t="shared" ref="H261:H324" si="11">G261*1000</f>
        <v>143726.70475708169</v>
      </c>
    </row>
    <row r="262" spans="6:8" x14ac:dyDescent="0.25">
      <c r="F262" s="22">
        <v>2870</v>
      </c>
      <c r="G262" s="33">
        <f t="shared" si="10"/>
        <v>144.36185509033314</v>
      </c>
      <c r="H262" s="34">
        <f t="shared" si="11"/>
        <v>144361.85509033315</v>
      </c>
    </row>
    <row r="263" spans="6:8" x14ac:dyDescent="0.25">
      <c r="F263" s="22">
        <v>2880</v>
      </c>
      <c r="G263" s="33">
        <f t="shared" si="10"/>
        <v>144.99751458950641</v>
      </c>
      <c r="H263" s="34">
        <f t="shared" si="11"/>
        <v>144997.51458950641</v>
      </c>
    </row>
    <row r="264" spans="6:8" x14ac:dyDescent="0.25">
      <c r="F264" s="22">
        <v>2890</v>
      </c>
      <c r="G264" s="33">
        <f t="shared" si="10"/>
        <v>145.63368325460146</v>
      </c>
      <c r="H264" s="34">
        <f t="shared" si="11"/>
        <v>145633.68325460146</v>
      </c>
    </row>
    <row r="265" spans="6:8" x14ac:dyDescent="0.25">
      <c r="F265" s="22">
        <v>2900</v>
      </c>
      <c r="G265" s="33">
        <f t="shared" si="10"/>
        <v>146.2703610856183</v>
      </c>
      <c r="H265" s="34">
        <f t="shared" si="11"/>
        <v>146270.36108561829</v>
      </c>
    </row>
    <row r="266" spans="6:8" x14ac:dyDescent="0.25">
      <c r="F266" s="22">
        <v>2910</v>
      </c>
      <c r="G266" s="33">
        <f t="shared" si="10"/>
        <v>146.90754808255696</v>
      </c>
      <c r="H266" s="34">
        <f t="shared" si="11"/>
        <v>146907.54808255695</v>
      </c>
    </row>
    <row r="267" spans="6:8" x14ac:dyDescent="0.25">
      <c r="F267" s="22">
        <v>2920</v>
      </c>
      <c r="G267" s="33">
        <f t="shared" si="10"/>
        <v>147.54524424541742</v>
      </c>
      <c r="H267" s="34">
        <f t="shared" si="11"/>
        <v>147545.24424541742</v>
      </c>
    </row>
    <row r="268" spans="6:8" x14ac:dyDescent="0.25">
      <c r="F268" s="22">
        <v>2930</v>
      </c>
      <c r="G268" s="33">
        <f t="shared" si="10"/>
        <v>148.18344957419964</v>
      </c>
      <c r="H268" s="34">
        <f t="shared" si="11"/>
        <v>148183.44957419965</v>
      </c>
    </row>
    <row r="269" spans="6:8" x14ac:dyDescent="0.25">
      <c r="F269" s="22">
        <v>2940</v>
      </c>
      <c r="G269" s="33">
        <f t="shared" si="10"/>
        <v>148.8221640689037</v>
      </c>
      <c r="H269" s="34">
        <f t="shared" si="11"/>
        <v>148822.16406890372</v>
      </c>
    </row>
    <row r="270" spans="6:8" x14ac:dyDescent="0.25">
      <c r="F270" s="22">
        <v>2950</v>
      </c>
      <c r="G270" s="33">
        <f t="shared" si="10"/>
        <v>149.46138772952955</v>
      </c>
      <c r="H270" s="34">
        <f t="shared" si="11"/>
        <v>149461.38772952955</v>
      </c>
    </row>
    <row r="271" spans="6:8" x14ac:dyDescent="0.25">
      <c r="F271" s="22">
        <v>2960</v>
      </c>
      <c r="G271" s="33">
        <f t="shared" si="10"/>
        <v>150.10112055607721</v>
      </c>
      <c r="H271" s="34">
        <f t="shared" si="11"/>
        <v>150101.12055607719</v>
      </c>
    </row>
    <row r="272" spans="6:8" x14ac:dyDescent="0.25">
      <c r="F272" s="22">
        <v>2970</v>
      </c>
      <c r="G272" s="33">
        <f t="shared" si="10"/>
        <v>150.74136254854665</v>
      </c>
      <c r="H272" s="34">
        <f t="shared" si="11"/>
        <v>150741.36254854663</v>
      </c>
    </row>
    <row r="273" spans="6:8" x14ac:dyDescent="0.25">
      <c r="F273" s="22">
        <v>2980</v>
      </c>
      <c r="G273" s="33">
        <f t="shared" si="10"/>
        <v>151.3821137069379</v>
      </c>
      <c r="H273" s="34">
        <f t="shared" si="11"/>
        <v>151382.1137069379</v>
      </c>
    </row>
    <row r="274" spans="6:8" x14ac:dyDescent="0.25">
      <c r="F274" s="22">
        <v>2990</v>
      </c>
      <c r="G274" s="33">
        <f t="shared" si="10"/>
        <v>152.02337403125097</v>
      </c>
      <c r="H274" s="34">
        <f t="shared" si="11"/>
        <v>152023.37403125098</v>
      </c>
    </row>
    <row r="275" spans="6:8" x14ac:dyDescent="0.25">
      <c r="F275" s="22">
        <v>3000</v>
      </c>
      <c r="G275" s="33">
        <f t="shared" si="10"/>
        <v>152.66514352148579</v>
      </c>
      <c r="H275" s="34">
        <f t="shared" si="11"/>
        <v>152665.14352148579</v>
      </c>
    </row>
    <row r="276" spans="6:8" x14ac:dyDescent="0.25">
      <c r="F276" s="22">
        <v>3010</v>
      </c>
      <c r="G276" s="33">
        <f t="shared" si="10"/>
        <v>153.30742217764245</v>
      </c>
      <c r="H276" s="34">
        <f t="shared" si="11"/>
        <v>153307.42217764244</v>
      </c>
    </row>
    <row r="277" spans="6:8" x14ac:dyDescent="0.25">
      <c r="F277" s="22">
        <v>3020</v>
      </c>
      <c r="G277" s="33">
        <f t="shared" si="10"/>
        <v>153.9502099997209</v>
      </c>
      <c r="H277" s="34">
        <f t="shared" si="11"/>
        <v>153950.20999972089</v>
      </c>
    </row>
    <row r="278" spans="6:8" x14ac:dyDescent="0.25">
      <c r="F278" s="22">
        <v>3030</v>
      </c>
      <c r="G278" s="33">
        <f t="shared" si="10"/>
        <v>154.59350698772116</v>
      </c>
      <c r="H278" s="34">
        <f t="shared" si="11"/>
        <v>154593.50698772116</v>
      </c>
    </row>
    <row r="279" spans="6:8" x14ac:dyDescent="0.25">
      <c r="F279" s="22">
        <v>3040</v>
      </c>
      <c r="G279" s="33">
        <f t="shared" si="10"/>
        <v>155.2373131416432</v>
      </c>
      <c r="H279" s="34">
        <f t="shared" si="11"/>
        <v>155237.31314164319</v>
      </c>
    </row>
    <row r="280" spans="6:8" x14ac:dyDescent="0.25">
      <c r="F280" s="22">
        <v>3050</v>
      </c>
      <c r="G280" s="33">
        <f t="shared" si="10"/>
        <v>155.88162846148705</v>
      </c>
      <c r="H280" s="34">
        <f t="shared" si="11"/>
        <v>155881.62846148707</v>
      </c>
    </row>
    <row r="281" spans="6:8" x14ac:dyDescent="0.25">
      <c r="F281" s="22">
        <v>3060</v>
      </c>
      <c r="G281" s="33">
        <f t="shared" si="10"/>
        <v>156.52645294725269</v>
      </c>
      <c r="H281" s="34">
        <f t="shared" si="11"/>
        <v>156526.45294725269</v>
      </c>
    </row>
    <row r="282" spans="6:8" x14ac:dyDescent="0.25">
      <c r="F282" s="22">
        <v>3070</v>
      </c>
      <c r="G282" s="33">
        <f t="shared" si="10"/>
        <v>157.17178659894017</v>
      </c>
      <c r="H282" s="34">
        <f t="shared" si="11"/>
        <v>157171.78659894018</v>
      </c>
    </row>
    <row r="283" spans="6:8" x14ac:dyDescent="0.25">
      <c r="F283" s="22">
        <v>3080</v>
      </c>
      <c r="G283" s="33">
        <f t="shared" si="10"/>
        <v>157.81762941654941</v>
      </c>
      <c r="H283" s="34">
        <f t="shared" si="11"/>
        <v>157817.6294165494</v>
      </c>
    </row>
    <row r="284" spans="6:8" x14ac:dyDescent="0.25">
      <c r="F284" s="22">
        <v>3090</v>
      </c>
      <c r="G284" s="33">
        <f t="shared" si="10"/>
        <v>158.46398140008046</v>
      </c>
      <c r="H284" s="34">
        <f t="shared" si="11"/>
        <v>158463.98140008046</v>
      </c>
    </row>
    <row r="285" spans="6:8" x14ac:dyDescent="0.25">
      <c r="F285" s="22">
        <v>3100</v>
      </c>
      <c r="G285" s="33">
        <f t="shared" si="10"/>
        <v>159.11084254953329</v>
      </c>
      <c r="H285" s="34">
        <f t="shared" si="11"/>
        <v>159110.84254953329</v>
      </c>
    </row>
    <row r="286" spans="6:8" x14ac:dyDescent="0.25">
      <c r="F286" s="22">
        <v>3110</v>
      </c>
      <c r="G286" s="33">
        <f t="shared" si="10"/>
        <v>159.75821286490796</v>
      </c>
      <c r="H286" s="34">
        <f t="shared" si="11"/>
        <v>159758.21286490795</v>
      </c>
    </row>
    <row r="287" spans="6:8" x14ac:dyDescent="0.25">
      <c r="F287" s="22">
        <v>3120</v>
      </c>
      <c r="G287" s="33">
        <f t="shared" si="10"/>
        <v>160.40609234620439</v>
      </c>
      <c r="H287" s="34">
        <f t="shared" si="11"/>
        <v>160406.09234620439</v>
      </c>
    </row>
    <row r="288" spans="6:8" x14ac:dyDescent="0.25">
      <c r="F288" s="22">
        <v>3130</v>
      </c>
      <c r="G288" s="33">
        <f t="shared" si="10"/>
        <v>161.05448099342266</v>
      </c>
      <c r="H288" s="34">
        <f t="shared" si="11"/>
        <v>161054.48099342265</v>
      </c>
    </row>
    <row r="289" spans="6:8" x14ac:dyDescent="0.25">
      <c r="F289" s="22">
        <v>3140</v>
      </c>
      <c r="G289" s="33">
        <f t="shared" si="10"/>
        <v>161.70337880656271</v>
      </c>
      <c r="H289" s="34">
        <f t="shared" si="11"/>
        <v>161703.37880656272</v>
      </c>
    </row>
    <row r="290" spans="6:8" x14ac:dyDescent="0.25">
      <c r="F290" s="22">
        <v>3150</v>
      </c>
      <c r="G290" s="33">
        <f t="shared" si="10"/>
        <v>162.35278578562458</v>
      </c>
      <c r="H290" s="34">
        <f t="shared" si="11"/>
        <v>162352.78578562458</v>
      </c>
    </row>
    <row r="291" spans="6:8" x14ac:dyDescent="0.25">
      <c r="F291" s="22">
        <v>3160</v>
      </c>
      <c r="G291" s="33">
        <f t="shared" si="10"/>
        <v>163.0027019306082</v>
      </c>
      <c r="H291" s="34">
        <f t="shared" si="11"/>
        <v>163002.70193060819</v>
      </c>
    </row>
    <row r="292" spans="6:8" x14ac:dyDescent="0.25">
      <c r="F292" s="22">
        <v>3170</v>
      </c>
      <c r="G292" s="33">
        <f t="shared" si="10"/>
        <v>163.65312724151366</v>
      </c>
      <c r="H292" s="34">
        <f t="shared" si="11"/>
        <v>163653.12724151366</v>
      </c>
    </row>
    <row r="293" spans="6:8" x14ac:dyDescent="0.25">
      <c r="F293" s="22">
        <v>3180</v>
      </c>
      <c r="G293" s="33">
        <f t="shared" si="10"/>
        <v>164.3040617183409</v>
      </c>
      <c r="H293" s="34">
        <f t="shared" si="11"/>
        <v>164304.0617183409</v>
      </c>
    </row>
    <row r="294" spans="6:8" x14ac:dyDescent="0.25">
      <c r="F294" s="22">
        <v>3190</v>
      </c>
      <c r="G294" s="33">
        <f t="shared" si="10"/>
        <v>164.95550536108993</v>
      </c>
      <c r="H294" s="34">
        <f t="shared" si="11"/>
        <v>164955.50536108992</v>
      </c>
    </row>
    <row r="295" spans="6:8" x14ac:dyDescent="0.25">
      <c r="F295" s="22">
        <v>3200</v>
      </c>
      <c r="G295" s="33">
        <f t="shared" si="10"/>
        <v>165.6074581697608</v>
      </c>
      <c r="H295" s="34">
        <f t="shared" si="11"/>
        <v>165607.45816976079</v>
      </c>
    </row>
    <row r="296" spans="6:8" x14ac:dyDescent="0.25">
      <c r="F296" s="22">
        <v>3210</v>
      </c>
      <c r="G296" s="33">
        <f t="shared" si="10"/>
        <v>166.25992014435343</v>
      </c>
      <c r="H296" s="34">
        <f t="shared" si="11"/>
        <v>166259.92014435344</v>
      </c>
    </row>
    <row r="297" spans="6:8" x14ac:dyDescent="0.25">
      <c r="F297" s="22">
        <v>3220</v>
      </c>
      <c r="G297" s="33">
        <f t="shared" si="10"/>
        <v>166.9128912848679</v>
      </c>
      <c r="H297" s="34">
        <f t="shared" si="11"/>
        <v>166912.89128486789</v>
      </c>
    </row>
    <row r="298" spans="6:8" x14ac:dyDescent="0.25">
      <c r="F298" s="22">
        <v>3230</v>
      </c>
      <c r="G298" s="33">
        <f t="shared" si="10"/>
        <v>167.56637159130415</v>
      </c>
      <c r="H298" s="34">
        <f t="shared" si="11"/>
        <v>167566.37159130414</v>
      </c>
    </row>
    <row r="299" spans="6:8" x14ac:dyDescent="0.25">
      <c r="F299" s="22">
        <v>3240</v>
      </c>
      <c r="G299" s="33">
        <f t="shared" si="10"/>
        <v>168.22036106366221</v>
      </c>
      <c r="H299" s="34">
        <f t="shared" si="11"/>
        <v>168220.36106366222</v>
      </c>
    </row>
    <row r="300" spans="6:8" x14ac:dyDescent="0.25">
      <c r="F300" s="22">
        <v>3250</v>
      </c>
      <c r="G300" s="33">
        <f t="shared" si="10"/>
        <v>168.87485970194206</v>
      </c>
      <c r="H300" s="34">
        <f t="shared" si="11"/>
        <v>168874.85970194207</v>
      </c>
    </row>
    <row r="301" spans="6:8" x14ac:dyDescent="0.25">
      <c r="F301" s="22">
        <v>3260</v>
      </c>
      <c r="G301" s="33">
        <f t="shared" si="10"/>
        <v>169.52986750614372</v>
      </c>
      <c r="H301" s="34">
        <f t="shared" si="11"/>
        <v>169529.86750614372</v>
      </c>
    </row>
    <row r="302" spans="6:8" x14ac:dyDescent="0.25">
      <c r="F302" s="22">
        <v>3270</v>
      </c>
      <c r="G302" s="33">
        <f t="shared" si="10"/>
        <v>170.18538447626713</v>
      </c>
      <c r="H302" s="34">
        <f t="shared" si="11"/>
        <v>170185.38447626712</v>
      </c>
    </row>
    <row r="303" spans="6:8" x14ac:dyDescent="0.25">
      <c r="F303" s="22">
        <v>3280</v>
      </c>
      <c r="G303" s="33">
        <f t="shared" si="10"/>
        <v>170.84141061231242</v>
      </c>
      <c r="H303" s="34">
        <f t="shared" si="11"/>
        <v>170841.41061231241</v>
      </c>
    </row>
    <row r="304" spans="6:8" x14ac:dyDescent="0.25">
      <c r="F304" s="22">
        <v>3290</v>
      </c>
      <c r="G304" s="33">
        <f t="shared" si="10"/>
        <v>171.49794591427946</v>
      </c>
      <c r="H304" s="34">
        <f t="shared" si="11"/>
        <v>171497.94591427947</v>
      </c>
    </row>
    <row r="305" spans="6:8" x14ac:dyDescent="0.25">
      <c r="F305" s="22">
        <v>3300</v>
      </c>
      <c r="G305" s="33">
        <f t="shared" si="10"/>
        <v>172.15499038216831</v>
      </c>
      <c r="H305" s="34">
        <f t="shared" si="11"/>
        <v>172154.9903821683</v>
      </c>
    </row>
    <row r="306" spans="6:8" x14ac:dyDescent="0.25">
      <c r="F306" s="22">
        <v>3310</v>
      </c>
      <c r="G306" s="33">
        <f t="shared" si="10"/>
        <v>172.81254401597894</v>
      </c>
      <c r="H306" s="34">
        <f t="shared" si="11"/>
        <v>172812.54401597896</v>
      </c>
    </row>
    <row r="307" spans="6:8" x14ac:dyDescent="0.25">
      <c r="F307" s="22">
        <v>3320</v>
      </c>
      <c r="G307" s="33">
        <f t="shared" si="10"/>
        <v>173.47060681571142</v>
      </c>
      <c r="H307" s="34">
        <f t="shared" si="11"/>
        <v>173470.60681571142</v>
      </c>
    </row>
    <row r="308" spans="6:8" x14ac:dyDescent="0.25">
      <c r="F308" s="22">
        <v>3330</v>
      </c>
      <c r="G308" s="33">
        <f t="shared" si="10"/>
        <v>174.12917878136565</v>
      </c>
      <c r="H308" s="34">
        <f t="shared" si="11"/>
        <v>174129.17878136566</v>
      </c>
    </row>
    <row r="309" spans="6:8" x14ac:dyDescent="0.25">
      <c r="F309" s="22">
        <v>3340</v>
      </c>
      <c r="G309" s="33">
        <f t="shared" si="10"/>
        <v>174.78825991294173</v>
      </c>
      <c r="H309" s="34">
        <f t="shared" si="11"/>
        <v>174788.25991294172</v>
      </c>
    </row>
    <row r="310" spans="6:8" x14ac:dyDescent="0.25">
      <c r="F310" s="22">
        <v>3350</v>
      </c>
      <c r="G310" s="33">
        <f t="shared" si="10"/>
        <v>175.44785021043955</v>
      </c>
      <c r="H310" s="34">
        <f t="shared" si="11"/>
        <v>175447.85021043956</v>
      </c>
    </row>
    <row r="311" spans="6:8" x14ac:dyDescent="0.25">
      <c r="F311" s="22">
        <v>3360</v>
      </c>
      <c r="G311" s="33">
        <f t="shared" si="10"/>
        <v>176.10794967385922</v>
      </c>
      <c r="H311" s="34">
        <f t="shared" si="11"/>
        <v>176107.94967385923</v>
      </c>
    </row>
    <row r="312" spans="6:8" x14ac:dyDescent="0.25">
      <c r="F312" s="22">
        <v>3370</v>
      </c>
      <c r="G312" s="33">
        <f t="shared" si="10"/>
        <v>176.76855830320065</v>
      </c>
      <c r="H312" s="34">
        <f t="shared" si="11"/>
        <v>176768.55830320064</v>
      </c>
    </row>
    <row r="313" spans="6:8" x14ac:dyDescent="0.25">
      <c r="F313" s="22">
        <v>3380</v>
      </c>
      <c r="G313" s="33">
        <f t="shared" si="10"/>
        <v>177.42967609846391</v>
      </c>
      <c r="H313" s="34">
        <f t="shared" si="11"/>
        <v>177429.67609846391</v>
      </c>
    </row>
    <row r="314" spans="6:8" x14ac:dyDescent="0.25">
      <c r="F314" s="22">
        <v>3390</v>
      </c>
      <c r="G314" s="33">
        <f t="shared" si="10"/>
        <v>178.09130305964896</v>
      </c>
      <c r="H314" s="34">
        <f t="shared" si="11"/>
        <v>178091.30305964896</v>
      </c>
    </row>
    <row r="315" spans="6:8" x14ac:dyDescent="0.25">
      <c r="F315" s="22">
        <v>3400</v>
      </c>
      <c r="G315" s="33">
        <f t="shared" si="10"/>
        <v>178.75343918675583</v>
      </c>
      <c r="H315" s="34">
        <f t="shared" si="11"/>
        <v>178753.43918675583</v>
      </c>
    </row>
    <row r="316" spans="6:8" x14ac:dyDescent="0.25">
      <c r="F316" s="22">
        <v>3410</v>
      </c>
      <c r="G316" s="33">
        <f t="shared" si="10"/>
        <v>179.41608447978444</v>
      </c>
      <c r="H316" s="34">
        <f t="shared" si="11"/>
        <v>179416.08447978445</v>
      </c>
    </row>
    <row r="317" spans="6:8" x14ac:dyDescent="0.25">
      <c r="F317" s="22">
        <v>3420</v>
      </c>
      <c r="G317" s="33">
        <f t="shared" si="10"/>
        <v>180.07923893873487</v>
      </c>
      <c r="H317" s="34">
        <f t="shared" si="11"/>
        <v>180079.23893873487</v>
      </c>
    </row>
    <row r="318" spans="6:8" x14ac:dyDescent="0.25">
      <c r="F318" s="22">
        <v>3430</v>
      </c>
      <c r="G318" s="33">
        <f t="shared" si="10"/>
        <v>180.74290256360715</v>
      </c>
      <c r="H318" s="34">
        <f t="shared" si="11"/>
        <v>180742.90256360715</v>
      </c>
    </row>
    <row r="319" spans="6:8" x14ac:dyDescent="0.25">
      <c r="F319" s="22">
        <v>3440</v>
      </c>
      <c r="G319" s="33">
        <f t="shared" si="10"/>
        <v>181.4070753544012</v>
      </c>
      <c r="H319" s="34">
        <f t="shared" si="11"/>
        <v>181407.0753544012</v>
      </c>
    </row>
    <row r="320" spans="6:8" x14ac:dyDescent="0.25">
      <c r="F320" s="22">
        <v>3450</v>
      </c>
      <c r="G320" s="33">
        <f t="shared" si="10"/>
        <v>182.07175731111707</v>
      </c>
      <c r="H320" s="34">
        <f t="shared" si="11"/>
        <v>182071.75731111708</v>
      </c>
    </row>
    <row r="321" spans="6:8" x14ac:dyDescent="0.25">
      <c r="F321" s="22">
        <v>3460</v>
      </c>
      <c r="G321" s="33">
        <f t="shared" si="10"/>
        <v>182.73694843375469</v>
      </c>
      <c r="H321" s="34">
        <f t="shared" si="11"/>
        <v>182736.9484337547</v>
      </c>
    </row>
    <row r="322" spans="6:8" x14ac:dyDescent="0.25">
      <c r="F322" s="22">
        <v>3470</v>
      </c>
      <c r="G322" s="33">
        <f t="shared" si="10"/>
        <v>183.40264872231415</v>
      </c>
      <c r="H322" s="34">
        <f t="shared" si="11"/>
        <v>183402.64872231416</v>
      </c>
    </row>
    <row r="323" spans="6:8" x14ac:dyDescent="0.25">
      <c r="F323" s="22">
        <v>3480</v>
      </c>
      <c r="G323" s="33">
        <f t="shared" si="10"/>
        <v>184.0688581767954</v>
      </c>
      <c r="H323" s="34">
        <f t="shared" si="11"/>
        <v>184068.85817679542</v>
      </c>
    </row>
    <row r="324" spans="6:8" x14ac:dyDescent="0.25">
      <c r="F324" s="22">
        <v>3490</v>
      </c>
      <c r="G324" s="33">
        <f t="shared" si="10"/>
        <v>184.73557679719846</v>
      </c>
      <c r="H324" s="34">
        <f t="shared" si="11"/>
        <v>184735.57679719848</v>
      </c>
    </row>
    <row r="325" spans="6:8" x14ac:dyDescent="0.25">
      <c r="F325" s="22">
        <v>3500</v>
      </c>
      <c r="G325" s="33">
        <f t="shared" ref="G325" si="12" xml:space="preserve"> 0.000002545829609*F325^2 + 0.048927429665575*F325 - 17.0296119562392</f>
        <v>185.40280458352331</v>
      </c>
      <c r="H325" s="34">
        <f t="shared" ref="H325" si="13">G325*1000</f>
        <v>185402.80458352331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07E2-C821-4EEA-A057-811707E46DB3}">
  <dimension ref="B1:H325"/>
  <sheetViews>
    <sheetView workbookViewId="0">
      <selection activeCell="U28" sqref="U28"/>
    </sheetView>
  </sheetViews>
  <sheetFormatPr defaultRowHeight="15" x14ac:dyDescent="0.25"/>
  <cols>
    <col min="2" max="2" width="9" bestFit="1" customWidth="1"/>
    <col min="3" max="3" width="18.5703125" bestFit="1" customWidth="1"/>
    <col min="4" max="4" width="17.85546875" bestFit="1" customWidth="1"/>
    <col min="7" max="7" width="22.7109375" bestFit="1" customWidth="1"/>
    <col min="8" max="8" width="22" bestFit="1" customWidth="1"/>
  </cols>
  <sheetData>
    <row r="1" spans="2:8" x14ac:dyDescent="0.25">
      <c r="D1" s="8"/>
    </row>
    <row r="2" spans="2:8" x14ac:dyDescent="0.25">
      <c r="D2" s="8"/>
    </row>
    <row r="3" spans="2:8" x14ac:dyDescent="0.25">
      <c r="B3" s="18" t="s">
        <v>27</v>
      </c>
      <c r="C3" s="18" t="s">
        <v>28</v>
      </c>
      <c r="D3" s="18" t="s">
        <v>29</v>
      </c>
      <c r="E3" s="11"/>
      <c r="F3" s="18" t="s">
        <v>27</v>
      </c>
      <c r="G3" s="18" t="s">
        <v>50</v>
      </c>
      <c r="H3" s="29" t="s">
        <v>49</v>
      </c>
    </row>
    <row r="4" spans="2:8" x14ac:dyDescent="0.25">
      <c r="B4" s="19">
        <v>298</v>
      </c>
      <c r="C4" s="19">
        <v>0</v>
      </c>
      <c r="D4" s="19">
        <f>C4*1000</f>
        <v>0</v>
      </c>
      <c r="F4" s="19">
        <v>298</v>
      </c>
      <c r="G4" s="33">
        <f xml:space="preserve"> 0.000003854204489*F4^2 + 0.034398646956786*F4 - 11.6102355293121</f>
        <v>-1.0171699607487152</v>
      </c>
      <c r="H4" s="34">
        <f>G4*1000</f>
        <v>-1017.1699607487152</v>
      </c>
    </row>
    <row r="5" spans="2:8" x14ac:dyDescent="0.25">
      <c r="B5" s="19">
        <v>300</v>
      </c>
      <c r="C5" s="19">
        <v>0.06</v>
      </c>
      <c r="D5" s="19">
        <f t="shared" ref="D5:D68" si="0">C5*1000</f>
        <v>60</v>
      </c>
      <c r="F5" s="22">
        <v>300</v>
      </c>
      <c r="G5" s="33">
        <f t="shared" ref="G5:G68" si="1" xml:space="preserve"> 0.000003854204489*F5^2 + 0.034398646956786*F5 - 11.6102355293121</f>
        <v>-0.94376303826629737</v>
      </c>
      <c r="H5" s="34">
        <f t="shared" ref="H5:H68" si="2">G5*1000</f>
        <v>-943.76303826629737</v>
      </c>
    </row>
    <row r="6" spans="2:8" x14ac:dyDescent="0.25">
      <c r="B6" s="19">
        <v>350</v>
      </c>
      <c r="C6" s="19">
        <v>1.75</v>
      </c>
      <c r="D6" s="19">
        <f t="shared" si="0"/>
        <v>1750</v>
      </c>
      <c r="F6" s="22">
        <v>310</v>
      </c>
      <c r="G6" s="33">
        <f t="shared" si="1"/>
        <v>-0.57626592131553878</v>
      </c>
      <c r="H6" s="34">
        <f t="shared" si="2"/>
        <v>-576.26592131553878</v>
      </c>
    </row>
    <row r="7" spans="2:8" x14ac:dyDescent="0.25">
      <c r="B7" s="19">
        <v>400</v>
      </c>
      <c r="C7" s="19">
        <v>3.46</v>
      </c>
      <c r="D7" s="19">
        <f t="shared" si="0"/>
        <v>3460</v>
      </c>
      <c r="F7" s="22">
        <v>320</v>
      </c>
      <c r="G7" s="33">
        <f t="shared" si="1"/>
        <v>-0.20799796346697796</v>
      </c>
      <c r="H7" s="34">
        <f t="shared" si="2"/>
        <v>-207.99796346697798</v>
      </c>
    </row>
    <row r="8" spans="2:8" x14ac:dyDescent="0.25">
      <c r="B8" s="19">
        <v>450</v>
      </c>
      <c r="C8" s="19">
        <v>5.19</v>
      </c>
      <c r="D8" s="19">
        <f t="shared" si="0"/>
        <v>5190</v>
      </c>
      <c r="F8" s="22">
        <v>330</v>
      </c>
      <c r="G8" s="33">
        <f t="shared" si="1"/>
        <v>0.16104083527938151</v>
      </c>
      <c r="H8" s="34">
        <f t="shared" si="2"/>
        <v>161.0408352793815</v>
      </c>
    </row>
    <row r="9" spans="2:8" x14ac:dyDescent="0.25">
      <c r="B9" s="19">
        <v>500</v>
      </c>
      <c r="C9" s="19">
        <v>6.95</v>
      </c>
      <c r="D9" s="19">
        <f t="shared" si="0"/>
        <v>6950</v>
      </c>
      <c r="F9" s="22">
        <v>340</v>
      </c>
      <c r="G9" s="33">
        <f t="shared" si="1"/>
        <v>0.53085047492354143</v>
      </c>
      <c r="H9" s="34">
        <f t="shared" si="2"/>
        <v>530.85047492354147</v>
      </c>
    </row>
    <row r="10" spans="2:8" x14ac:dyDescent="0.25">
      <c r="B10" s="19">
        <v>550</v>
      </c>
      <c r="C10" s="19">
        <v>8.73</v>
      </c>
      <c r="D10" s="19">
        <f t="shared" si="0"/>
        <v>8730</v>
      </c>
      <c r="F10" s="22">
        <v>350</v>
      </c>
      <c r="G10" s="33">
        <f t="shared" si="1"/>
        <v>0.90143095546550178</v>
      </c>
      <c r="H10" s="34">
        <f t="shared" si="2"/>
        <v>901.43095546550182</v>
      </c>
    </row>
    <row r="11" spans="2:8" x14ac:dyDescent="0.25">
      <c r="B11" s="19">
        <v>600</v>
      </c>
      <c r="C11" s="19">
        <v>10.53</v>
      </c>
      <c r="D11" s="19">
        <f t="shared" si="0"/>
        <v>10530</v>
      </c>
      <c r="F11" s="22">
        <v>360</v>
      </c>
      <c r="G11" s="33">
        <f t="shared" si="1"/>
        <v>1.2727822769052608</v>
      </c>
      <c r="H11" s="34">
        <f t="shared" si="2"/>
        <v>1272.7822769052609</v>
      </c>
    </row>
    <row r="12" spans="2:8" x14ac:dyDescent="0.25">
      <c r="B12" s="19">
        <v>650</v>
      </c>
      <c r="C12" s="19">
        <v>12.35</v>
      </c>
      <c r="D12" s="19">
        <f t="shared" si="0"/>
        <v>12350</v>
      </c>
      <c r="F12" s="22">
        <v>370</v>
      </c>
      <c r="G12" s="33">
        <f t="shared" si="1"/>
        <v>1.6449044392428203</v>
      </c>
      <c r="H12" s="34">
        <f t="shared" si="2"/>
        <v>1644.9044392428202</v>
      </c>
    </row>
    <row r="13" spans="2:8" x14ac:dyDescent="0.25">
      <c r="B13" s="19">
        <v>700</v>
      </c>
      <c r="C13" s="19">
        <v>14.21</v>
      </c>
      <c r="D13" s="19">
        <f t="shared" si="0"/>
        <v>14210</v>
      </c>
      <c r="F13" s="22">
        <v>380</v>
      </c>
      <c r="G13" s="33">
        <f t="shared" si="1"/>
        <v>2.0177974424781819</v>
      </c>
      <c r="H13" s="34">
        <f t="shared" si="2"/>
        <v>2017.7974424781819</v>
      </c>
    </row>
    <row r="14" spans="2:8" x14ac:dyDescent="0.25">
      <c r="B14" s="19">
        <v>750</v>
      </c>
      <c r="C14" s="19">
        <v>16.09</v>
      </c>
      <c r="D14" s="19">
        <f t="shared" si="0"/>
        <v>16090</v>
      </c>
      <c r="F14" s="22">
        <v>390</v>
      </c>
      <c r="G14" s="33">
        <f t="shared" si="1"/>
        <v>2.3914612866113423</v>
      </c>
      <c r="H14" s="34">
        <f t="shared" si="2"/>
        <v>2391.4612866113421</v>
      </c>
    </row>
    <row r="15" spans="2:8" x14ac:dyDescent="0.25">
      <c r="B15" s="19">
        <v>800</v>
      </c>
      <c r="C15" s="19">
        <v>18</v>
      </c>
      <c r="D15" s="19">
        <f t="shared" si="0"/>
        <v>18000</v>
      </c>
      <c r="F15" s="22">
        <v>400</v>
      </c>
      <c r="G15" s="33">
        <f t="shared" si="1"/>
        <v>2.7658959716423013</v>
      </c>
      <c r="H15" s="34">
        <f t="shared" si="2"/>
        <v>2765.8959716423014</v>
      </c>
    </row>
    <row r="16" spans="2:8" x14ac:dyDescent="0.25">
      <c r="B16" s="19">
        <v>850</v>
      </c>
      <c r="C16" s="19">
        <v>19.95</v>
      </c>
      <c r="D16" s="19">
        <f t="shared" si="0"/>
        <v>19950</v>
      </c>
      <c r="F16" s="22">
        <v>410</v>
      </c>
      <c r="G16" s="33">
        <f t="shared" si="1"/>
        <v>3.1411014975710625</v>
      </c>
      <c r="H16" s="34">
        <f t="shared" si="2"/>
        <v>3141.1014975710623</v>
      </c>
    </row>
    <row r="17" spans="2:8" x14ac:dyDescent="0.25">
      <c r="B17" s="19">
        <v>900</v>
      </c>
      <c r="C17" s="19">
        <v>21.93</v>
      </c>
      <c r="D17" s="19">
        <f t="shared" si="0"/>
        <v>21930</v>
      </c>
      <c r="F17" s="22">
        <v>420</v>
      </c>
      <c r="G17" s="33">
        <f t="shared" si="1"/>
        <v>3.5170778643976224</v>
      </c>
      <c r="H17" s="34">
        <f t="shared" si="2"/>
        <v>3517.0778643976223</v>
      </c>
    </row>
    <row r="18" spans="2:8" x14ac:dyDescent="0.25">
      <c r="B18" s="19">
        <v>950</v>
      </c>
      <c r="C18" s="19">
        <v>23.94</v>
      </c>
      <c r="D18" s="19">
        <f t="shared" si="0"/>
        <v>23940</v>
      </c>
      <c r="F18" s="22">
        <v>430</v>
      </c>
      <c r="G18" s="33">
        <f t="shared" si="1"/>
        <v>3.8938250721219809</v>
      </c>
      <c r="H18" s="34">
        <f t="shared" si="2"/>
        <v>3893.8250721219811</v>
      </c>
    </row>
    <row r="19" spans="2:8" x14ac:dyDescent="0.25">
      <c r="B19" s="19">
        <v>1000</v>
      </c>
      <c r="C19" s="19">
        <v>25.99</v>
      </c>
      <c r="D19" s="19">
        <f t="shared" si="0"/>
        <v>25990</v>
      </c>
      <c r="F19" s="22">
        <v>440</v>
      </c>
      <c r="G19" s="33">
        <f t="shared" si="1"/>
        <v>4.2713431207441417</v>
      </c>
      <c r="H19" s="34">
        <f t="shared" si="2"/>
        <v>4271.3431207441417</v>
      </c>
    </row>
    <row r="20" spans="2:8" x14ac:dyDescent="0.25">
      <c r="B20" s="19">
        <v>1050</v>
      </c>
      <c r="C20" s="19">
        <v>28.07</v>
      </c>
      <c r="D20" s="19">
        <f t="shared" si="0"/>
        <v>28070</v>
      </c>
      <c r="F20" s="22">
        <v>450</v>
      </c>
      <c r="G20" s="33">
        <f t="shared" si="1"/>
        <v>4.6496320102641029</v>
      </c>
      <c r="H20" s="34">
        <f t="shared" si="2"/>
        <v>4649.632010264103</v>
      </c>
    </row>
    <row r="21" spans="2:8" x14ac:dyDescent="0.25">
      <c r="B21" s="19">
        <v>1100</v>
      </c>
      <c r="C21" s="19">
        <v>30.19</v>
      </c>
      <c r="D21" s="19">
        <f t="shared" si="0"/>
        <v>30190</v>
      </c>
      <c r="F21" s="22">
        <v>460</v>
      </c>
      <c r="G21" s="33">
        <f t="shared" si="1"/>
        <v>5.028691740681861</v>
      </c>
      <c r="H21" s="34">
        <f t="shared" si="2"/>
        <v>5028.6917406818611</v>
      </c>
    </row>
    <row r="22" spans="2:8" x14ac:dyDescent="0.25">
      <c r="B22" s="19">
        <v>1150</v>
      </c>
      <c r="C22" s="19">
        <v>32.340000000000003</v>
      </c>
      <c r="D22" s="19">
        <f t="shared" si="0"/>
        <v>32340.000000000004</v>
      </c>
      <c r="F22" s="22">
        <v>470</v>
      </c>
      <c r="G22" s="33">
        <f t="shared" si="1"/>
        <v>5.4085223119974195</v>
      </c>
      <c r="H22" s="34">
        <f t="shared" si="2"/>
        <v>5408.5223119974198</v>
      </c>
    </row>
    <row r="23" spans="2:8" x14ac:dyDescent="0.25">
      <c r="B23" s="19">
        <v>1200</v>
      </c>
      <c r="C23" s="19">
        <v>34.520000000000003</v>
      </c>
      <c r="D23" s="19">
        <f t="shared" si="0"/>
        <v>34520</v>
      </c>
      <c r="F23" s="22">
        <v>480</v>
      </c>
      <c r="G23" s="33">
        <f t="shared" si="1"/>
        <v>5.789123724210782</v>
      </c>
      <c r="H23" s="34">
        <f t="shared" si="2"/>
        <v>5789.1237242107818</v>
      </c>
    </row>
    <row r="24" spans="2:8" x14ac:dyDescent="0.25">
      <c r="B24" s="19">
        <v>1250</v>
      </c>
      <c r="C24" s="19">
        <v>36.72</v>
      </c>
      <c r="D24" s="19">
        <f t="shared" si="0"/>
        <v>36720</v>
      </c>
      <c r="F24" s="22">
        <v>490</v>
      </c>
      <c r="G24" s="33">
        <f t="shared" si="1"/>
        <v>6.1704959773219414</v>
      </c>
      <c r="H24" s="34">
        <f t="shared" si="2"/>
        <v>6170.4959773219416</v>
      </c>
    </row>
    <row r="25" spans="2:8" x14ac:dyDescent="0.25">
      <c r="B25" s="19">
        <v>1300</v>
      </c>
      <c r="C25" s="19">
        <v>38.96</v>
      </c>
      <c r="D25" s="19">
        <f t="shared" si="0"/>
        <v>38960</v>
      </c>
      <c r="F25" s="22">
        <v>500</v>
      </c>
      <c r="G25" s="33">
        <f t="shared" si="1"/>
        <v>6.5526390713309013</v>
      </c>
      <c r="H25" s="34">
        <f t="shared" si="2"/>
        <v>6552.6390713309011</v>
      </c>
    </row>
    <row r="26" spans="2:8" x14ac:dyDescent="0.25">
      <c r="B26" s="19">
        <v>1350</v>
      </c>
      <c r="C26" s="19">
        <v>41.23</v>
      </c>
      <c r="D26" s="19">
        <f t="shared" si="0"/>
        <v>41230</v>
      </c>
      <c r="F26" s="22">
        <v>510</v>
      </c>
      <c r="G26" s="33">
        <f t="shared" si="1"/>
        <v>6.9355530062376616</v>
      </c>
      <c r="H26" s="34">
        <f t="shared" si="2"/>
        <v>6935.553006237662</v>
      </c>
    </row>
    <row r="27" spans="2:8" x14ac:dyDescent="0.25">
      <c r="B27" s="19">
        <v>1400</v>
      </c>
      <c r="C27" s="19">
        <v>43.52</v>
      </c>
      <c r="D27" s="19">
        <f t="shared" si="0"/>
        <v>43520</v>
      </c>
      <c r="F27" s="22">
        <v>520</v>
      </c>
      <c r="G27" s="33">
        <f t="shared" si="1"/>
        <v>7.3192377820422223</v>
      </c>
      <c r="H27" s="34">
        <f t="shared" si="2"/>
        <v>7319.2377820422225</v>
      </c>
    </row>
    <row r="28" spans="2:8" x14ac:dyDescent="0.25">
      <c r="B28" s="19">
        <v>1450</v>
      </c>
      <c r="C28" s="19">
        <v>45.84</v>
      </c>
      <c r="D28" s="19">
        <f t="shared" si="0"/>
        <v>45840</v>
      </c>
      <c r="F28" s="22">
        <v>530</v>
      </c>
      <c r="G28" s="33">
        <f t="shared" si="1"/>
        <v>7.7036933987445835</v>
      </c>
      <c r="H28" s="34">
        <f t="shared" si="2"/>
        <v>7703.6933987445836</v>
      </c>
    </row>
    <row r="29" spans="2:8" x14ac:dyDescent="0.25">
      <c r="B29" s="19">
        <v>1500</v>
      </c>
      <c r="C29" s="19">
        <v>48.18</v>
      </c>
      <c r="D29" s="19">
        <f t="shared" si="0"/>
        <v>48180</v>
      </c>
      <c r="F29" s="22">
        <v>540</v>
      </c>
      <c r="G29" s="33">
        <f t="shared" si="1"/>
        <v>8.0889198563447415</v>
      </c>
      <c r="H29" s="34">
        <f t="shared" si="2"/>
        <v>8088.9198563447417</v>
      </c>
    </row>
    <row r="30" spans="2:8" x14ac:dyDescent="0.25">
      <c r="B30" s="19">
        <v>1550</v>
      </c>
      <c r="C30" s="19">
        <v>50.55</v>
      </c>
      <c r="D30" s="19">
        <f t="shared" si="0"/>
        <v>50550</v>
      </c>
      <c r="F30" s="22">
        <v>550</v>
      </c>
      <c r="G30" s="33">
        <f t="shared" si="1"/>
        <v>8.4749171548427036</v>
      </c>
      <c r="H30" s="34">
        <f t="shared" si="2"/>
        <v>8474.9171548427039</v>
      </c>
    </row>
    <row r="31" spans="2:8" x14ac:dyDescent="0.25">
      <c r="B31" s="19">
        <v>1600</v>
      </c>
      <c r="C31" s="19">
        <v>52.94</v>
      </c>
      <c r="D31" s="19">
        <f t="shared" si="0"/>
        <v>52940</v>
      </c>
      <c r="F31" s="22">
        <v>560</v>
      </c>
      <c r="G31" s="33">
        <f t="shared" si="1"/>
        <v>8.8616852942384625</v>
      </c>
      <c r="H31" s="34">
        <f t="shared" si="2"/>
        <v>8861.685294238463</v>
      </c>
    </row>
    <row r="32" spans="2:8" x14ac:dyDescent="0.25">
      <c r="B32" s="19">
        <v>1650</v>
      </c>
      <c r="C32" s="19">
        <v>55.35</v>
      </c>
      <c r="D32" s="19">
        <f t="shared" si="0"/>
        <v>55350</v>
      </c>
      <c r="F32" s="22">
        <v>570</v>
      </c>
      <c r="G32" s="33">
        <f t="shared" si="1"/>
        <v>9.2492242745320219</v>
      </c>
      <c r="H32" s="34">
        <f t="shared" si="2"/>
        <v>9249.2242745320218</v>
      </c>
    </row>
    <row r="33" spans="2:8" x14ac:dyDescent="0.25">
      <c r="B33" s="19">
        <v>1700</v>
      </c>
      <c r="C33" s="19">
        <v>57.78</v>
      </c>
      <c r="D33" s="19">
        <f t="shared" si="0"/>
        <v>57780</v>
      </c>
      <c r="F33" s="22">
        <v>580</v>
      </c>
      <c r="G33" s="33">
        <f t="shared" si="1"/>
        <v>9.6375340957233817</v>
      </c>
      <c r="H33" s="34">
        <f t="shared" si="2"/>
        <v>9637.5340957233821</v>
      </c>
    </row>
    <row r="34" spans="2:8" x14ac:dyDescent="0.25">
      <c r="B34" s="19">
        <v>1750</v>
      </c>
      <c r="C34" s="19">
        <v>60.24</v>
      </c>
      <c r="D34" s="19">
        <f t="shared" si="0"/>
        <v>60240</v>
      </c>
      <c r="F34" s="22">
        <v>590</v>
      </c>
      <c r="G34" s="33">
        <f t="shared" si="1"/>
        <v>10.026614757812542</v>
      </c>
      <c r="H34" s="34">
        <f t="shared" si="2"/>
        <v>10026.614757812542</v>
      </c>
    </row>
    <row r="35" spans="2:8" x14ac:dyDescent="0.25">
      <c r="B35" s="19">
        <v>1800</v>
      </c>
      <c r="C35" s="19">
        <v>62.71</v>
      </c>
      <c r="D35" s="19">
        <f t="shared" si="0"/>
        <v>62710</v>
      </c>
      <c r="F35" s="22">
        <v>600</v>
      </c>
      <c r="G35" s="33">
        <f t="shared" si="1"/>
        <v>10.416466260799503</v>
      </c>
      <c r="H35" s="34">
        <f t="shared" si="2"/>
        <v>10416.466260799503</v>
      </c>
    </row>
    <row r="36" spans="2:8" x14ac:dyDescent="0.25">
      <c r="B36" s="19">
        <v>1850</v>
      </c>
      <c r="C36" s="19">
        <v>65.209999999999994</v>
      </c>
      <c r="D36" s="19">
        <f t="shared" si="0"/>
        <v>65209.999999999993</v>
      </c>
      <c r="F36" s="22">
        <v>610</v>
      </c>
      <c r="G36" s="33">
        <f t="shared" si="1"/>
        <v>10.807088604684264</v>
      </c>
      <c r="H36" s="34">
        <f t="shared" si="2"/>
        <v>10807.088604684264</v>
      </c>
    </row>
    <row r="37" spans="2:8" x14ac:dyDescent="0.25">
      <c r="B37" s="19">
        <v>1900</v>
      </c>
      <c r="C37" s="19">
        <v>67.72</v>
      </c>
      <c r="D37" s="19">
        <f t="shared" si="0"/>
        <v>67720</v>
      </c>
      <c r="F37" s="22">
        <v>620</v>
      </c>
      <c r="G37" s="33">
        <f t="shared" si="1"/>
        <v>11.198481789466822</v>
      </c>
      <c r="H37" s="34">
        <f t="shared" si="2"/>
        <v>11198.481789466821</v>
      </c>
    </row>
    <row r="38" spans="2:8" x14ac:dyDescent="0.25">
      <c r="B38" s="19">
        <v>1950</v>
      </c>
      <c r="C38" s="19">
        <v>70.25</v>
      </c>
      <c r="D38" s="19">
        <f t="shared" si="0"/>
        <v>70250</v>
      </c>
      <c r="F38" s="22">
        <v>630</v>
      </c>
      <c r="G38" s="33">
        <f t="shared" si="1"/>
        <v>11.59064581514718</v>
      </c>
      <c r="H38" s="34">
        <f t="shared" si="2"/>
        <v>11590.64581514718</v>
      </c>
    </row>
    <row r="39" spans="2:8" x14ac:dyDescent="0.25">
      <c r="B39" s="19">
        <v>2000</v>
      </c>
      <c r="C39" s="19">
        <v>72.8</v>
      </c>
      <c r="D39" s="19">
        <f t="shared" si="0"/>
        <v>72800</v>
      </c>
      <c r="F39" s="22">
        <v>640</v>
      </c>
      <c r="G39" s="33">
        <f t="shared" si="1"/>
        <v>11.983580681725343</v>
      </c>
      <c r="H39" s="34">
        <f t="shared" si="2"/>
        <v>11983.580681725343</v>
      </c>
    </row>
    <row r="40" spans="2:8" x14ac:dyDescent="0.25">
      <c r="B40" s="19">
        <v>2050</v>
      </c>
      <c r="C40" s="19">
        <v>75.37</v>
      </c>
      <c r="D40" s="19">
        <f t="shared" si="0"/>
        <v>75370</v>
      </c>
      <c r="F40" s="22">
        <v>650</v>
      </c>
      <c r="G40" s="33">
        <f t="shared" si="1"/>
        <v>12.377286389201302</v>
      </c>
      <c r="H40" s="34">
        <f t="shared" si="2"/>
        <v>12377.286389201303</v>
      </c>
    </row>
    <row r="41" spans="2:8" x14ac:dyDescent="0.25">
      <c r="B41" s="19">
        <v>2100</v>
      </c>
      <c r="C41" s="19">
        <v>77.95</v>
      </c>
      <c r="D41" s="19">
        <f t="shared" si="0"/>
        <v>77950</v>
      </c>
      <c r="F41" s="22">
        <v>660</v>
      </c>
      <c r="G41" s="33">
        <f t="shared" si="1"/>
        <v>12.771762937575062</v>
      </c>
      <c r="H41" s="34">
        <f t="shared" si="2"/>
        <v>12771.762937575062</v>
      </c>
    </row>
    <row r="42" spans="2:8" x14ac:dyDescent="0.25">
      <c r="B42" s="19">
        <v>2150</v>
      </c>
      <c r="C42" s="19">
        <v>80.540000000000006</v>
      </c>
      <c r="D42" s="19">
        <f t="shared" si="0"/>
        <v>80540</v>
      </c>
      <c r="F42" s="22">
        <v>670</v>
      </c>
      <c r="G42" s="33">
        <f t="shared" si="1"/>
        <v>13.167010326846622</v>
      </c>
      <c r="H42" s="34">
        <f t="shared" si="2"/>
        <v>13167.010326846623</v>
      </c>
    </row>
    <row r="43" spans="2:8" x14ac:dyDescent="0.25">
      <c r="B43" s="19">
        <v>2200</v>
      </c>
      <c r="C43" s="19">
        <v>83.16</v>
      </c>
      <c r="D43" s="19">
        <f t="shared" si="0"/>
        <v>83160</v>
      </c>
      <c r="F43" s="22">
        <v>680</v>
      </c>
      <c r="G43" s="33">
        <f t="shared" si="1"/>
        <v>13.563028557015983</v>
      </c>
      <c r="H43" s="34">
        <f t="shared" si="2"/>
        <v>13563.028557015983</v>
      </c>
    </row>
    <row r="44" spans="2:8" x14ac:dyDescent="0.25">
      <c r="B44" s="19">
        <v>2250</v>
      </c>
      <c r="C44" s="19">
        <v>85.78</v>
      </c>
      <c r="D44" s="19">
        <f t="shared" si="0"/>
        <v>85780</v>
      </c>
      <c r="F44" s="22">
        <v>690</v>
      </c>
      <c r="G44" s="33">
        <f t="shared" si="1"/>
        <v>13.95981762808314</v>
      </c>
      <c r="H44" s="34">
        <f t="shared" si="2"/>
        <v>13959.817628083139</v>
      </c>
    </row>
    <row r="45" spans="2:8" x14ac:dyDescent="0.25">
      <c r="B45" s="19">
        <v>2300</v>
      </c>
      <c r="C45" s="19">
        <v>88.42</v>
      </c>
      <c r="D45" s="19">
        <f t="shared" si="0"/>
        <v>88420</v>
      </c>
      <c r="F45" s="22">
        <v>700</v>
      </c>
      <c r="G45" s="33">
        <f t="shared" si="1"/>
        <v>14.357377540048105</v>
      </c>
      <c r="H45" s="34">
        <f t="shared" si="2"/>
        <v>14357.377540048106</v>
      </c>
    </row>
    <row r="46" spans="2:8" x14ac:dyDescent="0.25">
      <c r="B46" s="19">
        <v>2350</v>
      </c>
      <c r="C46" s="19">
        <v>91.07</v>
      </c>
      <c r="D46" s="19">
        <f t="shared" si="0"/>
        <v>91070</v>
      </c>
      <c r="F46" s="22">
        <v>710</v>
      </c>
      <c r="G46" s="33">
        <f t="shared" si="1"/>
        <v>14.755708292910864</v>
      </c>
      <c r="H46" s="34">
        <f t="shared" si="2"/>
        <v>14755.708292910864</v>
      </c>
    </row>
    <row r="47" spans="2:8" x14ac:dyDescent="0.25">
      <c r="B47" s="19">
        <v>2400</v>
      </c>
      <c r="C47" s="19">
        <v>93.74</v>
      </c>
      <c r="D47" s="19">
        <f t="shared" si="0"/>
        <v>93740</v>
      </c>
      <c r="F47" s="22">
        <v>720</v>
      </c>
      <c r="G47" s="33">
        <f t="shared" si="1"/>
        <v>15.154809886671423</v>
      </c>
      <c r="H47" s="34">
        <f t="shared" si="2"/>
        <v>15154.809886671423</v>
      </c>
    </row>
    <row r="48" spans="2:8" x14ac:dyDescent="0.25">
      <c r="B48" s="19">
        <v>2450</v>
      </c>
      <c r="C48" s="19">
        <v>96.42</v>
      </c>
      <c r="D48" s="19">
        <f t="shared" si="0"/>
        <v>96420</v>
      </c>
      <c r="F48" s="22">
        <v>730</v>
      </c>
      <c r="G48" s="33">
        <f t="shared" si="1"/>
        <v>15.554682321329782</v>
      </c>
      <c r="H48" s="34">
        <f t="shared" si="2"/>
        <v>15554.682321329781</v>
      </c>
    </row>
    <row r="49" spans="2:8" x14ac:dyDescent="0.25">
      <c r="B49" s="19">
        <v>2500</v>
      </c>
      <c r="C49" s="19">
        <v>99.11</v>
      </c>
      <c r="D49" s="19">
        <f t="shared" si="0"/>
        <v>99110</v>
      </c>
      <c r="F49" s="22">
        <v>740</v>
      </c>
      <c r="G49" s="33">
        <f t="shared" si="1"/>
        <v>15.955325596885942</v>
      </c>
      <c r="H49" s="34">
        <f t="shared" si="2"/>
        <v>15955.325596885941</v>
      </c>
    </row>
    <row r="50" spans="2:8" x14ac:dyDescent="0.25">
      <c r="B50" s="19">
        <v>2550</v>
      </c>
      <c r="C50" s="19">
        <v>101.81</v>
      </c>
      <c r="D50" s="19">
        <f t="shared" si="0"/>
        <v>101810</v>
      </c>
      <c r="F50" s="22">
        <v>750</v>
      </c>
      <c r="G50" s="33">
        <f t="shared" si="1"/>
        <v>16.356739713339902</v>
      </c>
      <c r="H50" s="34">
        <f t="shared" si="2"/>
        <v>16356.739713339903</v>
      </c>
    </row>
    <row r="51" spans="2:8" x14ac:dyDescent="0.25">
      <c r="B51" s="19">
        <v>2600</v>
      </c>
      <c r="C51" s="19">
        <v>104.52</v>
      </c>
      <c r="D51" s="19">
        <f t="shared" si="0"/>
        <v>104520</v>
      </c>
      <c r="F51" s="22">
        <v>760</v>
      </c>
      <c r="G51" s="33">
        <f t="shared" si="1"/>
        <v>16.758924670691663</v>
      </c>
      <c r="H51" s="34">
        <f t="shared" si="2"/>
        <v>16758.924670691664</v>
      </c>
    </row>
    <row r="52" spans="2:8" x14ac:dyDescent="0.25">
      <c r="B52" s="19">
        <v>2650</v>
      </c>
      <c r="C52" s="19">
        <v>107.24</v>
      </c>
      <c r="D52" s="19">
        <f t="shared" si="0"/>
        <v>107240</v>
      </c>
      <c r="F52" s="22">
        <v>770</v>
      </c>
      <c r="G52" s="33">
        <f t="shared" si="1"/>
        <v>17.161880468941224</v>
      </c>
      <c r="H52" s="34">
        <f t="shared" si="2"/>
        <v>17161.880468941225</v>
      </c>
    </row>
    <row r="53" spans="2:8" x14ac:dyDescent="0.25">
      <c r="B53" s="19">
        <v>2700</v>
      </c>
      <c r="C53" s="19">
        <v>109.97</v>
      </c>
      <c r="D53" s="19">
        <f t="shared" si="0"/>
        <v>109970</v>
      </c>
      <c r="F53" s="22">
        <v>780</v>
      </c>
      <c r="G53" s="33">
        <f t="shared" si="1"/>
        <v>17.565607108088582</v>
      </c>
      <c r="H53" s="34">
        <f t="shared" si="2"/>
        <v>17565.607108088581</v>
      </c>
    </row>
    <row r="54" spans="2:8" x14ac:dyDescent="0.25">
      <c r="B54" s="19">
        <v>2750</v>
      </c>
      <c r="C54" s="19">
        <v>112.72</v>
      </c>
      <c r="D54" s="19">
        <f t="shared" si="0"/>
        <v>112720</v>
      </c>
      <c r="F54" s="22">
        <v>790</v>
      </c>
      <c r="G54" s="33">
        <f t="shared" si="1"/>
        <v>17.970104588133744</v>
      </c>
      <c r="H54" s="34">
        <f t="shared" si="2"/>
        <v>17970.104588133745</v>
      </c>
    </row>
    <row r="55" spans="2:8" x14ac:dyDescent="0.25">
      <c r="B55" s="19">
        <v>2800</v>
      </c>
      <c r="C55" s="19">
        <v>115.47</v>
      </c>
      <c r="D55" s="19">
        <f t="shared" si="0"/>
        <v>115470</v>
      </c>
      <c r="F55" s="22">
        <v>800</v>
      </c>
      <c r="G55" s="33">
        <f t="shared" si="1"/>
        <v>18.375372909076702</v>
      </c>
      <c r="H55" s="34">
        <f t="shared" si="2"/>
        <v>18375.372909076701</v>
      </c>
    </row>
    <row r="56" spans="2:8" x14ac:dyDescent="0.25">
      <c r="B56" s="19">
        <v>2850</v>
      </c>
      <c r="C56" s="19">
        <v>118.23</v>
      </c>
      <c r="D56" s="19">
        <f t="shared" si="0"/>
        <v>118230</v>
      </c>
      <c r="F56" s="22">
        <v>810</v>
      </c>
      <c r="G56" s="33">
        <f t="shared" si="1"/>
        <v>18.781412070917465</v>
      </c>
      <c r="H56" s="34">
        <f t="shared" si="2"/>
        <v>18781.412070917464</v>
      </c>
    </row>
    <row r="57" spans="2:8" x14ac:dyDescent="0.25">
      <c r="B57" s="19">
        <v>2900</v>
      </c>
      <c r="C57" s="19">
        <v>120.99</v>
      </c>
      <c r="D57" s="19">
        <f t="shared" si="0"/>
        <v>120990</v>
      </c>
      <c r="F57" s="22">
        <v>820</v>
      </c>
      <c r="G57" s="33">
        <f t="shared" si="1"/>
        <v>19.188222073656025</v>
      </c>
      <c r="H57" s="34">
        <f t="shared" si="2"/>
        <v>19188.222073656027</v>
      </c>
    </row>
    <row r="58" spans="2:8" x14ac:dyDescent="0.25">
      <c r="B58" s="19">
        <v>2950</v>
      </c>
      <c r="C58" s="19">
        <v>123.77</v>
      </c>
      <c r="D58" s="19">
        <f t="shared" si="0"/>
        <v>123770</v>
      </c>
      <c r="F58" s="22">
        <v>830</v>
      </c>
      <c r="G58" s="33">
        <f t="shared" si="1"/>
        <v>19.595802917292382</v>
      </c>
      <c r="H58" s="34">
        <f t="shared" si="2"/>
        <v>19595.802917292382</v>
      </c>
    </row>
    <row r="59" spans="2:8" x14ac:dyDescent="0.25">
      <c r="B59" s="19">
        <v>3000</v>
      </c>
      <c r="C59" s="19">
        <v>126.56</v>
      </c>
      <c r="D59" s="19">
        <f t="shared" si="0"/>
        <v>126560</v>
      </c>
      <c r="F59" s="22">
        <v>840</v>
      </c>
      <c r="G59" s="33">
        <f t="shared" si="1"/>
        <v>20.004154601826542</v>
      </c>
      <c r="H59" s="34">
        <f t="shared" si="2"/>
        <v>20004.154601826544</v>
      </c>
    </row>
    <row r="60" spans="2:8" x14ac:dyDescent="0.25">
      <c r="B60" s="19">
        <v>3050</v>
      </c>
      <c r="C60" s="19">
        <v>129.35</v>
      </c>
      <c r="D60" s="19">
        <f t="shared" si="0"/>
        <v>129350</v>
      </c>
      <c r="F60" s="22">
        <v>850</v>
      </c>
      <c r="G60" s="33">
        <f t="shared" si="1"/>
        <v>20.413277127258503</v>
      </c>
      <c r="H60" s="34">
        <f t="shared" si="2"/>
        <v>20413.277127258501</v>
      </c>
    </row>
    <row r="61" spans="2:8" x14ac:dyDescent="0.25">
      <c r="B61" s="19">
        <v>3100</v>
      </c>
      <c r="C61" s="19">
        <v>132.15</v>
      </c>
      <c r="D61" s="19">
        <f t="shared" si="0"/>
        <v>132150</v>
      </c>
      <c r="F61" s="22">
        <v>860</v>
      </c>
      <c r="G61" s="33">
        <f t="shared" si="1"/>
        <v>20.823170493588258</v>
      </c>
      <c r="H61" s="34">
        <f t="shared" si="2"/>
        <v>20823.170493588259</v>
      </c>
    </row>
    <row r="62" spans="2:8" x14ac:dyDescent="0.25">
      <c r="B62" s="19">
        <v>3150</v>
      </c>
      <c r="C62" s="19">
        <v>134.96</v>
      </c>
      <c r="D62" s="19">
        <f t="shared" si="0"/>
        <v>134960</v>
      </c>
      <c r="F62" s="22">
        <v>870</v>
      </c>
      <c r="G62" s="33">
        <f t="shared" si="1"/>
        <v>21.233834700815827</v>
      </c>
      <c r="H62" s="34">
        <f t="shared" si="2"/>
        <v>21233.834700815827</v>
      </c>
    </row>
    <row r="63" spans="2:8" x14ac:dyDescent="0.25">
      <c r="B63" s="19">
        <v>3200</v>
      </c>
      <c r="C63" s="19">
        <v>137.77000000000001</v>
      </c>
      <c r="D63" s="19">
        <f t="shared" si="0"/>
        <v>137770</v>
      </c>
      <c r="F63" s="22">
        <v>880</v>
      </c>
      <c r="G63" s="33">
        <f t="shared" si="1"/>
        <v>21.645269748941182</v>
      </c>
      <c r="H63" s="34">
        <f t="shared" si="2"/>
        <v>21645.26974894118</v>
      </c>
    </row>
    <row r="64" spans="2:8" x14ac:dyDescent="0.25">
      <c r="B64" s="19">
        <v>3250</v>
      </c>
      <c r="C64" s="19">
        <v>140.59</v>
      </c>
      <c r="D64" s="19">
        <f t="shared" si="0"/>
        <v>140590</v>
      </c>
      <c r="F64" s="22">
        <v>890</v>
      </c>
      <c r="G64" s="33">
        <f t="shared" si="1"/>
        <v>22.057475637964345</v>
      </c>
      <c r="H64" s="34">
        <f t="shared" si="2"/>
        <v>22057.475637964344</v>
      </c>
    </row>
    <row r="65" spans="2:8" x14ac:dyDescent="0.25">
      <c r="B65" s="19">
        <v>3300</v>
      </c>
      <c r="C65" s="19">
        <v>143.41999999999999</v>
      </c>
      <c r="D65" s="19">
        <f t="shared" si="0"/>
        <v>143420</v>
      </c>
      <c r="F65" s="22">
        <v>900</v>
      </c>
      <c r="G65" s="33">
        <f t="shared" si="1"/>
        <v>22.470452367885301</v>
      </c>
      <c r="H65" s="34">
        <f t="shared" si="2"/>
        <v>22470.4523678853</v>
      </c>
    </row>
    <row r="66" spans="2:8" x14ac:dyDescent="0.25">
      <c r="B66" s="19">
        <v>3350</v>
      </c>
      <c r="C66" s="19">
        <v>146.25</v>
      </c>
      <c r="D66" s="19">
        <f t="shared" si="0"/>
        <v>146250</v>
      </c>
      <c r="F66" s="22">
        <v>910</v>
      </c>
      <c r="G66" s="33">
        <f t="shared" si="1"/>
        <v>22.884199938704064</v>
      </c>
      <c r="H66" s="34">
        <f t="shared" si="2"/>
        <v>22884.199938704063</v>
      </c>
    </row>
    <row r="67" spans="2:8" x14ac:dyDescent="0.25">
      <c r="B67" s="19">
        <v>3400</v>
      </c>
      <c r="C67" s="19">
        <v>149.09</v>
      </c>
      <c r="D67" s="19">
        <f t="shared" si="0"/>
        <v>149090</v>
      </c>
      <c r="F67" s="22">
        <v>920</v>
      </c>
      <c r="G67" s="33">
        <f t="shared" si="1"/>
        <v>23.298718350420621</v>
      </c>
      <c r="H67" s="34">
        <f t="shared" si="2"/>
        <v>23298.718350420622</v>
      </c>
    </row>
    <row r="68" spans="2:8" x14ac:dyDescent="0.25">
      <c r="B68" s="19">
        <v>3450</v>
      </c>
      <c r="C68" s="19">
        <v>151.94</v>
      </c>
      <c r="D68" s="19">
        <f t="shared" si="0"/>
        <v>151940</v>
      </c>
      <c r="F68" s="22">
        <v>930</v>
      </c>
      <c r="G68" s="33">
        <f t="shared" si="1"/>
        <v>23.714007603034986</v>
      </c>
      <c r="H68" s="34">
        <f t="shared" si="2"/>
        <v>23714.007603034985</v>
      </c>
    </row>
    <row r="69" spans="2:8" x14ac:dyDescent="0.25">
      <c r="B69" s="19">
        <v>3500</v>
      </c>
      <c r="C69" s="19">
        <v>154.79</v>
      </c>
      <c r="D69" s="19">
        <f t="shared" ref="D69" si="3">C69*1000</f>
        <v>154790</v>
      </c>
      <c r="F69" s="22">
        <v>940</v>
      </c>
      <c r="G69" s="33">
        <f t="shared" ref="G69:G132" si="4" xml:space="preserve"> 0.000003854204489*F69^2 + 0.034398646956786*F69 - 11.6102355293121</f>
        <v>24.130067696547137</v>
      </c>
      <c r="H69" s="34">
        <f t="shared" ref="H69:H132" si="5">G69*1000</f>
        <v>24130.067696547136</v>
      </c>
    </row>
    <row r="70" spans="2:8" x14ac:dyDescent="0.25">
      <c r="F70" s="22">
        <v>950</v>
      </c>
      <c r="G70" s="33">
        <f t="shared" si="4"/>
        <v>24.546898630957109</v>
      </c>
      <c r="H70" s="34">
        <f t="shared" si="5"/>
        <v>24546.898630957108</v>
      </c>
    </row>
    <row r="71" spans="2:8" x14ac:dyDescent="0.25">
      <c r="F71" s="22">
        <v>960</v>
      </c>
      <c r="G71" s="33">
        <f t="shared" si="4"/>
        <v>24.964500406264868</v>
      </c>
      <c r="H71" s="34">
        <f t="shared" si="5"/>
        <v>24964.50040626487</v>
      </c>
    </row>
    <row r="72" spans="2:8" x14ac:dyDescent="0.25">
      <c r="F72" s="22">
        <v>970</v>
      </c>
      <c r="G72" s="33">
        <f t="shared" si="4"/>
        <v>25.382873022470427</v>
      </c>
      <c r="H72" s="34">
        <f t="shared" si="5"/>
        <v>25382.873022470427</v>
      </c>
    </row>
    <row r="73" spans="2:8" x14ac:dyDescent="0.25">
      <c r="F73" s="22">
        <v>980</v>
      </c>
      <c r="G73" s="33">
        <f t="shared" si="4"/>
        <v>25.802016479573787</v>
      </c>
      <c r="H73" s="34">
        <f t="shared" si="5"/>
        <v>25802.016479573787</v>
      </c>
    </row>
    <row r="74" spans="2:8" x14ac:dyDescent="0.25">
      <c r="F74" s="22">
        <v>990</v>
      </c>
      <c r="G74" s="33">
        <f t="shared" si="4"/>
        <v>26.221930777574947</v>
      </c>
      <c r="H74" s="34">
        <f t="shared" si="5"/>
        <v>26221.930777574948</v>
      </c>
    </row>
    <row r="75" spans="2:8" x14ac:dyDescent="0.25">
      <c r="F75" s="22">
        <v>1000</v>
      </c>
      <c r="G75" s="33">
        <f t="shared" si="4"/>
        <v>26.6426159164739</v>
      </c>
      <c r="H75" s="34">
        <f t="shared" si="5"/>
        <v>26642.6159164739</v>
      </c>
    </row>
    <row r="76" spans="2:8" x14ac:dyDescent="0.25">
      <c r="F76" s="22">
        <v>1010</v>
      </c>
      <c r="G76" s="33">
        <f t="shared" si="4"/>
        <v>27.064071896270661</v>
      </c>
      <c r="H76" s="34">
        <f t="shared" si="5"/>
        <v>27064.07189627066</v>
      </c>
    </row>
    <row r="77" spans="2:8" x14ac:dyDescent="0.25">
      <c r="F77" s="22">
        <v>1020</v>
      </c>
      <c r="G77" s="33">
        <f t="shared" si="4"/>
        <v>27.486298716965223</v>
      </c>
      <c r="H77" s="34">
        <f t="shared" si="5"/>
        <v>27486.298716965222</v>
      </c>
    </row>
    <row r="78" spans="2:8" x14ac:dyDescent="0.25">
      <c r="F78" s="22">
        <v>1030</v>
      </c>
      <c r="G78" s="33">
        <f t="shared" si="4"/>
        <v>27.909296378557578</v>
      </c>
      <c r="H78" s="34">
        <f t="shared" si="5"/>
        <v>27909.296378557578</v>
      </c>
    </row>
    <row r="79" spans="2:8" x14ac:dyDescent="0.25">
      <c r="F79" s="22">
        <v>1040</v>
      </c>
      <c r="G79" s="33">
        <f t="shared" si="4"/>
        <v>28.33306488104774</v>
      </c>
      <c r="H79" s="34">
        <f t="shared" si="5"/>
        <v>28333.06488104774</v>
      </c>
    </row>
    <row r="80" spans="2:8" x14ac:dyDescent="0.25">
      <c r="F80" s="22">
        <v>1050</v>
      </c>
      <c r="G80" s="33">
        <f t="shared" si="4"/>
        <v>28.757604224435703</v>
      </c>
      <c r="H80" s="34">
        <f t="shared" si="5"/>
        <v>28757.604224435701</v>
      </c>
    </row>
    <row r="81" spans="6:8" x14ac:dyDescent="0.25">
      <c r="F81" s="22">
        <v>1060</v>
      </c>
      <c r="G81" s="33">
        <f t="shared" si="4"/>
        <v>29.182914408721466</v>
      </c>
      <c r="H81" s="34">
        <f t="shared" si="5"/>
        <v>29182.914408721466</v>
      </c>
    </row>
    <row r="82" spans="6:8" x14ac:dyDescent="0.25">
      <c r="F82" s="22">
        <v>1070</v>
      </c>
      <c r="G82" s="33">
        <f t="shared" si="4"/>
        <v>29.608995433905029</v>
      </c>
      <c r="H82" s="34">
        <f t="shared" si="5"/>
        <v>29608.995433905031</v>
      </c>
    </row>
    <row r="83" spans="6:8" x14ac:dyDescent="0.25">
      <c r="F83" s="22">
        <v>1080</v>
      </c>
      <c r="G83" s="33">
        <f t="shared" si="4"/>
        <v>30.035847299986386</v>
      </c>
      <c r="H83" s="34">
        <f t="shared" si="5"/>
        <v>30035.847299986388</v>
      </c>
    </row>
    <row r="84" spans="6:8" x14ac:dyDescent="0.25">
      <c r="F84" s="22">
        <v>1090</v>
      </c>
      <c r="G84" s="33">
        <f t="shared" si="4"/>
        <v>30.463470006965544</v>
      </c>
      <c r="H84" s="34">
        <f t="shared" si="5"/>
        <v>30463.470006965545</v>
      </c>
    </row>
    <row r="85" spans="6:8" x14ac:dyDescent="0.25">
      <c r="F85" s="22">
        <v>1100</v>
      </c>
      <c r="G85" s="33">
        <f t="shared" si="4"/>
        <v>30.891863554842502</v>
      </c>
      <c r="H85" s="34">
        <f t="shared" si="5"/>
        <v>30891.863554842501</v>
      </c>
    </row>
    <row r="86" spans="6:8" x14ac:dyDescent="0.25">
      <c r="F86" s="22">
        <v>1110</v>
      </c>
      <c r="G86" s="33">
        <f t="shared" si="4"/>
        <v>31.32102794361726</v>
      </c>
      <c r="H86" s="34">
        <f t="shared" si="5"/>
        <v>31321.02794361726</v>
      </c>
    </row>
    <row r="87" spans="6:8" x14ac:dyDescent="0.25">
      <c r="F87" s="22">
        <v>1120</v>
      </c>
      <c r="G87" s="33">
        <f t="shared" si="4"/>
        <v>31.750963173289826</v>
      </c>
      <c r="H87" s="34">
        <f t="shared" si="5"/>
        <v>31750.963173289827</v>
      </c>
    </row>
    <row r="88" spans="6:8" x14ac:dyDescent="0.25">
      <c r="F88" s="22">
        <v>1130</v>
      </c>
      <c r="G88" s="33">
        <f t="shared" si="4"/>
        <v>32.181669243860185</v>
      </c>
      <c r="H88" s="34">
        <f t="shared" si="5"/>
        <v>32181.669243860186</v>
      </c>
    </row>
    <row r="89" spans="6:8" x14ac:dyDescent="0.25">
      <c r="F89" s="22">
        <v>1140</v>
      </c>
      <c r="G89" s="33">
        <f t="shared" si="4"/>
        <v>32.613146155328344</v>
      </c>
      <c r="H89" s="34">
        <f t="shared" si="5"/>
        <v>32613.146155328344</v>
      </c>
    </row>
    <row r="90" spans="6:8" x14ac:dyDescent="0.25">
      <c r="F90" s="22">
        <v>1150</v>
      </c>
      <c r="G90" s="33">
        <f t="shared" si="4"/>
        <v>33.045393907694297</v>
      </c>
      <c r="H90" s="34">
        <f t="shared" si="5"/>
        <v>33045.393907694299</v>
      </c>
    </row>
    <row r="91" spans="6:8" x14ac:dyDescent="0.25">
      <c r="F91" s="22">
        <v>1160</v>
      </c>
      <c r="G91" s="33">
        <f t="shared" si="4"/>
        <v>33.478412500958058</v>
      </c>
      <c r="H91" s="34">
        <f t="shared" si="5"/>
        <v>33478.41250095806</v>
      </c>
    </row>
    <row r="92" spans="6:8" x14ac:dyDescent="0.25">
      <c r="F92" s="22">
        <v>1170</v>
      </c>
      <c r="G92" s="33">
        <f t="shared" si="4"/>
        <v>33.912201935119626</v>
      </c>
      <c r="H92" s="34">
        <f t="shared" si="5"/>
        <v>33912.201935119629</v>
      </c>
    </row>
    <row r="93" spans="6:8" x14ac:dyDescent="0.25">
      <c r="F93" s="22">
        <v>1180</v>
      </c>
      <c r="G93" s="33">
        <f t="shared" si="4"/>
        <v>34.346762210178987</v>
      </c>
      <c r="H93" s="34">
        <f t="shared" si="5"/>
        <v>34346.762210178989</v>
      </c>
    </row>
    <row r="94" spans="6:8" x14ac:dyDescent="0.25">
      <c r="F94" s="22">
        <v>1190</v>
      </c>
      <c r="G94" s="33">
        <f t="shared" si="4"/>
        <v>34.782093326136149</v>
      </c>
      <c r="H94" s="34">
        <f t="shared" si="5"/>
        <v>34782.09332613615</v>
      </c>
    </row>
    <row r="95" spans="6:8" x14ac:dyDescent="0.25">
      <c r="F95" s="22">
        <v>1200</v>
      </c>
      <c r="G95" s="33">
        <f t="shared" si="4"/>
        <v>35.218195282991104</v>
      </c>
      <c r="H95" s="34">
        <f t="shared" si="5"/>
        <v>35218.195282991102</v>
      </c>
    </row>
    <row r="96" spans="6:8" x14ac:dyDescent="0.25">
      <c r="F96" s="22">
        <v>1210</v>
      </c>
      <c r="G96" s="33">
        <f t="shared" si="4"/>
        <v>35.655068080743867</v>
      </c>
      <c r="H96" s="34">
        <f t="shared" si="5"/>
        <v>35655.068080743869</v>
      </c>
    </row>
    <row r="97" spans="6:8" x14ac:dyDescent="0.25">
      <c r="F97" s="22">
        <v>1220</v>
      </c>
      <c r="G97" s="33">
        <f t="shared" si="4"/>
        <v>36.092711719394423</v>
      </c>
      <c r="H97" s="34">
        <f t="shared" si="5"/>
        <v>36092.711719394421</v>
      </c>
    </row>
    <row r="98" spans="6:8" x14ac:dyDescent="0.25">
      <c r="F98" s="22">
        <v>1230</v>
      </c>
      <c r="G98" s="33">
        <f t="shared" si="4"/>
        <v>36.531126198942786</v>
      </c>
      <c r="H98" s="34">
        <f t="shared" si="5"/>
        <v>36531.126198942788</v>
      </c>
    </row>
    <row r="99" spans="6:8" x14ac:dyDescent="0.25">
      <c r="F99" s="22">
        <v>1240</v>
      </c>
      <c r="G99" s="33">
        <f t="shared" si="4"/>
        <v>36.970311519388943</v>
      </c>
      <c r="H99" s="34">
        <f t="shared" si="5"/>
        <v>36970.311519388946</v>
      </c>
    </row>
    <row r="100" spans="6:8" x14ac:dyDescent="0.25">
      <c r="F100" s="22">
        <v>1250</v>
      </c>
      <c r="G100" s="33">
        <f t="shared" si="4"/>
        <v>37.4102676807329</v>
      </c>
      <c r="H100" s="34">
        <f t="shared" si="5"/>
        <v>37410.267680732897</v>
      </c>
    </row>
    <row r="101" spans="6:8" x14ac:dyDescent="0.25">
      <c r="F101" s="22">
        <v>1260</v>
      </c>
      <c r="G101" s="33">
        <f t="shared" si="4"/>
        <v>37.850994682974665</v>
      </c>
      <c r="H101" s="34">
        <f t="shared" si="5"/>
        <v>37850.994682974662</v>
      </c>
    </row>
    <row r="102" spans="6:8" x14ac:dyDescent="0.25">
      <c r="F102" s="22">
        <v>1270</v>
      </c>
      <c r="G102" s="33">
        <f t="shared" si="4"/>
        <v>38.292492526114223</v>
      </c>
      <c r="H102" s="34">
        <f t="shared" si="5"/>
        <v>38292.492526114227</v>
      </c>
    </row>
    <row r="103" spans="6:8" x14ac:dyDescent="0.25">
      <c r="F103" s="22">
        <v>1280</v>
      </c>
      <c r="G103" s="33">
        <f t="shared" si="4"/>
        <v>38.734761210151589</v>
      </c>
      <c r="H103" s="34">
        <f t="shared" si="5"/>
        <v>38734.761210151592</v>
      </c>
    </row>
    <row r="104" spans="6:8" x14ac:dyDescent="0.25">
      <c r="F104" s="22">
        <v>1290</v>
      </c>
      <c r="G104" s="33">
        <f t="shared" si="4"/>
        <v>39.177800735086748</v>
      </c>
      <c r="H104" s="34">
        <f t="shared" si="5"/>
        <v>39177.800735086748</v>
      </c>
    </row>
    <row r="105" spans="6:8" x14ac:dyDescent="0.25">
      <c r="F105" s="22">
        <v>1300</v>
      </c>
      <c r="G105" s="33">
        <f t="shared" si="4"/>
        <v>39.621611100919708</v>
      </c>
      <c r="H105" s="34">
        <f t="shared" si="5"/>
        <v>39621.611100919705</v>
      </c>
    </row>
    <row r="106" spans="6:8" x14ac:dyDescent="0.25">
      <c r="F106" s="22">
        <v>1310</v>
      </c>
      <c r="G106" s="33">
        <f t="shared" si="4"/>
        <v>40.066192307650468</v>
      </c>
      <c r="H106" s="34">
        <f t="shared" si="5"/>
        <v>40066.192307650468</v>
      </c>
    </row>
    <row r="107" spans="6:8" x14ac:dyDescent="0.25">
      <c r="F107" s="22">
        <v>1320</v>
      </c>
      <c r="G107" s="33">
        <f t="shared" si="4"/>
        <v>40.511544355279021</v>
      </c>
      <c r="H107" s="34">
        <f t="shared" si="5"/>
        <v>40511.544355279024</v>
      </c>
    </row>
    <row r="108" spans="6:8" x14ac:dyDescent="0.25">
      <c r="F108" s="22">
        <v>1330</v>
      </c>
      <c r="G108" s="33">
        <f t="shared" si="4"/>
        <v>40.957667243805382</v>
      </c>
      <c r="H108" s="34">
        <f t="shared" si="5"/>
        <v>40957.667243805379</v>
      </c>
    </row>
    <row r="109" spans="6:8" x14ac:dyDescent="0.25">
      <c r="F109" s="22">
        <v>1340</v>
      </c>
      <c r="G109" s="33">
        <f t="shared" si="4"/>
        <v>41.404560973229543</v>
      </c>
      <c r="H109" s="34">
        <f t="shared" si="5"/>
        <v>41404.560973229542</v>
      </c>
    </row>
    <row r="110" spans="6:8" x14ac:dyDescent="0.25">
      <c r="F110" s="22">
        <v>1350</v>
      </c>
      <c r="G110" s="33">
        <f t="shared" si="4"/>
        <v>41.852225543551505</v>
      </c>
      <c r="H110" s="34">
        <f t="shared" si="5"/>
        <v>41852.225543551504</v>
      </c>
    </row>
    <row r="111" spans="6:8" x14ac:dyDescent="0.25">
      <c r="F111" s="22">
        <v>1360</v>
      </c>
      <c r="G111" s="33">
        <f t="shared" si="4"/>
        <v>42.30066095477126</v>
      </c>
      <c r="H111" s="34">
        <f t="shared" si="5"/>
        <v>42300.660954771258</v>
      </c>
    </row>
    <row r="112" spans="6:8" x14ac:dyDescent="0.25">
      <c r="F112" s="22">
        <v>1370</v>
      </c>
      <c r="G112" s="33">
        <f t="shared" si="4"/>
        <v>42.749867206888823</v>
      </c>
      <c r="H112" s="34">
        <f t="shared" si="5"/>
        <v>42749.867206888819</v>
      </c>
    </row>
    <row r="113" spans="6:8" x14ac:dyDescent="0.25">
      <c r="F113" s="22">
        <v>1380</v>
      </c>
      <c r="G113" s="33">
        <f t="shared" si="4"/>
        <v>43.199844299904179</v>
      </c>
      <c r="H113" s="34">
        <f t="shared" si="5"/>
        <v>43199.84429990418</v>
      </c>
    </row>
    <row r="114" spans="6:8" x14ac:dyDescent="0.25">
      <c r="F114" s="22">
        <v>1390</v>
      </c>
      <c r="G114" s="33">
        <f t="shared" si="4"/>
        <v>43.650592233817342</v>
      </c>
      <c r="H114" s="34">
        <f t="shared" si="5"/>
        <v>43650.59223381734</v>
      </c>
    </row>
    <row r="115" spans="6:8" x14ac:dyDescent="0.25">
      <c r="F115" s="22">
        <v>1400</v>
      </c>
      <c r="G115" s="33">
        <f t="shared" si="4"/>
        <v>44.102111008628306</v>
      </c>
      <c r="H115" s="34">
        <f t="shared" si="5"/>
        <v>44102.111008628308</v>
      </c>
    </row>
    <row r="116" spans="6:8" x14ac:dyDescent="0.25">
      <c r="F116" s="22">
        <v>1410</v>
      </c>
      <c r="G116" s="33">
        <f t="shared" si="4"/>
        <v>44.55440062433707</v>
      </c>
      <c r="H116" s="34">
        <f t="shared" si="5"/>
        <v>44554.400624337068</v>
      </c>
    </row>
    <row r="117" spans="6:8" x14ac:dyDescent="0.25">
      <c r="F117" s="22">
        <v>1420</v>
      </c>
      <c r="G117" s="33">
        <f t="shared" si="4"/>
        <v>45.007461080943628</v>
      </c>
      <c r="H117" s="34">
        <f t="shared" si="5"/>
        <v>45007.461080943627</v>
      </c>
    </row>
    <row r="118" spans="6:8" x14ac:dyDescent="0.25">
      <c r="F118" s="22">
        <v>1430</v>
      </c>
      <c r="G118" s="33">
        <f t="shared" si="4"/>
        <v>45.461292378447986</v>
      </c>
      <c r="H118" s="34">
        <f t="shared" si="5"/>
        <v>45461.292378447986</v>
      </c>
    </row>
    <row r="119" spans="6:8" x14ac:dyDescent="0.25">
      <c r="F119" s="22">
        <v>1440</v>
      </c>
      <c r="G119" s="33">
        <f t="shared" si="4"/>
        <v>45.915894516850145</v>
      </c>
      <c r="H119" s="34">
        <f t="shared" si="5"/>
        <v>45915.894516850145</v>
      </c>
    </row>
    <row r="120" spans="6:8" x14ac:dyDescent="0.25">
      <c r="F120" s="22">
        <v>1450</v>
      </c>
      <c r="G120" s="33">
        <f t="shared" si="4"/>
        <v>46.371267496150104</v>
      </c>
      <c r="H120" s="34">
        <f t="shared" si="5"/>
        <v>46371.267496150103</v>
      </c>
    </row>
    <row r="121" spans="6:8" x14ac:dyDescent="0.25">
      <c r="F121" s="22">
        <v>1460</v>
      </c>
      <c r="G121" s="33">
        <f t="shared" si="4"/>
        <v>46.827411316347863</v>
      </c>
      <c r="H121" s="34">
        <f t="shared" si="5"/>
        <v>46827.411316347861</v>
      </c>
    </row>
    <row r="122" spans="6:8" x14ac:dyDescent="0.25">
      <c r="F122" s="22">
        <v>1470</v>
      </c>
      <c r="G122" s="33">
        <f t="shared" si="4"/>
        <v>47.284325977443423</v>
      </c>
      <c r="H122" s="34">
        <f t="shared" si="5"/>
        <v>47284.325977443426</v>
      </c>
    </row>
    <row r="123" spans="6:8" x14ac:dyDescent="0.25">
      <c r="F123" s="22">
        <v>1480</v>
      </c>
      <c r="G123" s="33">
        <f t="shared" si="4"/>
        <v>47.742011479436783</v>
      </c>
      <c r="H123" s="34">
        <f t="shared" si="5"/>
        <v>47742.011479436784</v>
      </c>
    </row>
    <row r="124" spans="6:8" x14ac:dyDescent="0.25">
      <c r="F124" s="22">
        <v>1490</v>
      </c>
      <c r="G124" s="33">
        <f t="shared" si="4"/>
        <v>48.200467822327944</v>
      </c>
      <c r="H124" s="34">
        <f t="shared" si="5"/>
        <v>48200.467822327941</v>
      </c>
    </row>
    <row r="125" spans="6:8" x14ac:dyDescent="0.25">
      <c r="F125" s="22">
        <v>1500</v>
      </c>
      <c r="G125" s="33">
        <f t="shared" si="4"/>
        <v>48.659695006116898</v>
      </c>
      <c r="H125" s="34">
        <f t="shared" si="5"/>
        <v>48659.695006116897</v>
      </c>
    </row>
    <row r="126" spans="6:8" x14ac:dyDescent="0.25">
      <c r="F126" s="22">
        <v>1510</v>
      </c>
      <c r="G126" s="33">
        <f t="shared" si="4"/>
        <v>49.119693030803667</v>
      </c>
      <c r="H126" s="34">
        <f t="shared" si="5"/>
        <v>49119.693030803668</v>
      </c>
    </row>
    <row r="127" spans="6:8" x14ac:dyDescent="0.25">
      <c r="F127" s="22">
        <v>1520</v>
      </c>
      <c r="G127" s="33">
        <f t="shared" si="4"/>
        <v>49.580461896388229</v>
      </c>
      <c r="H127" s="34">
        <f t="shared" si="5"/>
        <v>49580.461896388231</v>
      </c>
    </row>
    <row r="128" spans="6:8" x14ac:dyDescent="0.25">
      <c r="F128" s="22">
        <v>1530</v>
      </c>
      <c r="G128" s="33">
        <f t="shared" si="4"/>
        <v>50.042001602870585</v>
      </c>
      <c r="H128" s="34">
        <f t="shared" si="5"/>
        <v>50042.001602870587</v>
      </c>
    </row>
    <row r="129" spans="6:8" x14ac:dyDescent="0.25">
      <c r="F129" s="22">
        <v>1540</v>
      </c>
      <c r="G129" s="33">
        <f t="shared" si="4"/>
        <v>50.504312150250747</v>
      </c>
      <c r="H129" s="34">
        <f t="shared" si="5"/>
        <v>50504.312150250749</v>
      </c>
    </row>
    <row r="130" spans="6:8" x14ac:dyDescent="0.25">
      <c r="F130" s="22">
        <v>1550</v>
      </c>
      <c r="G130" s="33">
        <f t="shared" si="4"/>
        <v>50.967393538528704</v>
      </c>
      <c r="H130" s="34">
        <f t="shared" si="5"/>
        <v>50967.393538528704</v>
      </c>
    </row>
    <row r="131" spans="6:8" x14ac:dyDescent="0.25">
      <c r="F131" s="22">
        <v>1560</v>
      </c>
      <c r="G131" s="33">
        <f t="shared" si="4"/>
        <v>51.431245767704461</v>
      </c>
      <c r="H131" s="34">
        <f t="shared" si="5"/>
        <v>51431.245767704459</v>
      </c>
    </row>
    <row r="132" spans="6:8" x14ac:dyDescent="0.25">
      <c r="F132" s="22">
        <v>1570</v>
      </c>
      <c r="G132" s="33">
        <f t="shared" si="4"/>
        <v>51.895868837778025</v>
      </c>
      <c r="H132" s="34">
        <f t="shared" si="5"/>
        <v>51895.868837778027</v>
      </c>
    </row>
    <row r="133" spans="6:8" x14ac:dyDescent="0.25">
      <c r="F133" s="22">
        <v>1580</v>
      </c>
      <c r="G133" s="33">
        <f t="shared" ref="G133:G196" si="6" xml:space="preserve"> 0.000003854204489*F133^2 + 0.034398646956786*F133 - 11.6102355293121</f>
        <v>52.361262748749382</v>
      </c>
      <c r="H133" s="34">
        <f t="shared" ref="H133:H196" si="7">G133*1000</f>
        <v>52361.262748749381</v>
      </c>
    </row>
    <row r="134" spans="6:8" x14ac:dyDescent="0.25">
      <c r="F134" s="22">
        <v>1590</v>
      </c>
      <c r="G134" s="33">
        <f t="shared" si="6"/>
        <v>52.827427500618548</v>
      </c>
      <c r="H134" s="34">
        <f t="shared" si="7"/>
        <v>52827.427500618549</v>
      </c>
    </row>
    <row r="135" spans="6:8" x14ac:dyDescent="0.25">
      <c r="F135" s="22">
        <v>1600</v>
      </c>
      <c r="G135" s="33">
        <f t="shared" si="6"/>
        <v>53.294363093385506</v>
      </c>
      <c r="H135" s="34">
        <f t="shared" si="7"/>
        <v>53294.363093385509</v>
      </c>
    </row>
    <row r="136" spans="6:8" x14ac:dyDescent="0.25">
      <c r="F136" s="22">
        <v>1610</v>
      </c>
      <c r="G136" s="33">
        <f t="shared" si="6"/>
        <v>53.762069527050265</v>
      </c>
      <c r="H136" s="34">
        <f t="shared" si="7"/>
        <v>53762.069527050262</v>
      </c>
    </row>
    <row r="137" spans="6:8" x14ac:dyDescent="0.25">
      <c r="F137" s="22">
        <v>1620</v>
      </c>
      <c r="G137" s="33">
        <f t="shared" si="6"/>
        <v>54.230546801612824</v>
      </c>
      <c r="H137" s="34">
        <f t="shared" si="7"/>
        <v>54230.546801612822</v>
      </c>
    </row>
    <row r="138" spans="6:8" x14ac:dyDescent="0.25">
      <c r="F138" s="22">
        <v>1630</v>
      </c>
      <c r="G138" s="33">
        <f t="shared" si="6"/>
        <v>54.699794917073184</v>
      </c>
      <c r="H138" s="34">
        <f t="shared" si="7"/>
        <v>54699.794917073181</v>
      </c>
    </row>
    <row r="139" spans="6:8" x14ac:dyDescent="0.25">
      <c r="F139" s="22">
        <v>1640</v>
      </c>
      <c r="G139" s="33">
        <f t="shared" si="6"/>
        <v>55.169813873431345</v>
      </c>
      <c r="H139" s="34">
        <f t="shared" si="7"/>
        <v>55169.813873431347</v>
      </c>
    </row>
    <row r="140" spans="6:8" x14ac:dyDescent="0.25">
      <c r="F140" s="22">
        <v>1650</v>
      </c>
      <c r="G140" s="33">
        <f t="shared" si="6"/>
        <v>55.640603670687305</v>
      </c>
      <c r="H140" s="34">
        <f t="shared" si="7"/>
        <v>55640.603670687306</v>
      </c>
    </row>
    <row r="141" spans="6:8" x14ac:dyDescent="0.25">
      <c r="F141" s="22">
        <v>1660</v>
      </c>
      <c r="G141" s="33">
        <f t="shared" si="6"/>
        <v>56.112164308841066</v>
      </c>
      <c r="H141" s="34">
        <f t="shared" si="7"/>
        <v>56112.164308841064</v>
      </c>
    </row>
    <row r="142" spans="6:8" x14ac:dyDescent="0.25">
      <c r="F142" s="22">
        <v>1670</v>
      </c>
      <c r="G142" s="33">
        <f t="shared" si="6"/>
        <v>56.584495787892628</v>
      </c>
      <c r="H142" s="34">
        <f t="shared" si="7"/>
        <v>56584.495787892629</v>
      </c>
    </row>
    <row r="143" spans="6:8" x14ac:dyDescent="0.25">
      <c r="F143" s="22">
        <v>1680</v>
      </c>
      <c r="G143" s="33">
        <f t="shared" si="6"/>
        <v>57.05759810784199</v>
      </c>
      <c r="H143" s="34">
        <f t="shared" si="7"/>
        <v>57057.598107841994</v>
      </c>
    </row>
    <row r="144" spans="6:8" x14ac:dyDescent="0.25">
      <c r="F144" s="22">
        <v>1690</v>
      </c>
      <c r="G144" s="33">
        <f t="shared" si="6"/>
        <v>57.531471268689138</v>
      </c>
      <c r="H144" s="34">
        <f t="shared" si="7"/>
        <v>57531.471268689136</v>
      </c>
    </row>
    <row r="145" spans="6:8" x14ac:dyDescent="0.25">
      <c r="F145" s="22">
        <v>1700</v>
      </c>
      <c r="G145" s="33">
        <f t="shared" si="6"/>
        <v>58.006115270434101</v>
      </c>
      <c r="H145" s="34">
        <f t="shared" si="7"/>
        <v>58006.1152704341</v>
      </c>
    </row>
    <row r="146" spans="6:8" x14ac:dyDescent="0.25">
      <c r="F146" s="22">
        <v>1710</v>
      </c>
      <c r="G146" s="33">
        <f t="shared" si="6"/>
        <v>58.481530113076865</v>
      </c>
      <c r="H146" s="34">
        <f t="shared" si="7"/>
        <v>58481.530113076864</v>
      </c>
    </row>
    <row r="147" spans="6:8" x14ac:dyDescent="0.25">
      <c r="F147" s="22">
        <v>1720</v>
      </c>
      <c r="G147" s="33">
        <f t="shared" si="6"/>
        <v>58.957715796617428</v>
      </c>
      <c r="H147" s="34">
        <f t="shared" si="7"/>
        <v>58957.715796617427</v>
      </c>
    </row>
    <row r="148" spans="6:8" x14ac:dyDescent="0.25">
      <c r="F148" s="22">
        <v>1730</v>
      </c>
      <c r="G148" s="33">
        <f t="shared" si="6"/>
        <v>59.434672321055793</v>
      </c>
      <c r="H148" s="34">
        <f t="shared" si="7"/>
        <v>59434.67232105579</v>
      </c>
    </row>
    <row r="149" spans="6:8" x14ac:dyDescent="0.25">
      <c r="F149" s="22">
        <v>1740</v>
      </c>
      <c r="G149" s="33">
        <f t="shared" si="6"/>
        <v>59.912399686391943</v>
      </c>
      <c r="H149" s="34">
        <f t="shared" si="7"/>
        <v>59912.399686391946</v>
      </c>
    </row>
    <row r="150" spans="6:8" x14ac:dyDescent="0.25">
      <c r="F150" s="22">
        <v>1750</v>
      </c>
      <c r="G150" s="33">
        <f t="shared" si="6"/>
        <v>60.390897892625908</v>
      </c>
      <c r="H150" s="34">
        <f t="shared" si="7"/>
        <v>60390.897892625908</v>
      </c>
    </row>
    <row r="151" spans="6:8" x14ac:dyDescent="0.25">
      <c r="F151" s="22">
        <v>1760</v>
      </c>
      <c r="G151" s="33">
        <f t="shared" si="6"/>
        <v>60.870166939757659</v>
      </c>
      <c r="H151" s="34">
        <f t="shared" si="7"/>
        <v>60870.166939757662</v>
      </c>
    </row>
    <row r="152" spans="6:8" x14ac:dyDescent="0.25">
      <c r="F152" s="22">
        <v>1770</v>
      </c>
      <c r="G152" s="33">
        <f t="shared" si="6"/>
        <v>61.350206827787225</v>
      </c>
      <c r="H152" s="34">
        <f t="shared" si="7"/>
        <v>61350.206827787224</v>
      </c>
    </row>
    <row r="153" spans="6:8" x14ac:dyDescent="0.25">
      <c r="F153" s="22">
        <v>1780</v>
      </c>
      <c r="G153" s="33">
        <f t="shared" si="6"/>
        <v>61.831017556714578</v>
      </c>
      <c r="H153" s="34">
        <f t="shared" si="7"/>
        <v>61831.017556714578</v>
      </c>
    </row>
    <row r="154" spans="6:8" x14ac:dyDescent="0.25">
      <c r="F154" s="22">
        <v>1790</v>
      </c>
      <c r="G154" s="33">
        <f t="shared" si="6"/>
        <v>62.312599126539745</v>
      </c>
      <c r="H154" s="34">
        <f t="shared" si="7"/>
        <v>62312.599126539746</v>
      </c>
    </row>
    <row r="155" spans="6:8" x14ac:dyDescent="0.25">
      <c r="F155" s="22">
        <v>1800</v>
      </c>
      <c r="G155" s="33">
        <f t="shared" si="6"/>
        <v>62.794951537262698</v>
      </c>
      <c r="H155" s="34">
        <f t="shared" si="7"/>
        <v>62794.951537262699</v>
      </c>
    </row>
    <row r="156" spans="6:8" x14ac:dyDescent="0.25">
      <c r="F156" s="22">
        <v>1810</v>
      </c>
      <c r="G156" s="33">
        <f t="shared" si="6"/>
        <v>63.278074788883465</v>
      </c>
      <c r="H156" s="34">
        <f t="shared" si="7"/>
        <v>63278.074788883467</v>
      </c>
    </row>
    <row r="157" spans="6:8" x14ac:dyDescent="0.25">
      <c r="F157" s="22">
        <v>1820</v>
      </c>
      <c r="G157" s="33">
        <f t="shared" si="6"/>
        <v>63.761968881402019</v>
      </c>
      <c r="H157" s="34">
        <f t="shared" si="7"/>
        <v>63761.968881402019</v>
      </c>
    </row>
    <row r="158" spans="6:8" x14ac:dyDescent="0.25">
      <c r="F158" s="22">
        <v>1830</v>
      </c>
      <c r="G158" s="33">
        <f t="shared" si="6"/>
        <v>64.246633814818381</v>
      </c>
      <c r="H158" s="34">
        <f t="shared" si="7"/>
        <v>64246.633814818379</v>
      </c>
    </row>
    <row r="159" spans="6:8" x14ac:dyDescent="0.25">
      <c r="F159" s="22">
        <v>1840</v>
      </c>
      <c r="G159" s="33">
        <f t="shared" si="6"/>
        <v>64.73206958913255</v>
      </c>
      <c r="H159" s="34">
        <f t="shared" si="7"/>
        <v>64732.069589132552</v>
      </c>
    </row>
    <row r="160" spans="6:8" x14ac:dyDescent="0.25">
      <c r="F160" s="22">
        <v>1850</v>
      </c>
      <c r="G160" s="33">
        <f t="shared" si="6"/>
        <v>65.218276204344505</v>
      </c>
      <c r="H160" s="34">
        <f t="shared" si="7"/>
        <v>65218.276204344504</v>
      </c>
    </row>
    <row r="161" spans="6:8" x14ac:dyDescent="0.25">
      <c r="F161" s="22">
        <v>1860</v>
      </c>
      <c r="G161" s="33">
        <f t="shared" si="6"/>
        <v>65.705253660454275</v>
      </c>
      <c r="H161" s="34">
        <f t="shared" si="7"/>
        <v>65705.253660454269</v>
      </c>
    </row>
    <row r="162" spans="6:8" x14ac:dyDescent="0.25">
      <c r="F162" s="22">
        <v>1870</v>
      </c>
      <c r="G162" s="33">
        <f t="shared" si="6"/>
        <v>66.193001957461831</v>
      </c>
      <c r="H162" s="34">
        <f t="shared" si="7"/>
        <v>66193.001957461835</v>
      </c>
    </row>
    <row r="163" spans="6:8" x14ac:dyDescent="0.25">
      <c r="F163" s="22">
        <v>1880</v>
      </c>
      <c r="G163" s="33">
        <f t="shared" si="6"/>
        <v>66.681521095367174</v>
      </c>
      <c r="H163" s="34">
        <f t="shared" si="7"/>
        <v>66681.521095367178</v>
      </c>
    </row>
    <row r="164" spans="6:8" x14ac:dyDescent="0.25">
      <c r="F164" s="22">
        <v>1890</v>
      </c>
      <c r="G164" s="33">
        <f t="shared" si="6"/>
        <v>67.170811074170359</v>
      </c>
      <c r="H164" s="34">
        <f t="shared" si="7"/>
        <v>67170.811074170357</v>
      </c>
    </row>
    <row r="165" spans="6:8" x14ac:dyDescent="0.25">
      <c r="F165" s="22">
        <v>1900</v>
      </c>
      <c r="G165" s="33">
        <f t="shared" si="6"/>
        <v>67.660871893871303</v>
      </c>
      <c r="H165" s="34">
        <f t="shared" si="7"/>
        <v>67660.871893871299</v>
      </c>
    </row>
    <row r="166" spans="6:8" x14ac:dyDescent="0.25">
      <c r="F166" s="22">
        <v>1910</v>
      </c>
      <c r="G166" s="33">
        <f t="shared" si="6"/>
        <v>68.15170355447006</v>
      </c>
      <c r="H166" s="34">
        <f t="shared" si="7"/>
        <v>68151.703554470063</v>
      </c>
    </row>
    <row r="167" spans="6:8" x14ac:dyDescent="0.25">
      <c r="F167" s="22">
        <v>1920</v>
      </c>
      <c r="G167" s="33">
        <f t="shared" si="6"/>
        <v>68.643306055966633</v>
      </c>
      <c r="H167" s="34">
        <f t="shared" si="7"/>
        <v>68643.306055966634</v>
      </c>
    </row>
    <row r="168" spans="6:8" x14ac:dyDescent="0.25">
      <c r="F168" s="22">
        <v>1930</v>
      </c>
      <c r="G168" s="33">
        <f t="shared" si="6"/>
        <v>69.135679398360992</v>
      </c>
      <c r="H168" s="34">
        <f t="shared" si="7"/>
        <v>69135.679398360997</v>
      </c>
    </row>
    <row r="169" spans="6:8" x14ac:dyDescent="0.25">
      <c r="F169" s="22">
        <v>1940</v>
      </c>
      <c r="G169" s="33">
        <f t="shared" si="6"/>
        <v>69.628823581653137</v>
      </c>
      <c r="H169" s="34">
        <f t="shared" si="7"/>
        <v>69628.823581653138</v>
      </c>
    </row>
    <row r="170" spans="6:8" x14ac:dyDescent="0.25">
      <c r="F170" s="22">
        <v>1950</v>
      </c>
      <c r="G170" s="33">
        <f t="shared" si="6"/>
        <v>70.122738605843097</v>
      </c>
      <c r="H170" s="34">
        <f t="shared" si="7"/>
        <v>70122.7386058431</v>
      </c>
    </row>
    <row r="171" spans="6:8" x14ac:dyDescent="0.25">
      <c r="F171" s="22">
        <v>1960</v>
      </c>
      <c r="G171" s="33">
        <f t="shared" si="6"/>
        <v>70.617424470930871</v>
      </c>
      <c r="H171" s="34">
        <f t="shared" si="7"/>
        <v>70617.42447093087</v>
      </c>
    </row>
    <row r="172" spans="6:8" x14ac:dyDescent="0.25">
      <c r="F172" s="22">
        <v>1970</v>
      </c>
      <c r="G172" s="33">
        <f t="shared" si="6"/>
        <v>71.112881176916432</v>
      </c>
      <c r="H172" s="34">
        <f t="shared" si="7"/>
        <v>71112.881176916431</v>
      </c>
    </row>
    <row r="173" spans="6:8" x14ac:dyDescent="0.25">
      <c r="F173" s="22">
        <v>1980</v>
      </c>
      <c r="G173" s="33">
        <f t="shared" si="6"/>
        <v>71.609108723799778</v>
      </c>
      <c r="H173" s="34">
        <f t="shared" si="7"/>
        <v>71609.108723799785</v>
      </c>
    </row>
    <row r="174" spans="6:8" x14ac:dyDescent="0.25">
      <c r="F174" s="22">
        <v>1990</v>
      </c>
      <c r="G174" s="33">
        <f t="shared" si="6"/>
        <v>72.10610711158094</v>
      </c>
      <c r="H174" s="34">
        <f t="shared" si="7"/>
        <v>72106.107111580946</v>
      </c>
    </row>
    <row r="175" spans="6:8" x14ac:dyDescent="0.25">
      <c r="F175" s="22">
        <v>2000</v>
      </c>
      <c r="G175" s="33">
        <f t="shared" si="6"/>
        <v>72.603876340259916</v>
      </c>
      <c r="H175" s="34">
        <f t="shared" si="7"/>
        <v>72603.876340259914</v>
      </c>
    </row>
    <row r="176" spans="6:8" x14ac:dyDescent="0.25">
      <c r="F176" s="22">
        <v>2010</v>
      </c>
      <c r="G176" s="33">
        <f t="shared" si="6"/>
        <v>73.102416409836678</v>
      </c>
      <c r="H176" s="34">
        <f t="shared" si="7"/>
        <v>73102.416409836675</v>
      </c>
    </row>
    <row r="177" spans="6:8" x14ac:dyDescent="0.25">
      <c r="F177" s="22">
        <v>2020</v>
      </c>
      <c r="G177" s="33">
        <f t="shared" si="6"/>
        <v>73.601727320311227</v>
      </c>
      <c r="H177" s="34">
        <f t="shared" si="7"/>
        <v>73601.727320311227</v>
      </c>
    </row>
    <row r="178" spans="6:8" x14ac:dyDescent="0.25">
      <c r="F178" s="22">
        <v>2030</v>
      </c>
      <c r="G178" s="33">
        <f t="shared" si="6"/>
        <v>74.10180907168359</v>
      </c>
      <c r="H178" s="34">
        <f t="shared" si="7"/>
        <v>74101.809071683587</v>
      </c>
    </row>
    <row r="179" spans="6:8" x14ac:dyDescent="0.25">
      <c r="F179" s="22">
        <v>2040</v>
      </c>
      <c r="G179" s="33">
        <f t="shared" si="6"/>
        <v>74.602661663953739</v>
      </c>
      <c r="H179" s="34">
        <f t="shared" si="7"/>
        <v>74602.661663953739</v>
      </c>
    </row>
    <row r="180" spans="6:8" x14ac:dyDescent="0.25">
      <c r="F180" s="22">
        <v>2050</v>
      </c>
      <c r="G180" s="33">
        <f t="shared" si="6"/>
        <v>75.104285097121704</v>
      </c>
      <c r="H180" s="34">
        <f t="shared" si="7"/>
        <v>75104.285097121698</v>
      </c>
    </row>
    <row r="181" spans="6:8" x14ac:dyDescent="0.25">
      <c r="F181" s="22">
        <v>2060</v>
      </c>
      <c r="G181" s="33">
        <f t="shared" si="6"/>
        <v>75.606679371187454</v>
      </c>
      <c r="H181" s="34">
        <f t="shared" si="7"/>
        <v>75606.679371187449</v>
      </c>
    </row>
    <row r="182" spans="6:8" x14ac:dyDescent="0.25">
      <c r="F182" s="22">
        <v>2070</v>
      </c>
      <c r="G182" s="33">
        <f t="shared" si="6"/>
        <v>76.109844486151019</v>
      </c>
      <c r="H182" s="34">
        <f t="shared" si="7"/>
        <v>76109.844486151022</v>
      </c>
    </row>
    <row r="183" spans="6:8" x14ac:dyDescent="0.25">
      <c r="F183" s="22">
        <v>2080</v>
      </c>
      <c r="G183" s="33">
        <f t="shared" si="6"/>
        <v>76.61378044201237</v>
      </c>
      <c r="H183" s="34">
        <f t="shared" si="7"/>
        <v>76613.780442012372</v>
      </c>
    </row>
    <row r="184" spans="6:8" x14ac:dyDescent="0.25">
      <c r="F184" s="22">
        <v>2090</v>
      </c>
      <c r="G184" s="33">
        <f t="shared" si="6"/>
        <v>77.118487238771536</v>
      </c>
      <c r="H184" s="34">
        <f t="shared" si="7"/>
        <v>77118.48723877153</v>
      </c>
    </row>
    <row r="185" spans="6:8" x14ac:dyDescent="0.25">
      <c r="F185" s="22">
        <v>2100</v>
      </c>
      <c r="G185" s="33">
        <f t="shared" si="6"/>
        <v>77.623964876428488</v>
      </c>
      <c r="H185" s="34">
        <f t="shared" si="7"/>
        <v>77623.964876428494</v>
      </c>
    </row>
    <row r="186" spans="6:8" x14ac:dyDescent="0.25">
      <c r="F186" s="22">
        <v>2110</v>
      </c>
      <c r="G186" s="33">
        <f t="shared" si="6"/>
        <v>78.130213354983255</v>
      </c>
      <c r="H186" s="34">
        <f t="shared" si="7"/>
        <v>78130.213354983251</v>
      </c>
    </row>
    <row r="187" spans="6:8" x14ac:dyDescent="0.25">
      <c r="F187" s="22">
        <v>2120</v>
      </c>
      <c r="G187" s="33">
        <f t="shared" si="6"/>
        <v>78.637232674435836</v>
      </c>
      <c r="H187" s="34">
        <f t="shared" si="7"/>
        <v>78637.232674435829</v>
      </c>
    </row>
    <row r="188" spans="6:8" x14ac:dyDescent="0.25">
      <c r="F188" s="22">
        <v>2130</v>
      </c>
      <c r="G188" s="33">
        <f t="shared" si="6"/>
        <v>79.145022834786175</v>
      </c>
      <c r="H188" s="34">
        <f t="shared" si="7"/>
        <v>79145.02283478617</v>
      </c>
    </row>
    <row r="189" spans="6:8" x14ac:dyDescent="0.25">
      <c r="F189" s="22">
        <v>2140</v>
      </c>
      <c r="G189" s="33">
        <f t="shared" si="6"/>
        <v>79.653583836034358</v>
      </c>
      <c r="H189" s="34">
        <f t="shared" si="7"/>
        <v>79653.583836034362</v>
      </c>
    </row>
    <row r="190" spans="6:8" x14ac:dyDescent="0.25">
      <c r="F190" s="22">
        <v>2150</v>
      </c>
      <c r="G190" s="33">
        <f t="shared" si="6"/>
        <v>80.162915678180298</v>
      </c>
      <c r="H190" s="34">
        <f t="shared" si="7"/>
        <v>80162.915678180303</v>
      </c>
    </row>
    <row r="191" spans="6:8" x14ac:dyDescent="0.25">
      <c r="F191" s="22">
        <v>2160</v>
      </c>
      <c r="G191" s="33">
        <f t="shared" si="6"/>
        <v>80.673018361224081</v>
      </c>
      <c r="H191" s="34">
        <f t="shared" si="7"/>
        <v>80673.01836122408</v>
      </c>
    </row>
    <row r="192" spans="6:8" x14ac:dyDescent="0.25">
      <c r="F192" s="22">
        <v>2170</v>
      </c>
      <c r="G192" s="33">
        <f t="shared" si="6"/>
        <v>81.183891885165622</v>
      </c>
      <c r="H192" s="34">
        <f t="shared" si="7"/>
        <v>81183.89188516562</v>
      </c>
    </row>
    <row r="193" spans="6:8" x14ac:dyDescent="0.25">
      <c r="F193" s="22">
        <v>2180</v>
      </c>
      <c r="G193" s="33">
        <f t="shared" si="6"/>
        <v>81.695536250004977</v>
      </c>
      <c r="H193" s="34">
        <f t="shared" si="7"/>
        <v>81695.536250004981</v>
      </c>
    </row>
    <row r="194" spans="6:8" x14ac:dyDescent="0.25">
      <c r="F194" s="22">
        <v>2190</v>
      </c>
      <c r="G194" s="33">
        <f t="shared" si="6"/>
        <v>82.207951455742148</v>
      </c>
      <c r="H194" s="34">
        <f t="shared" si="7"/>
        <v>82207.95145574215</v>
      </c>
    </row>
    <row r="195" spans="6:8" x14ac:dyDescent="0.25">
      <c r="F195" s="22">
        <v>2200</v>
      </c>
      <c r="G195" s="33">
        <f t="shared" si="6"/>
        <v>82.721137502377104</v>
      </c>
      <c r="H195" s="34">
        <f t="shared" si="7"/>
        <v>82721.137502377111</v>
      </c>
    </row>
    <row r="196" spans="6:8" x14ac:dyDescent="0.25">
      <c r="F196" s="22">
        <v>2210</v>
      </c>
      <c r="G196" s="33">
        <f t="shared" si="6"/>
        <v>83.235094389909875</v>
      </c>
      <c r="H196" s="34">
        <f t="shared" si="7"/>
        <v>83235.094389909878</v>
      </c>
    </row>
    <row r="197" spans="6:8" x14ac:dyDescent="0.25">
      <c r="F197" s="22">
        <v>2220</v>
      </c>
      <c r="G197" s="33">
        <f t="shared" ref="G197:G260" si="8" xml:space="preserve"> 0.000003854204489*F197^2 + 0.034398646956786*F197 - 11.6102355293121</f>
        <v>83.749822118340433</v>
      </c>
      <c r="H197" s="34">
        <f t="shared" ref="H197:H260" si="9">G197*1000</f>
        <v>83749.822118340438</v>
      </c>
    </row>
    <row r="198" spans="6:8" x14ac:dyDescent="0.25">
      <c r="F198" s="22">
        <v>2230</v>
      </c>
      <c r="G198" s="33">
        <f t="shared" si="8"/>
        <v>84.265320687668805</v>
      </c>
      <c r="H198" s="34">
        <f t="shared" si="9"/>
        <v>84265.320687668805</v>
      </c>
    </row>
    <row r="199" spans="6:8" x14ac:dyDescent="0.25">
      <c r="F199" s="22">
        <v>2240</v>
      </c>
      <c r="G199" s="33">
        <f t="shared" si="8"/>
        <v>84.781590097894934</v>
      </c>
      <c r="H199" s="34">
        <f t="shared" si="9"/>
        <v>84781.590097894936</v>
      </c>
    </row>
    <row r="200" spans="6:8" x14ac:dyDescent="0.25">
      <c r="F200" s="22">
        <v>2250</v>
      </c>
      <c r="G200" s="33">
        <f t="shared" si="8"/>
        <v>85.298630349018907</v>
      </c>
      <c r="H200" s="34">
        <f t="shared" si="9"/>
        <v>85298.630349018902</v>
      </c>
    </row>
    <row r="201" spans="6:8" x14ac:dyDescent="0.25">
      <c r="F201" s="22">
        <v>2260</v>
      </c>
      <c r="G201" s="33">
        <f t="shared" si="8"/>
        <v>85.816441441040666</v>
      </c>
      <c r="H201" s="34">
        <f t="shared" si="9"/>
        <v>85816.441441040661</v>
      </c>
    </row>
    <row r="202" spans="6:8" x14ac:dyDescent="0.25">
      <c r="F202" s="22">
        <v>2270</v>
      </c>
      <c r="G202" s="33">
        <f t="shared" si="8"/>
        <v>86.33502337396024</v>
      </c>
      <c r="H202" s="34">
        <f t="shared" si="9"/>
        <v>86335.023373960241</v>
      </c>
    </row>
    <row r="203" spans="6:8" x14ac:dyDescent="0.25">
      <c r="F203" s="22">
        <v>2280</v>
      </c>
      <c r="G203" s="33">
        <f t="shared" si="8"/>
        <v>86.854376147777572</v>
      </c>
      <c r="H203" s="34">
        <f t="shared" si="9"/>
        <v>86854.37614777757</v>
      </c>
    </row>
    <row r="204" spans="6:8" x14ac:dyDescent="0.25">
      <c r="F204" s="22">
        <v>2290</v>
      </c>
      <c r="G204" s="33">
        <f t="shared" si="8"/>
        <v>87.374499762492746</v>
      </c>
      <c r="H204" s="34">
        <f t="shared" si="9"/>
        <v>87374.499762492749</v>
      </c>
    </row>
    <row r="205" spans="6:8" x14ac:dyDescent="0.25">
      <c r="F205" s="22">
        <v>2300</v>
      </c>
      <c r="G205" s="33">
        <f t="shared" si="8"/>
        <v>87.895394218105707</v>
      </c>
      <c r="H205" s="34">
        <f t="shared" si="9"/>
        <v>87895.394218105706</v>
      </c>
    </row>
    <row r="206" spans="6:8" x14ac:dyDescent="0.25">
      <c r="F206" s="22">
        <v>2310</v>
      </c>
      <c r="G206" s="33">
        <f t="shared" si="8"/>
        <v>88.417059514616483</v>
      </c>
      <c r="H206" s="34">
        <f t="shared" si="9"/>
        <v>88417.059514616485</v>
      </c>
    </row>
    <row r="207" spans="6:8" x14ac:dyDescent="0.25">
      <c r="F207" s="22">
        <v>2320</v>
      </c>
      <c r="G207" s="33">
        <f t="shared" si="8"/>
        <v>88.939495652025016</v>
      </c>
      <c r="H207" s="34">
        <f t="shared" si="9"/>
        <v>88939.495652025013</v>
      </c>
    </row>
    <row r="208" spans="6:8" x14ac:dyDescent="0.25">
      <c r="F208" s="22">
        <v>2330</v>
      </c>
      <c r="G208" s="33">
        <f t="shared" si="8"/>
        <v>89.462702630331393</v>
      </c>
      <c r="H208" s="34">
        <f t="shared" si="9"/>
        <v>89462.702630331391</v>
      </c>
    </row>
    <row r="209" spans="6:8" x14ac:dyDescent="0.25">
      <c r="F209" s="22">
        <v>2340</v>
      </c>
      <c r="G209" s="33">
        <f t="shared" si="8"/>
        <v>89.986680449535555</v>
      </c>
      <c r="H209" s="34">
        <f t="shared" si="9"/>
        <v>89986.680449535561</v>
      </c>
    </row>
    <row r="210" spans="6:8" x14ac:dyDescent="0.25">
      <c r="F210" s="22">
        <v>2350</v>
      </c>
      <c r="G210" s="33">
        <f t="shared" si="8"/>
        <v>90.511429109637504</v>
      </c>
      <c r="H210" s="34">
        <f t="shared" si="9"/>
        <v>90511.429109637509</v>
      </c>
    </row>
    <row r="211" spans="6:8" x14ac:dyDescent="0.25">
      <c r="F211" s="22">
        <v>2360</v>
      </c>
      <c r="G211" s="33">
        <f t="shared" si="8"/>
        <v>91.036948610637268</v>
      </c>
      <c r="H211" s="34">
        <f t="shared" si="9"/>
        <v>91036.948610637264</v>
      </c>
    </row>
    <row r="212" spans="6:8" x14ac:dyDescent="0.25">
      <c r="F212" s="22">
        <v>2370</v>
      </c>
      <c r="G212" s="33">
        <f t="shared" si="8"/>
        <v>91.563238952534817</v>
      </c>
      <c r="H212" s="34">
        <f t="shared" si="9"/>
        <v>91563.238952534812</v>
      </c>
    </row>
    <row r="213" spans="6:8" x14ac:dyDescent="0.25">
      <c r="F213" s="22">
        <v>2380</v>
      </c>
      <c r="G213" s="33">
        <f t="shared" si="8"/>
        <v>92.090300135330182</v>
      </c>
      <c r="H213" s="34">
        <f t="shared" si="9"/>
        <v>92090.300135330181</v>
      </c>
    </row>
    <row r="214" spans="6:8" x14ac:dyDescent="0.25">
      <c r="F214" s="22">
        <v>2390</v>
      </c>
      <c r="G214" s="33">
        <f t="shared" si="8"/>
        <v>92.618132159023332</v>
      </c>
      <c r="H214" s="34">
        <f t="shared" si="9"/>
        <v>92618.132159023327</v>
      </c>
    </row>
    <row r="215" spans="6:8" x14ac:dyDescent="0.25">
      <c r="F215" s="22">
        <v>2400</v>
      </c>
      <c r="G215" s="33">
        <f t="shared" si="8"/>
        <v>93.146735023614298</v>
      </c>
      <c r="H215" s="34">
        <f t="shared" si="9"/>
        <v>93146.735023614296</v>
      </c>
    </row>
    <row r="216" spans="6:8" x14ac:dyDescent="0.25">
      <c r="F216" s="22">
        <v>2410</v>
      </c>
      <c r="G216" s="33">
        <f t="shared" si="8"/>
        <v>93.676108729103078</v>
      </c>
      <c r="H216" s="34">
        <f t="shared" si="9"/>
        <v>93676.108729103071</v>
      </c>
    </row>
    <row r="217" spans="6:8" x14ac:dyDescent="0.25">
      <c r="F217" s="22">
        <v>2420</v>
      </c>
      <c r="G217" s="33">
        <f t="shared" si="8"/>
        <v>94.206253275489644</v>
      </c>
      <c r="H217" s="34">
        <f t="shared" si="9"/>
        <v>94206.253275489638</v>
      </c>
    </row>
    <row r="218" spans="6:8" x14ac:dyDescent="0.25">
      <c r="F218" s="22">
        <v>2430</v>
      </c>
      <c r="G218" s="33">
        <f t="shared" si="8"/>
        <v>94.737168662773996</v>
      </c>
      <c r="H218" s="34">
        <f t="shared" si="9"/>
        <v>94737.168662773998</v>
      </c>
    </row>
    <row r="219" spans="6:8" x14ac:dyDescent="0.25">
      <c r="F219" s="22">
        <v>2440</v>
      </c>
      <c r="G219" s="33">
        <f t="shared" si="8"/>
        <v>95.268854890956163</v>
      </c>
      <c r="H219" s="34">
        <f t="shared" si="9"/>
        <v>95268.854890956165</v>
      </c>
    </row>
    <row r="220" spans="6:8" x14ac:dyDescent="0.25">
      <c r="F220" s="22">
        <v>2450</v>
      </c>
      <c r="G220" s="33">
        <f t="shared" si="8"/>
        <v>95.801311960036116</v>
      </c>
      <c r="H220" s="34">
        <f t="shared" si="9"/>
        <v>95801.31196003611</v>
      </c>
    </row>
    <row r="221" spans="6:8" x14ac:dyDescent="0.25">
      <c r="F221" s="22">
        <v>2460</v>
      </c>
      <c r="G221" s="33">
        <f t="shared" si="8"/>
        <v>96.334539870013856</v>
      </c>
      <c r="H221" s="34">
        <f t="shared" si="9"/>
        <v>96334.539870013861</v>
      </c>
    </row>
    <row r="222" spans="6:8" x14ac:dyDescent="0.25">
      <c r="F222" s="22">
        <v>2470</v>
      </c>
      <c r="G222" s="33">
        <f t="shared" si="8"/>
        <v>96.868538620889439</v>
      </c>
      <c r="H222" s="34">
        <f t="shared" si="9"/>
        <v>96868.538620889434</v>
      </c>
    </row>
    <row r="223" spans="6:8" x14ac:dyDescent="0.25">
      <c r="F223" s="22">
        <v>2480</v>
      </c>
      <c r="G223" s="33">
        <f t="shared" si="8"/>
        <v>97.403308212662779</v>
      </c>
      <c r="H223" s="34">
        <f t="shared" si="9"/>
        <v>97403.308212662785</v>
      </c>
    </row>
    <row r="224" spans="6:8" x14ac:dyDescent="0.25">
      <c r="F224" s="22">
        <v>2490</v>
      </c>
      <c r="G224" s="33">
        <f t="shared" si="8"/>
        <v>97.938848645333962</v>
      </c>
      <c r="H224" s="34">
        <f t="shared" si="9"/>
        <v>97938.848645333957</v>
      </c>
    </row>
    <row r="225" spans="6:8" x14ac:dyDescent="0.25">
      <c r="F225" s="22">
        <v>2500</v>
      </c>
      <c r="G225" s="33">
        <f t="shared" si="8"/>
        <v>98.475159918902904</v>
      </c>
      <c r="H225" s="34">
        <f t="shared" si="9"/>
        <v>98475.159918902908</v>
      </c>
    </row>
    <row r="226" spans="6:8" x14ac:dyDescent="0.25">
      <c r="F226" s="22">
        <v>2510</v>
      </c>
      <c r="G226" s="33">
        <f t="shared" si="8"/>
        <v>99.01224203336966</v>
      </c>
      <c r="H226" s="34">
        <f t="shared" si="9"/>
        <v>99012.242033369665</v>
      </c>
    </row>
    <row r="227" spans="6:8" x14ac:dyDescent="0.25">
      <c r="F227" s="22">
        <v>2520</v>
      </c>
      <c r="G227" s="33">
        <f t="shared" si="8"/>
        <v>99.55009498873423</v>
      </c>
      <c r="H227" s="34">
        <f t="shared" si="9"/>
        <v>99550.094988734229</v>
      </c>
    </row>
    <row r="228" spans="6:8" x14ac:dyDescent="0.25">
      <c r="F228" s="22">
        <v>2530</v>
      </c>
      <c r="G228" s="33">
        <f t="shared" si="8"/>
        <v>100.08871878499659</v>
      </c>
      <c r="H228" s="34">
        <f t="shared" si="9"/>
        <v>100088.71878499658</v>
      </c>
    </row>
    <row r="229" spans="6:8" x14ac:dyDescent="0.25">
      <c r="F229" s="22">
        <v>2540</v>
      </c>
      <c r="G229" s="33">
        <f t="shared" si="8"/>
        <v>100.62811342215673</v>
      </c>
      <c r="H229" s="34">
        <f t="shared" si="9"/>
        <v>100628.11342215673</v>
      </c>
    </row>
    <row r="230" spans="6:8" x14ac:dyDescent="0.25">
      <c r="F230" s="22">
        <v>2550</v>
      </c>
      <c r="G230" s="33">
        <f t="shared" si="8"/>
        <v>101.16827890021472</v>
      </c>
      <c r="H230" s="34">
        <f t="shared" si="9"/>
        <v>101168.27890021472</v>
      </c>
    </row>
    <row r="231" spans="6:8" x14ac:dyDescent="0.25">
      <c r="F231" s="22">
        <v>2560</v>
      </c>
      <c r="G231" s="33">
        <f t="shared" si="8"/>
        <v>101.70921521917049</v>
      </c>
      <c r="H231" s="34">
        <f t="shared" si="9"/>
        <v>101709.2152191705</v>
      </c>
    </row>
    <row r="232" spans="6:8" x14ac:dyDescent="0.25">
      <c r="F232" s="22">
        <v>2570</v>
      </c>
      <c r="G232" s="33">
        <f t="shared" si="8"/>
        <v>102.25092237902402</v>
      </c>
      <c r="H232" s="34">
        <f t="shared" si="9"/>
        <v>102250.92237902402</v>
      </c>
    </row>
    <row r="233" spans="6:8" x14ac:dyDescent="0.25">
      <c r="F233" s="22">
        <v>2580</v>
      </c>
      <c r="G233" s="33">
        <f t="shared" si="8"/>
        <v>102.79340037977539</v>
      </c>
      <c r="H233" s="34">
        <f t="shared" si="9"/>
        <v>102793.4003797754</v>
      </c>
    </row>
    <row r="234" spans="6:8" x14ac:dyDescent="0.25">
      <c r="F234" s="22">
        <v>2590</v>
      </c>
      <c r="G234" s="33">
        <f t="shared" si="8"/>
        <v>103.33664922142455</v>
      </c>
      <c r="H234" s="34">
        <f t="shared" si="9"/>
        <v>103336.64922142455</v>
      </c>
    </row>
    <row r="235" spans="6:8" x14ac:dyDescent="0.25">
      <c r="F235" s="22">
        <v>2600</v>
      </c>
      <c r="G235" s="33">
        <f t="shared" si="8"/>
        <v>103.88066890397153</v>
      </c>
      <c r="H235" s="34">
        <f t="shared" si="9"/>
        <v>103880.66890397153</v>
      </c>
    </row>
    <row r="236" spans="6:8" x14ac:dyDescent="0.25">
      <c r="F236" s="22">
        <v>2610</v>
      </c>
      <c r="G236" s="33">
        <f t="shared" si="8"/>
        <v>104.42545942741626</v>
      </c>
      <c r="H236" s="34">
        <f t="shared" si="9"/>
        <v>104425.45942741625</v>
      </c>
    </row>
    <row r="237" spans="6:8" x14ac:dyDescent="0.25">
      <c r="F237" s="22">
        <v>2620</v>
      </c>
      <c r="G237" s="33">
        <f t="shared" si="8"/>
        <v>104.97102079175883</v>
      </c>
      <c r="H237" s="34">
        <f t="shared" si="9"/>
        <v>104971.02079175883</v>
      </c>
    </row>
    <row r="238" spans="6:8" x14ac:dyDescent="0.25">
      <c r="F238" s="22">
        <v>2630</v>
      </c>
      <c r="G238" s="33">
        <f t="shared" si="8"/>
        <v>105.51735299699919</v>
      </c>
      <c r="H238" s="34">
        <f t="shared" si="9"/>
        <v>105517.35299699919</v>
      </c>
    </row>
    <row r="239" spans="6:8" x14ac:dyDescent="0.25">
      <c r="F239" s="22">
        <v>2640</v>
      </c>
      <c r="G239" s="33">
        <f t="shared" si="8"/>
        <v>106.06445604313734</v>
      </c>
      <c r="H239" s="34">
        <f t="shared" si="9"/>
        <v>106064.45604313734</v>
      </c>
    </row>
    <row r="240" spans="6:8" x14ac:dyDescent="0.25">
      <c r="F240" s="22">
        <v>2650</v>
      </c>
      <c r="G240" s="33">
        <f t="shared" si="8"/>
        <v>106.6123299301733</v>
      </c>
      <c r="H240" s="34">
        <f t="shared" si="9"/>
        <v>106612.32993017331</v>
      </c>
    </row>
    <row r="241" spans="6:8" x14ac:dyDescent="0.25">
      <c r="F241" s="22">
        <v>2660</v>
      </c>
      <c r="G241" s="33">
        <f t="shared" si="8"/>
        <v>107.16097465810708</v>
      </c>
      <c r="H241" s="34">
        <f t="shared" si="9"/>
        <v>107160.97465810708</v>
      </c>
    </row>
    <row r="242" spans="6:8" x14ac:dyDescent="0.25">
      <c r="F242" s="22">
        <v>2670</v>
      </c>
      <c r="G242" s="33">
        <f t="shared" si="8"/>
        <v>107.71039022693861</v>
      </c>
      <c r="H242" s="34">
        <f t="shared" si="9"/>
        <v>107710.39022693862</v>
      </c>
    </row>
    <row r="243" spans="6:8" x14ac:dyDescent="0.25">
      <c r="F243" s="22">
        <v>2680</v>
      </c>
      <c r="G243" s="33">
        <f t="shared" si="8"/>
        <v>108.26057663666799</v>
      </c>
      <c r="H243" s="34">
        <f t="shared" si="9"/>
        <v>108260.57663666799</v>
      </c>
    </row>
    <row r="244" spans="6:8" x14ac:dyDescent="0.25">
      <c r="F244" s="22">
        <v>2690</v>
      </c>
      <c r="G244" s="33">
        <f t="shared" si="8"/>
        <v>108.81153388729516</v>
      </c>
      <c r="H244" s="34">
        <f t="shared" si="9"/>
        <v>108811.53388729515</v>
      </c>
    </row>
    <row r="245" spans="6:8" x14ac:dyDescent="0.25">
      <c r="F245" s="22">
        <v>2700</v>
      </c>
      <c r="G245" s="33">
        <f t="shared" si="8"/>
        <v>109.36326197882011</v>
      </c>
      <c r="H245" s="34">
        <f t="shared" si="9"/>
        <v>109363.26197882011</v>
      </c>
    </row>
    <row r="246" spans="6:8" x14ac:dyDescent="0.25">
      <c r="F246" s="22">
        <v>2710</v>
      </c>
      <c r="G246" s="33">
        <f t="shared" si="8"/>
        <v>109.91576091124287</v>
      </c>
      <c r="H246" s="34">
        <f t="shared" si="9"/>
        <v>109915.76091124288</v>
      </c>
    </row>
    <row r="247" spans="6:8" x14ac:dyDescent="0.25">
      <c r="F247" s="22">
        <v>2720</v>
      </c>
      <c r="G247" s="33">
        <f t="shared" si="8"/>
        <v>110.46903068456342</v>
      </c>
      <c r="H247" s="34">
        <f t="shared" si="9"/>
        <v>110469.03068456342</v>
      </c>
    </row>
    <row r="248" spans="6:8" x14ac:dyDescent="0.25">
      <c r="F248" s="22">
        <v>2730</v>
      </c>
      <c r="G248" s="33">
        <f t="shared" si="8"/>
        <v>111.02307129878179</v>
      </c>
      <c r="H248" s="34">
        <f t="shared" si="9"/>
        <v>111023.07129878178</v>
      </c>
    </row>
    <row r="249" spans="6:8" x14ac:dyDescent="0.25">
      <c r="F249" s="22">
        <v>2740</v>
      </c>
      <c r="G249" s="33">
        <f t="shared" si="8"/>
        <v>111.57788275389794</v>
      </c>
      <c r="H249" s="34">
        <f t="shared" si="9"/>
        <v>111577.88275389794</v>
      </c>
    </row>
    <row r="250" spans="6:8" x14ac:dyDescent="0.25">
      <c r="F250" s="22">
        <v>2750</v>
      </c>
      <c r="G250" s="33">
        <f t="shared" si="8"/>
        <v>112.1334650499119</v>
      </c>
      <c r="H250" s="34">
        <f t="shared" si="9"/>
        <v>112133.4650499119</v>
      </c>
    </row>
    <row r="251" spans="6:8" x14ac:dyDescent="0.25">
      <c r="F251" s="22">
        <v>2760</v>
      </c>
      <c r="G251" s="33">
        <f t="shared" si="8"/>
        <v>112.68981818682366</v>
      </c>
      <c r="H251" s="34">
        <f t="shared" si="9"/>
        <v>112689.81818682366</v>
      </c>
    </row>
    <row r="252" spans="6:8" x14ac:dyDescent="0.25">
      <c r="F252" s="22">
        <v>2770</v>
      </c>
      <c r="G252" s="33">
        <f t="shared" si="8"/>
        <v>113.24694216463323</v>
      </c>
      <c r="H252" s="34">
        <f t="shared" si="9"/>
        <v>113246.94216463322</v>
      </c>
    </row>
    <row r="253" spans="6:8" x14ac:dyDescent="0.25">
      <c r="F253" s="22">
        <v>2780</v>
      </c>
      <c r="G253" s="33">
        <f t="shared" si="8"/>
        <v>113.80483698334058</v>
      </c>
      <c r="H253" s="34">
        <f t="shared" si="9"/>
        <v>113804.83698334057</v>
      </c>
    </row>
    <row r="254" spans="6:8" x14ac:dyDescent="0.25">
      <c r="F254" s="22">
        <v>2790</v>
      </c>
      <c r="G254" s="33">
        <f t="shared" si="8"/>
        <v>114.36350264294575</v>
      </c>
      <c r="H254" s="34">
        <f t="shared" si="9"/>
        <v>114363.50264294575</v>
      </c>
    </row>
    <row r="255" spans="6:8" x14ac:dyDescent="0.25">
      <c r="F255" s="22">
        <v>2800</v>
      </c>
      <c r="G255" s="33">
        <f t="shared" si="8"/>
        <v>114.9229391434487</v>
      </c>
      <c r="H255" s="34">
        <f t="shared" si="9"/>
        <v>114922.9391434487</v>
      </c>
    </row>
    <row r="256" spans="6:8" x14ac:dyDescent="0.25">
      <c r="F256" s="22">
        <v>2810</v>
      </c>
      <c r="G256" s="33">
        <f t="shared" si="8"/>
        <v>115.48314648484947</v>
      </c>
      <c r="H256" s="34">
        <f t="shared" si="9"/>
        <v>115483.14648484947</v>
      </c>
    </row>
    <row r="257" spans="6:8" x14ac:dyDescent="0.25">
      <c r="F257" s="22">
        <v>2820</v>
      </c>
      <c r="G257" s="33">
        <f t="shared" si="8"/>
        <v>116.04412466714803</v>
      </c>
      <c r="H257" s="34">
        <f t="shared" si="9"/>
        <v>116044.12466714802</v>
      </c>
    </row>
    <row r="258" spans="6:8" x14ac:dyDescent="0.25">
      <c r="F258" s="22">
        <v>2830</v>
      </c>
      <c r="G258" s="33">
        <f t="shared" si="8"/>
        <v>116.6058736903444</v>
      </c>
      <c r="H258" s="34">
        <f t="shared" si="9"/>
        <v>116605.87369034439</v>
      </c>
    </row>
    <row r="259" spans="6:8" x14ac:dyDescent="0.25">
      <c r="F259" s="22">
        <v>2840</v>
      </c>
      <c r="G259" s="33">
        <f t="shared" si="8"/>
        <v>117.16839355443855</v>
      </c>
      <c r="H259" s="34">
        <f t="shared" si="9"/>
        <v>117168.39355443855</v>
      </c>
    </row>
    <row r="260" spans="6:8" x14ac:dyDescent="0.25">
      <c r="F260" s="22">
        <v>2850</v>
      </c>
      <c r="G260" s="33">
        <f t="shared" si="8"/>
        <v>117.73168425943052</v>
      </c>
      <c r="H260" s="34">
        <f t="shared" si="9"/>
        <v>117731.68425943052</v>
      </c>
    </row>
    <row r="261" spans="6:8" x14ac:dyDescent="0.25">
      <c r="F261" s="22">
        <v>2860</v>
      </c>
      <c r="G261" s="33">
        <f t="shared" ref="G261:G324" si="10" xml:space="preserve"> 0.000003854204489*F261^2 + 0.034398646956786*F261 - 11.6102355293121</f>
        <v>118.29574580532028</v>
      </c>
      <c r="H261" s="34">
        <f t="shared" ref="H261:H324" si="11">G261*1000</f>
        <v>118295.74580532029</v>
      </c>
    </row>
    <row r="262" spans="6:8" x14ac:dyDescent="0.25">
      <c r="F262" s="22">
        <v>2870</v>
      </c>
      <c r="G262" s="33">
        <f t="shared" si="10"/>
        <v>118.86057819210782</v>
      </c>
      <c r="H262" s="34">
        <f t="shared" si="11"/>
        <v>118860.57819210782</v>
      </c>
    </row>
    <row r="263" spans="6:8" x14ac:dyDescent="0.25">
      <c r="F263" s="22">
        <v>2880</v>
      </c>
      <c r="G263" s="33">
        <f t="shared" si="10"/>
        <v>119.42618141979318</v>
      </c>
      <c r="H263" s="34">
        <f t="shared" si="11"/>
        <v>119426.18141979318</v>
      </c>
    </row>
    <row r="264" spans="6:8" x14ac:dyDescent="0.25">
      <c r="F264" s="22">
        <v>2890</v>
      </c>
      <c r="G264" s="33">
        <f t="shared" si="10"/>
        <v>119.99255548837635</v>
      </c>
      <c r="H264" s="34">
        <f t="shared" si="11"/>
        <v>119992.55548837635</v>
      </c>
    </row>
    <row r="265" spans="6:8" x14ac:dyDescent="0.25">
      <c r="F265" s="22">
        <v>2900</v>
      </c>
      <c r="G265" s="33">
        <f t="shared" si="10"/>
        <v>120.55970039785731</v>
      </c>
      <c r="H265" s="34">
        <f t="shared" si="11"/>
        <v>120559.70039785732</v>
      </c>
    </row>
    <row r="266" spans="6:8" x14ac:dyDescent="0.25">
      <c r="F266" s="22">
        <v>2910</v>
      </c>
      <c r="G266" s="33">
        <f t="shared" si="10"/>
        <v>121.12761614823609</v>
      </c>
      <c r="H266" s="34">
        <f t="shared" si="11"/>
        <v>121127.61614823609</v>
      </c>
    </row>
    <row r="267" spans="6:8" x14ac:dyDescent="0.25">
      <c r="F267" s="22">
        <v>2920</v>
      </c>
      <c r="G267" s="33">
        <f t="shared" si="10"/>
        <v>121.69630273951265</v>
      </c>
      <c r="H267" s="34">
        <f t="shared" si="11"/>
        <v>121696.30273951264</v>
      </c>
    </row>
    <row r="268" spans="6:8" x14ac:dyDescent="0.25">
      <c r="F268" s="22">
        <v>2930</v>
      </c>
      <c r="G268" s="33">
        <f t="shared" si="10"/>
        <v>122.26576017168699</v>
      </c>
      <c r="H268" s="34">
        <f t="shared" si="11"/>
        <v>122265.760171687</v>
      </c>
    </row>
    <row r="269" spans="6:8" x14ac:dyDescent="0.25">
      <c r="F269" s="22">
        <v>2940</v>
      </c>
      <c r="G269" s="33">
        <f t="shared" si="10"/>
        <v>122.83598844475915</v>
      </c>
      <c r="H269" s="34">
        <f t="shared" si="11"/>
        <v>122835.98844475915</v>
      </c>
    </row>
    <row r="270" spans="6:8" x14ac:dyDescent="0.25">
      <c r="F270" s="22">
        <v>2950</v>
      </c>
      <c r="G270" s="33">
        <f t="shared" si="10"/>
        <v>123.40698755872913</v>
      </c>
      <c r="H270" s="34">
        <f t="shared" si="11"/>
        <v>123406.98755872913</v>
      </c>
    </row>
    <row r="271" spans="6:8" x14ac:dyDescent="0.25">
      <c r="F271" s="22">
        <v>2960</v>
      </c>
      <c r="G271" s="33">
        <f t="shared" si="10"/>
        <v>123.97875751359686</v>
      </c>
      <c r="H271" s="34">
        <f t="shared" si="11"/>
        <v>123978.75751359687</v>
      </c>
    </row>
    <row r="272" spans="6:8" x14ac:dyDescent="0.25">
      <c r="F272" s="22">
        <v>2970</v>
      </c>
      <c r="G272" s="33">
        <f t="shared" si="10"/>
        <v>124.55129830936244</v>
      </c>
      <c r="H272" s="34">
        <f t="shared" si="11"/>
        <v>124551.29830936244</v>
      </c>
    </row>
    <row r="273" spans="6:8" x14ac:dyDescent="0.25">
      <c r="F273" s="22">
        <v>2980</v>
      </c>
      <c r="G273" s="33">
        <f t="shared" si="10"/>
        <v>125.1246099460258</v>
      </c>
      <c r="H273" s="34">
        <f t="shared" si="11"/>
        <v>125124.6099460258</v>
      </c>
    </row>
    <row r="274" spans="6:8" x14ac:dyDescent="0.25">
      <c r="F274" s="22">
        <v>2990</v>
      </c>
      <c r="G274" s="33">
        <f t="shared" si="10"/>
        <v>125.69869242358695</v>
      </c>
      <c r="H274" s="34">
        <f t="shared" si="11"/>
        <v>125698.69242358695</v>
      </c>
    </row>
    <row r="275" spans="6:8" x14ac:dyDescent="0.25">
      <c r="F275" s="22">
        <v>3000</v>
      </c>
      <c r="G275" s="33">
        <f t="shared" si="10"/>
        <v>126.27354574204591</v>
      </c>
      <c r="H275" s="34">
        <f t="shared" si="11"/>
        <v>126273.54574204591</v>
      </c>
    </row>
    <row r="276" spans="6:8" x14ac:dyDescent="0.25">
      <c r="F276" s="22">
        <v>3010</v>
      </c>
      <c r="G276" s="33">
        <f t="shared" si="10"/>
        <v>126.84916990140266</v>
      </c>
      <c r="H276" s="34">
        <f t="shared" si="11"/>
        <v>126849.16990140267</v>
      </c>
    </row>
    <row r="277" spans="6:8" x14ac:dyDescent="0.25">
      <c r="F277" s="22">
        <v>3020</v>
      </c>
      <c r="G277" s="33">
        <f t="shared" si="10"/>
        <v>127.42556490165725</v>
      </c>
      <c r="H277" s="34">
        <f t="shared" si="11"/>
        <v>127425.56490165726</v>
      </c>
    </row>
    <row r="278" spans="6:8" x14ac:dyDescent="0.25">
      <c r="F278" s="22">
        <v>3030</v>
      </c>
      <c r="G278" s="33">
        <f t="shared" si="10"/>
        <v>128.0027307428096</v>
      </c>
      <c r="H278" s="34">
        <f t="shared" si="11"/>
        <v>128002.73074280961</v>
      </c>
    </row>
    <row r="279" spans="6:8" x14ac:dyDescent="0.25">
      <c r="F279" s="22">
        <v>3040</v>
      </c>
      <c r="G279" s="33">
        <f t="shared" si="10"/>
        <v>128.58066742485977</v>
      </c>
      <c r="H279" s="34">
        <f t="shared" si="11"/>
        <v>128580.66742485977</v>
      </c>
    </row>
    <row r="280" spans="6:8" x14ac:dyDescent="0.25">
      <c r="F280" s="22">
        <v>3050</v>
      </c>
      <c r="G280" s="33">
        <f t="shared" si="10"/>
        <v>129.15937494780772</v>
      </c>
      <c r="H280" s="34">
        <f t="shared" si="11"/>
        <v>129159.37494780772</v>
      </c>
    </row>
    <row r="281" spans="6:8" x14ac:dyDescent="0.25">
      <c r="F281" s="22">
        <v>3060</v>
      </c>
      <c r="G281" s="33">
        <f t="shared" si="10"/>
        <v>129.73885331165349</v>
      </c>
      <c r="H281" s="34">
        <f t="shared" si="11"/>
        <v>129738.85331165348</v>
      </c>
    </row>
    <row r="282" spans="6:8" x14ac:dyDescent="0.25">
      <c r="F282" s="22">
        <v>3070</v>
      </c>
      <c r="G282" s="33">
        <f t="shared" si="10"/>
        <v>130.31910251639704</v>
      </c>
      <c r="H282" s="34">
        <f t="shared" si="11"/>
        <v>130319.10251639703</v>
      </c>
    </row>
    <row r="283" spans="6:8" x14ac:dyDescent="0.25">
      <c r="F283" s="22">
        <v>3080</v>
      </c>
      <c r="G283" s="33">
        <f t="shared" si="10"/>
        <v>130.9001225620384</v>
      </c>
      <c r="H283" s="34">
        <f t="shared" si="11"/>
        <v>130900.12256203841</v>
      </c>
    </row>
    <row r="284" spans="6:8" x14ac:dyDescent="0.25">
      <c r="F284" s="22">
        <v>3090</v>
      </c>
      <c r="G284" s="33">
        <f t="shared" si="10"/>
        <v>131.48191344857756</v>
      </c>
      <c r="H284" s="34">
        <f t="shared" si="11"/>
        <v>131481.91344857757</v>
      </c>
    </row>
    <row r="285" spans="6:8" x14ac:dyDescent="0.25">
      <c r="F285" s="22">
        <v>3100</v>
      </c>
      <c r="G285" s="33">
        <f t="shared" si="10"/>
        <v>132.06447517601453</v>
      </c>
      <c r="H285" s="34">
        <f t="shared" si="11"/>
        <v>132064.47517601453</v>
      </c>
    </row>
    <row r="286" spans="6:8" x14ac:dyDescent="0.25">
      <c r="F286" s="22">
        <v>3110</v>
      </c>
      <c r="G286" s="33">
        <f t="shared" si="10"/>
        <v>132.64780774434928</v>
      </c>
      <c r="H286" s="34">
        <f t="shared" si="11"/>
        <v>132647.80774434927</v>
      </c>
    </row>
    <row r="287" spans="6:8" x14ac:dyDescent="0.25">
      <c r="F287" s="22">
        <v>3120</v>
      </c>
      <c r="G287" s="33">
        <f t="shared" si="10"/>
        <v>133.23191115358185</v>
      </c>
      <c r="H287" s="34">
        <f t="shared" si="11"/>
        <v>133231.91115358184</v>
      </c>
    </row>
    <row r="288" spans="6:8" x14ac:dyDescent="0.25">
      <c r="F288" s="22">
        <v>3130</v>
      </c>
      <c r="G288" s="33">
        <f t="shared" si="10"/>
        <v>133.8167854037122</v>
      </c>
      <c r="H288" s="34">
        <f t="shared" si="11"/>
        <v>133816.78540371222</v>
      </c>
    </row>
    <row r="289" spans="6:8" x14ac:dyDescent="0.25">
      <c r="F289" s="22">
        <v>3140</v>
      </c>
      <c r="G289" s="33">
        <f t="shared" si="10"/>
        <v>134.40243049474034</v>
      </c>
      <c r="H289" s="34">
        <f t="shared" si="11"/>
        <v>134402.43049474034</v>
      </c>
    </row>
    <row r="290" spans="6:8" x14ac:dyDescent="0.25">
      <c r="F290" s="22">
        <v>3150</v>
      </c>
      <c r="G290" s="33">
        <f t="shared" si="10"/>
        <v>134.98884642666633</v>
      </c>
      <c r="H290" s="34">
        <f t="shared" si="11"/>
        <v>134988.84642666634</v>
      </c>
    </row>
    <row r="291" spans="6:8" x14ac:dyDescent="0.25">
      <c r="F291" s="22">
        <v>3160</v>
      </c>
      <c r="G291" s="33">
        <f t="shared" si="10"/>
        <v>135.57603319949007</v>
      </c>
      <c r="H291" s="34">
        <f t="shared" si="11"/>
        <v>135576.03319949008</v>
      </c>
    </row>
    <row r="292" spans="6:8" x14ac:dyDescent="0.25">
      <c r="F292" s="22">
        <v>3170</v>
      </c>
      <c r="G292" s="33">
        <f t="shared" si="10"/>
        <v>136.16399081321163</v>
      </c>
      <c r="H292" s="34">
        <f t="shared" si="11"/>
        <v>136163.99081321163</v>
      </c>
    </row>
    <row r="293" spans="6:8" x14ac:dyDescent="0.25">
      <c r="F293" s="22">
        <v>3180</v>
      </c>
      <c r="G293" s="33">
        <f t="shared" si="10"/>
        <v>136.752719267831</v>
      </c>
      <c r="H293" s="34">
        <f t="shared" si="11"/>
        <v>136752.71926783101</v>
      </c>
    </row>
    <row r="294" spans="6:8" x14ac:dyDescent="0.25">
      <c r="F294" s="22">
        <v>3190</v>
      </c>
      <c r="G294" s="33">
        <f t="shared" si="10"/>
        <v>137.34221856334815</v>
      </c>
      <c r="H294" s="34">
        <f t="shared" si="11"/>
        <v>137342.21856334814</v>
      </c>
    </row>
    <row r="295" spans="6:8" x14ac:dyDescent="0.25">
      <c r="F295" s="22">
        <v>3200</v>
      </c>
      <c r="G295" s="33">
        <f t="shared" si="10"/>
        <v>137.9324886997631</v>
      </c>
      <c r="H295" s="34">
        <f t="shared" si="11"/>
        <v>137932.48869976311</v>
      </c>
    </row>
    <row r="296" spans="6:8" x14ac:dyDescent="0.25">
      <c r="F296" s="22">
        <v>3210</v>
      </c>
      <c r="G296" s="33">
        <f t="shared" si="10"/>
        <v>138.52352967707589</v>
      </c>
      <c r="H296" s="34">
        <f t="shared" si="11"/>
        <v>138523.52967707589</v>
      </c>
    </row>
    <row r="297" spans="6:8" x14ac:dyDescent="0.25">
      <c r="F297" s="22">
        <v>3220</v>
      </c>
      <c r="G297" s="33">
        <f t="shared" si="10"/>
        <v>139.11534149528643</v>
      </c>
      <c r="H297" s="34">
        <f t="shared" si="11"/>
        <v>139115.34149528644</v>
      </c>
    </row>
    <row r="298" spans="6:8" x14ac:dyDescent="0.25">
      <c r="F298" s="22">
        <v>3230</v>
      </c>
      <c r="G298" s="33">
        <f t="shared" si="10"/>
        <v>139.70792415439479</v>
      </c>
      <c r="H298" s="34">
        <f t="shared" si="11"/>
        <v>139707.9241543948</v>
      </c>
    </row>
    <row r="299" spans="6:8" x14ac:dyDescent="0.25">
      <c r="F299" s="22">
        <v>3240</v>
      </c>
      <c r="G299" s="33">
        <f t="shared" si="10"/>
        <v>140.30127765440096</v>
      </c>
      <c r="H299" s="34">
        <f t="shared" si="11"/>
        <v>140301.27765440097</v>
      </c>
    </row>
    <row r="300" spans="6:8" x14ac:dyDescent="0.25">
      <c r="F300" s="22">
        <v>3250</v>
      </c>
      <c r="G300" s="33">
        <f t="shared" si="10"/>
        <v>140.89540199530492</v>
      </c>
      <c r="H300" s="34">
        <f t="shared" si="11"/>
        <v>140895.40199530491</v>
      </c>
    </row>
    <row r="301" spans="6:8" x14ac:dyDescent="0.25">
      <c r="F301" s="22">
        <v>3260</v>
      </c>
      <c r="G301" s="33">
        <f t="shared" si="10"/>
        <v>141.4902971771067</v>
      </c>
      <c r="H301" s="34">
        <f t="shared" si="11"/>
        <v>141490.2971771067</v>
      </c>
    </row>
    <row r="302" spans="6:8" x14ac:dyDescent="0.25">
      <c r="F302" s="22">
        <v>3270</v>
      </c>
      <c r="G302" s="33">
        <f t="shared" si="10"/>
        <v>142.08596319980623</v>
      </c>
      <c r="H302" s="34">
        <f t="shared" si="11"/>
        <v>142085.96319980623</v>
      </c>
    </row>
    <row r="303" spans="6:8" x14ac:dyDescent="0.25">
      <c r="F303" s="22">
        <v>3280</v>
      </c>
      <c r="G303" s="33">
        <f t="shared" si="10"/>
        <v>142.68240006340361</v>
      </c>
      <c r="H303" s="34">
        <f t="shared" si="11"/>
        <v>142682.40006340359</v>
      </c>
    </row>
    <row r="304" spans="6:8" x14ac:dyDescent="0.25">
      <c r="F304" s="22">
        <v>3290</v>
      </c>
      <c r="G304" s="33">
        <f t="shared" si="10"/>
        <v>143.27960776789877</v>
      </c>
      <c r="H304" s="34">
        <f t="shared" si="11"/>
        <v>143279.60776789876</v>
      </c>
    </row>
    <row r="305" spans="6:8" x14ac:dyDescent="0.25">
      <c r="F305" s="22">
        <v>3300</v>
      </c>
      <c r="G305" s="33">
        <f t="shared" si="10"/>
        <v>143.87758631329172</v>
      </c>
      <c r="H305" s="34">
        <f t="shared" si="11"/>
        <v>143877.58631329171</v>
      </c>
    </row>
    <row r="306" spans="6:8" x14ac:dyDescent="0.25">
      <c r="F306" s="22">
        <v>3310</v>
      </c>
      <c r="G306" s="33">
        <f t="shared" si="10"/>
        <v>144.47633569958248</v>
      </c>
      <c r="H306" s="34">
        <f t="shared" si="11"/>
        <v>144476.33569958247</v>
      </c>
    </row>
    <row r="307" spans="6:8" x14ac:dyDescent="0.25">
      <c r="F307" s="22">
        <v>3320</v>
      </c>
      <c r="G307" s="33">
        <f t="shared" si="10"/>
        <v>145.07585592677103</v>
      </c>
      <c r="H307" s="34">
        <f t="shared" si="11"/>
        <v>145075.85592677104</v>
      </c>
    </row>
    <row r="308" spans="6:8" x14ac:dyDescent="0.25">
      <c r="F308" s="22">
        <v>3330</v>
      </c>
      <c r="G308" s="33">
        <f t="shared" si="10"/>
        <v>145.67614699485739</v>
      </c>
      <c r="H308" s="34">
        <f t="shared" si="11"/>
        <v>145676.14699485738</v>
      </c>
    </row>
    <row r="309" spans="6:8" x14ac:dyDescent="0.25">
      <c r="F309" s="22">
        <v>3340</v>
      </c>
      <c r="G309" s="33">
        <f t="shared" si="10"/>
        <v>146.27720890384154</v>
      </c>
      <c r="H309" s="34">
        <f t="shared" si="11"/>
        <v>146277.20890384153</v>
      </c>
    </row>
    <row r="310" spans="6:8" x14ac:dyDescent="0.25">
      <c r="F310" s="22">
        <v>3350</v>
      </c>
      <c r="G310" s="33">
        <f t="shared" si="10"/>
        <v>146.87904165372353</v>
      </c>
      <c r="H310" s="34">
        <f t="shared" si="11"/>
        <v>146879.04165372354</v>
      </c>
    </row>
    <row r="311" spans="6:8" x14ac:dyDescent="0.25">
      <c r="F311" s="22">
        <v>3360</v>
      </c>
      <c r="G311" s="33">
        <f t="shared" si="10"/>
        <v>147.48164524450328</v>
      </c>
      <c r="H311" s="34">
        <f t="shared" si="11"/>
        <v>147481.64524450328</v>
      </c>
    </row>
    <row r="312" spans="6:8" x14ac:dyDescent="0.25">
      <c r="F312" s="22">
        <v>3370</v>
      </c>
      <c r="G312" s="33">
        <f t="shared" si="10"/>
        <v>148.08501967618085</v>
      </c>
      <c r="H312" s="34">
        <f t="shared" si="11"/>
        <v>148085.01967618085</v>
      </c>
    </row>
    <row r="313" spans="6:8" x14ac:dyDescent="0.25">
      <c r="F313" s="22">
        <v>3380</v>
      </c>
      <c r="G313" s="33">
        <f t="shared" si="10"/>
        <v>148.6891649487562</v>
      </c>
      <c r="H313" s="34">
        <f t="shared" si="11"/>
        <v>148689.1649487562</v>
      </c>
    </row>
    <row r="314" spans="6:8" x14ac:dyDescent="0.25">
      <c r="F314" s="22">
        <v>3390</v>
      </c>
      <c r="G314" s="33">
        <f t="shared" si="10"/>
        <v>149.29408106222937</v>
      </c>
      <c r="H314" s="34">
        <f t="shared" si="11"/>
        <v>149294.08106222938</v>
      </c>
    </row>
    <row r="315" spans="6:8" x14ac:dyDescent="0.25">
      <c r="F315" s="22">
        <v>3400</v>
      </c>
      <c r="G315" s="33">
        <f t="shared" si="10"/>
        <v>149.89976801660032</v>
      </c>
      <c r="H315" s="34">
        <f t="shared" si="11"/>
        <v>149899.76801660031</v>
      </c>
    </row>
    <row r="316" spans="6:8" x14ac:dyDescent="0.25">
      <c r="F316" s="22">
        <v>3410</v>
      </c>
      <c r="G316" s="33">
        <f t="shared" si="10"/>
        <v>150.50622581186909</v>
      </c>
      <c r="H316" s="34">
        <f t="shared" si="11"/>
        <v>150506.22581186908</v>
      </c>
    </row>
    <row r="317" spans="6:8" x14ac:dyDescent="0.25">
      <c r="F317" s="22">
        <v>3420</v>
      </c>
      <c r="G317" s="33">
        <f t="shared" si="10"/>
        <v>151.11345444803564</v>
      </c>
      <c r="H317" s="34">
        <f t="shared" si="11"/>
        <v>151113.45444803563</v>
      </c>
    </row>
    <row r="318" spans="6:8" x14ac:dyDescent="0.25">
      <c r="F318" s="22">
        <v>3430</v>
      </c>
      <c r="G318" s="33">
        <f t="shared" si="10"/>
        <v>151.72145392510001</v>
      </c>
      <c r="H318" s="34">
        <f t="shared" si="11"/>
        <v>151721.45392510001</v>
      </c>
    </row>
    <row r="319" spans="6:8" x14ac:dyDescent="0.25">
      <c r="F319" s="22">
        <v>3440</v>
      </c>
      <c r="G319" s="33">
        <f t="shared" si="10"/>
        <v>152.33022424306216</v>
      </c>
      <c r="H319" s="34">
        <f t="shared" si="11"/>
        <v>152330.22424306217</v>
      </c>
    </row>
    <row r="320" spans="6:8" x14ac:dyDescent="0.25">
      <c r="F320" s="22">
        <v>3450</v>
      </c>
      <c r="G320" s="33">
        <f t="shared" si="10"/>
        <v>152.9397654019221</v>
      </c>
      <c r="H320" s="34">
        <f t="shared" si="11"/>
        <v>152939.76540192211</v>
      </c>
    </row>
    <row r="321" spans="6:8" x14ac:dyDescent="0.25">
      <c r="F321" s="22">
        <v>3460</v>
      </c>
      <c r="G321" s="33">
        <f t="shared" si="10"/>
        <v>153.55007740167989</v>
      </c>
      <c r="H321" s="34">
        <f t="shared" si="11"/>
        <v>153550.07740167988</v>
      </c>
    </row>
    <row r="322" spans="6:8" x14ac:dyDescent="0.25">
      <c r="F322" s="22">
        <v>3470</v>
      </c>
      <c r="G322" s="33">
        <f t="shared" si="10"/>
        <v>154.16116024233543</v>
      </c>
      <c r="H322" s="34">
        <f t="shared" si="11"/>
        <v>154161.16024233543</v>
      </c>
    </row>
    <row r="323" spans="6:8" x14ac:dyDescent="0.25">
      <c r="F323" s="22">
        <v>3480</v>
      </c>
      <c r="G323" s="33">
        <f t="shared" si="10"/>
        <v>154.77301392388881</v>
      </c>
      <c r="H323" s="34">
        <f t="shared" si="11"/>
        <v>154773.01392388882</v>
      </c>
    </row>
    <row r="324" spans="6:8" x14ac:dyDescent="0.25">
      <c r="F324" s="22">
        <v>3490</v>
      </c>
      <c r="G324" s="33">
        <f t="shared" si="10"/>
        <v>155.38563844633995</v>
      </c>
      <c r="H324" s="34">
        <f t="shared" si="11"/>
        <v>155385.63844633996</v>
      </c>
    </row>
    <row r="325" spans="6:8" x14ac:dyDescent="0.25">
      <c r="F325" s="22">
        <v>3500</v>
      </c>
      <c r="G325" s="33">
        <f t="shared" ref="G325" si="12" xml:space="preserve"> 0.000003854204489*F325^2 + 0.034398646956786*F325 - 11.6102355293121</f>
        <v>155.99903380968891</v>
      </c>
      <c r="H325" s="34">
        <f t="shared" ref="H325" si="13">G325*1000</f>
        <v>155999.0338096889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2A587-BA2A-4EB2-A182-363000147111}">
  <dimension ref="B1:H325"/>
  <sheetViews>
    <sheetView workbookViewId="0">
      <selection activeCell="V32" sqref="V32"/>
    </sheetView>
  </sheetViews>
  <sheetFormatPr defaultRowHeight="15" x14ac:dyDescent="0.25"/>
  <cols>
    <col min="3" max="3" width="18.5703125" bestFit="1" customWidth="1"/>
    <col min="4" max="4" width="17.85546875" bestFit="1" customWidth="1"/>
    <col min="7" max="7" width="22.7109375" bestFit="1" customWidth="1"/>
    <col min="8" max="8" width="22" bestFit="1" customWidth="1"/>
  </cols>
  <sheetData>
    <row r="1" spans="2:8" x14ac:dyDescent="0.25">
      <c r="D1" s="8"/>
    </row>
    <row r="2" spans="2:8" x14ac:dyDescent="0.25">
      <c r="D2" s="8"/>
    </row>
    <row r="3" spans="2:8" x14ac:dyDescent="0.25">
      <c r="B3" s="18" t="s">
        <v>27</v>
      </c>
      <c r="C3" s="18" t="s">
        <v>28</v>
      </c>
      <c r="D3" s="18" t="s">
        <v>29</v>
      </c>
      <c r="E3" s="11"/>
      <c r="F3" s="18" t="s">
        <v>27</v>
      </c>
      <c r="G3" s="18" t="s">
        <v>50</v>
      </c>
      <c r="H3" s="29" t="s">
        <v>49</v>
      </c>
    </row>
    <row r="4" spans="2:8" x14ac:dyDescent="0.25">
      <c r="B4" s="19">
        <v>298</v>
      </c>
      <c r="C4" s="19">
        <v>0</v>
      </c>
      <c r="D4" s="19">
        <f>C4*1000</f>
        <v>0</v>
      </c>
      <c r="F4" s="19">
        <v>298</v>
      </c>
      <c r="G4" s="33">
        <f>0.000001244348025*F4^2 + 0.030404396664125*F4 - 9.79556018722852</f>
        <v>-0.62454689930716967</v>
      </c>
      <c r="H4" s="34">
        <f>G4*1000</f>
        <v>-624.54689930716972</v>
      </c>
    </row>
    <row r="5" spans="2:8" x14ac:dyDescent="0.25">
      <c r="B5" s="19">
        <v>300</v>
      </c>
      <c r="C5" s="19">
        <v>0.05</v>
      </c>
      <c r="D5" s="19">
        <f t="shared" ref="D5:D68" si="0">C5*1000</f>
        <v>50</v>
      </c>
      <c r="F5" s="22">
        <v>300</v>
      </c>
      <c r="G5" s="33">
        <f t="shared" ref="G5:G68" si="1">0.000001244348025*F5^2 + 0.030404396664125*F5 - 9.79556018722852</f>
        <v>-0.56224986574101976</v>
      </c>
      <c r="H5" s="34">
        <f t="shared" ref="H5:H68" si="2">G5*1000</f>
        <v>-562.24986574101979</v>
      </c>
    </row>
    <row r="6" spans="2:8" x14ac:dyDescent="0.25">
      <c r="B6" s="19">
        <v>350</v>
      </c>
      <c r="C6" s="19">
        <v>1.51</v>
      </c>
      <c r="D6" s="19">
        <f t="shared" si="0"/>
        <v>1510</v>
      </c>
      <c r="F6" s="22">
        <v>310</v>
      </c>
      <c r="G6" s="33">
        <f t="shared" si="1"/>
        <v>-0.25061537614726959</v>
      </c>
      <c r="H6" s="34">
        <f t="shared" si="2"/>
        <v>-250.61537614726959</v>
      </c>
    </row>
    <row r="7" spans="2:8" x14ac:dyDescent="0.25">
      <c r="B7" s="19">
        <v>400</v>
      </c>
      <c r="C7" s="19">
        <v>2.97</v>
      </c>
      <c r="D7" s="19">
        <f t="shared" si="0"/>
        <v>2970</v>
      </c>
      <c r="F7" s="22">
        <v>320</v>
      </c>
      <c r="G7" s="33">
        <f t="shared" si="1"/>
        <v>6.1267983051479291E-2</v>
      </c>
      <c r="H7" s="34">
        <f t="shared" si="2"/>
        <v>61.267983051479291</v>
      </c>
    </row>
    <row r="8" spans="2:8" x14ac:dyDescent="0.25">
      <c r="B8" s="19">
        <v>450</v>
      </c>
      <c r="C8" s="19">
        <v>4.4400000000000004</v>
      </c>
      <c r="D8" s="19">
        <f t="shared" si="0"/>
        <v>4440</v>
      </c>
      <c r="F8" s="22">
        <v>330</v>
      </c>
      <c r="G8" s="33">
        <f t="shared" si="1"/>
        <v>0.37340021185523042</v>
      </c>
      <c r="H8" s="34">
        <f t="shared" si="2"/>
        <v>373.4002118552304</v>
      </c>
    </row>
    <row r="9" spans="2:8" x14ac:dyDescent="0.25">
      <c r="B9" s="19">
        <v>500</v>
      </c>
      <c r="C9" s="19">
        <v>5.92</v>
      </c>
      <c r="D9" s="19">
        <f t="shared" si="0"/>
        <v>5920</v>
      </c>
      <c r="F9" s="22">
        <v>340</v>
      </c>
      <c r="G9" s="33">
        <f t="shared" si="1"/>
        <v>0.68578131026398026</v>
      </c>
      <c r="H9" s="34">
        <f t="shared" si="2"/>
        <v>685.78131026398023</v>
      </c>
    </row>
    <row r="10" spans="2:8" x14ac:dyDescent="0.25">
      <c r="B10" s="19">
        <v>550</v>
      </c>
      <c r="C10" s="19">
        <v>7.41</v>
      </c>
      <c r="D10" s="19">
        <f t="shared" si="0"/>
        <v>7410</v>
      </c>
      <c r="F10" s="22">
        <v>350</v>
      </c>
      <c r="G10" s="33">
        <f t="shared" si="1"/>
        <v>0.9984112782777288</v>
      </c>
      <c r="H10" s="34">
        <f t="shared" si="2"/>
        <v>998.4112782777288</v>
      </c>
    </row>
    <row r="11" spans="2:8" x14ac:dyDescent="0.25">
      <c r="B11" s="19">
        <v>600</v>
      </c>
      <c r="C11" s="19">
        <v>8.9</v>
      </c>
      <c r="D11" s="19">
        <f t="shared" si="0"/>
        <v>8900</v>
      </c>
      <c r="F11" s="22">
        <v>360</v>
      </c>
      <c r="G11" s="33">
        <f t="shared" si="1"/>
        <v>1.3112901158964796</v>
      </c>
      <c r="H11" s="34">
        <f t="shared" si="2"/>
        <v>1311.2901158964796</v>
      </c>
    </row>
    <row r="12" spans="2:8" x14ac:dyDescent="0.25">
      <c r="B12" s="19">
        <v>650</v>
      </c>
      <c r="C12" s="19">
        <v>10.42</v>
      </c>
      <c r="D12" s="19">
        <f t="shared" si="0"/>
        <v>10420</v>
      </c>
      <c r="F12" s="22">
        <v>370</v>
      </c>
      <c r="G12" s="33">
        <f t="shared" si="1"/>
        <v>1.6244178231202309</v>
      </c>
      <c r="H12" s="34">
        <f t="shared" si="2"/>
        <v>1624.4178231202309</v>
      </c>
    </row>
    <row r="13" spans="2:8" x14ac:dyDescent="0.25">
      <c r="B13" s="19">
        <v>700</v>
      </c>
      <c r="C13" s="19">
        <v>11.94</v>
      </c>
      <c r="D13" s="19">
        <f t="shared" si="0"/>
        <v>11940</v>
      </c>
      <c r="F13" s="22">
        <v>380</v>
      </c>
      <c r="G13" s="33">
        <f t="shared" si="1"/>
        <v>1.9377943999489791</v>
      </c>
      <c r="H13" s="34">
        <f t="shared" si="2"/>
        <v>1937.7943999489792</v>
      </c>
    </row>
    <row r="14" spans="2:8" x14ac:dyDescent="0.25">
      <c r="B14" s="19">
        <v>750</v>
      </c>
      <c r="C14" s="19">
        <v>13.48</v>
      </c>
      <c r="D14" s="19">
        <f t="shared" si="0"/>
        <v>13480</v>
      </c>
      <c r="F14" s="22">
        <v>390</v>
      </c>
      <c r="G14" s="33">
        <f t="shared" si="1"/>
        <v>2.2514198463827295</v>
      </c>
      <c r="H14" s="34">
        <f t="shared" si="2"/>
        <v>2251.4198463827297</v>
      </c>
    </row>
    <row r="15" spans="2:8" x14ac:dyDescent="0.25">
      <c r="B15" s="19">
        <v>800</v>
      </c>
      <c r="C15" s="19">
        <v>15.04</v>
      </c>
      <c r="D15" s="19">
        <f t="shared" si="0"/>
        <v>15040</v>
      </c>
      <c r="F15" s="22">
        <v>400</v>
      </c>
      <c r="G15" s="33">
        <f t="shared" si="1"/>
        <v>2.5652941624214787</v>
      </c>
      <c r="H15" s="34">
        <f t="shared" si="2"/>
        <v>2565.2941624214786</v>
      </c>
    </row>
    <row r="16" spans="2:8" x14ac:dyDescent="0.25">
      <c r="B16" s="19">
        <v>850</v>
      </c>
      <c r="C16" s="19">
        <v>16.62</v>
      </c>
      <c r="D16" s="19">
        <f t="shared" si="0"/>
        <v>16620</v>
      </c>
      <c r="F16" s="22">
        <v>410</v>
      </c>
      <c r="G16" s="33">
        <f t="shared" si="1"/>
        <v>2.8794173480652301</v>
      </c>
      <c r="H16" s="34">
        <f t="shared" si="2"/>
        <v>2879.4173480652303</v>
      </c>
    </row>
    <row r="17" spans="2:8" x14ac:dyDescent="0.25">
      <c r="B17" s="19">
        <v>900</v>
      </c>
      <c r="C17" s="19">
        <v>18.22</v>
      </c>
      <c r="D17" s="19">
        <f t="shared" si="0"/>
        <v>18220</v>
      </c>
      <c r="F17" s="22">
        <v>420</v>
      </c>
      <c r="G17" s="33">
        <f t="shared" si="1"/>
        <v>3.1937894033139802</v>
      </c>
      <c r="H17" s="34">
        <f t="shared" si="2"/>
        <v>3193.7894033139801</v>
      </c>
    </row>
    <row r="18" spans="2:8" x14ac:dyDescent="0.25">
      <c r="B18" s="19">
        <v>950</v>
      </c>
      <c r="C18" s="19">
        <v>19.84</v>
      </c>
      <c r="D18" s="19">
        <f t="shared" si="0"/>
        <v>19840</v>
      </c>
      <c r="F18" s="22">
        <v>430</v>
      </c>
      <c r="G18" s="33">
        <f t="shared" si="1"/>
        <v>3.508410328167729</v>
      </c>
      <c r="H18" s="34">
        <f t="shared" si="2"/>
        <v>3508.4103281677289</v>
      </c>
    </row>
    <row r="19" spans="2:8" x14ac:dyDescent="0.25">
      <c r="B19" s="19">
        <v>1000</v>
      </c>
      <c r="C19" s="19">
        <v>21.47</v>
      </c>
      <c r="D19" s="19">
        <f t="shared" si="0"/>
        <v>21470</v>
      </c>
      <c r="F19" s="22">
        <v>440</v>
      </c>
      <c r="G19" s="33">
        <f t="shared" si="1"/>
        <v>3.8232801226264801</v>
      </c>
      <c r="H19" s="34">
        <f t="shared" si="2"/>
        <v>3823.2801226264801</v>
      </c>
    </row>
    <row r="20" spans="2:8" x14ac:dyDescent="0.25">
      <c r="B20" s="19">
        <v>1050</v>
      </c>
      <c r="C20" s="19">
        <v>23.11</v>
      </c>
      <c r="D20" s="19">
        <f t="shared" si="0"/>
        <v>23110</v>
      </c>
      <c r="F20" s="22">
        <v>450</v>
      </c>
      <c r="G20" s="33">
        <f t="shared" si="1"/>
        <v>4.1383987866902299</v>
      </c>
      <c r="H20" s="34">
        <f t="shared" si="2"/>
        <v>4138.3987866902298</v>
      </c>
    </row>
    <row r="21" spans="2:8" x14ac:dyDescent="0.25">
      <c r="B21" s="19">
        <v>1100</v>
      </c>
      <c r="C21" s="19">
        <v>24.77</v>
      </c>
      <c r="D21" s="19">
        <f t="shared" si="0"/>
        <v>24770</v>
      </c>
      <c r="F21" s="22">
        <v>460</v>
      </c>
      <c r="G21" s="33">
        <f t="shared" si="1"/>
        <v>4.4537663203589801</v>
      </c>
      <c r="H21" s="34">
        <f t="shared" si="2"/>
        <v>4453.76632035898</v>
      </c>
    </row>
    <row r="22" spans="2:8" x14ac:dyDescent="0.25">
      <c r="B22" s="19">
        <v>1150</v>
      </c>
      <c r="C22" s="19">
        <v>26.44</v>
      </c>
      <c r="D22" s="19">
        <f t="shared" si="0"/>
        <v>26440</v>
      </c>
      <c r="F22" s="22">
        <v>470</v>
      </c>
      <c r="G22" s="33">
        <f t="shared" si="1"/>
        <v>4.7693827236327309</v>
      </c>
      <c r="H22" s="34">
        <f t="shared" si="2"/>
        <v>4769.3827236327306</v>
      </c>
    </row>
    <row r="23" spans="2:8" x14ac:dyDescent="0.25">
      <c r="B23" s="19">
        <v>1200</v>
      </c>
      <c r="C23" s="19">
        <v>28.12</v>
      </c>
      <c r="D23" s="19">
        <f t="shared" si="0"/>
        <v>28120</v>
      </c>
      <c r="F23" s="22">
        <v>480</v>
      </c>
      <c r="G23" s="33">
        <f t="shared" si="1"/>
        <v>5.0852479965114803</v>
      </c>
      <c r="H23" s="34">
        <f t="shared" si="2"/>
        <v>5085.2479965114799</v>
      </c>
    </row>
    <row r="24" spans="2:8" x14ac:dyDescent="0.25">
      <c r="B24" s="19">
        <v>1250</v>
      </c>
      <c r="C24" s="19">
        <v>29.81</v>
      </c>
      <c r="D24" s="19">
        <f t="shared" si="0"/>
        <v>29810</v>
      </c>
      <c r="F24" s="22">
        <v>490</v>
      </c>
      <c r="G24" s="33">
        <f t="shared" si="1"/>
        <v>5.4013621389952302</v>
      </c>
      <c r="H24" s="34">
        <f t="shared" si="2"/>
        <v>5401.3621389952305</v>
      </c>
    </row>
    <row r="25" spans="2:8" x14ac:dyDescent="0.25">
      <c r="B25" s="19">
        <v>1300</v>
      </c>
      <c r="C25" s="19">
        <v>31.51</v>
      </c>
      <c r="D25" s="19">
        <f t="shared" si="0"/>
        <v>31510</v>
      </c>
      <c r="F25" s="22">
        <v>500</v>
      </c>
      <c r="G25" s="33">
        <f t="shared" si="1"/>
        <v>5.7177251510839806</v>
      </c>
      <c r="H25" s="34">
        <f t="shared" si="2"/>
        <v>5717.7251510839806</v>
      </c>
    </row>
    <row r="26" spans="2:8" x14ac:dyDescent="0.25">
      <c r="B26" s="19">
        <v>1350</v>
      </c>
      <c r="C26" s="19">
        <v>33.22</v>
      </c>
      <c r="D26" s="19">
        <f t="shared" si="0"/>
        <v>33220</v>
      </c>
      <c r="F26" s="22">
        <v>510</v>
      </c>
      <c r="G26" s="33">
        <f t="shared" si="1"/>
        <v>6.0343370327777297</v>
      </c>
      <c r="H26" s="34">
        <f t="shared" si="2"/>
        <v>6034.3370327777293</v>
      </c>
    </row>
    <row r="27" spans="2:8" x14ac:dyDescent="0.25">
      <c r="B27" s="19">
        <v>1400</v>
      </c>
      <c r="C27" s="19">
        <v>34.94</v>
      </c>
      <c r="D27" s="19">
        <f t="shared" si="0"/>
        <v>34940</v>
      </c>
      <c r="F27" s="22">
        <v>520</v>
      </c>
      <c r="G27" s="33">
        <f t="shared" si="1"/>
        <v>6.3511977840764793</v>
      </c>
      <c r="H27" s="34">
        <f t="shared" si="2"/>
        <v>6351.1977840764794</v>
      </c>
    </row>
    <row r="28" spans="2:8" x14ac:dyDescent="0.25">
      <c r="B28" s="19">
        <v>1450</v>
      </c>
      <c r="C28" s="19">
        <v>36.67</v>
      </c>
      <c r="D28" s="19">
        <f t="shared" si="0"/>
        <v>36670</v>
      </c>
      <c r="F28" s="22">
        <v>530</v>
      </c>
      <c r="G28" s="33">
        <f t="shared" si="1"/>
        <v>6.6683074049802293</v>
      </c>
      <c r="H28" s="34">
        <f t="shared" si="2"/>
        <v>6668.307404980229</v>
      </c>
    </row>
    <row r="29" spans="2:8" x14ac:dyDescent="0.25">
      <c r="B29" s="19">
        <v>1500</v>
      </c>
      <c r="C29" s="19">
        <v>38.4</v>
      </c>
      <c r="D29" s="19">
        <f t="shared" si="0"/>
        <v>38400</v>
      </c>
      <c r="F29" s="22">
        <v>540</v>
      </c>
      <c r="G29" s="33">
        <f t="shared" si="1"/>
        <v>6.9856658954889781</v>
      </c>
      <c r="H29" s="34">
        <f t="shared" si="2"/>
        <v>6985.6658954889781</v>
      </c>
    </row>
    <row r="30" spans="2:8" x14ac:dyDescent="0.25">
      <c r="B30" s="19">
        <v>1550</v>
      </c>
      <c r="C30" s="19">
        <v>40.15</v>
      </c>
      <c r="D30" s="19">
        <f t="shared" si="0"/>
        <v>40150</v>
      </c>
      <c r="F30" s="22">
        <v>550</v>
      </c>
      <c r="G30" s="33">
        <f t="shared" si="1"/>
        <v>7.3032732556027327</v>
      </c>
      <c r="H30" s="34">
        <f t="shared" si="2"/>
        <v>7303.2732556027331</v>
      </c>
    </row>
    <row r="31" spans="2:8" x14ac:dyDescent="0.25">
      <c r="B31" s="19">
        <v>1600</v>
      </c>
      <c r="C31" s="19">
        <v>41.9</v>
      </c>
      <c r="D31" s="19">
        <f t="shared" si="0"/>
        <v>41900</v>
      </c>
      <c r="F31" s="22">
        <v>560</v>
      </c>
      <c r="G31" s="33">
        <f t="shared" si="1"/>
        <v>7.6211294853214824</v>
      </c>
      <c r="H31" s="34">
        <f t="shared" si="2"/>
        <v>7621.1294853214822</v>
      </c>
    </row>
    <row r="32" spans="2:8" x14ac:dyDescent="0.25">
      <c r="B32" s="19">
        <v>1650</v>
      </c>
      <c r="C32" s="19">
        <v>43.66</v>
      </c>
      <c r="D32" s="19">
        <f t="shared" si="0"/>
        <v>43660</v>
      </c>
      <c r="F32" s="22">
        <v>570</v>
      </c>
      <c r="G32" s="33">
        <f t="shared" si="1"/>
        <v>7.9392345846452308</v>
      </c>
      <c r="H32" s="34">
        <f t="shared" si="2"/>
        <v>7939.2345846452308</v>
      </c>
    </row>
    <row r="33" spans="2:8" x14ac:dyDescent="0.25">
      <c r="B33" s="19">
        <v>1700</v>
      </c>
      <c r="C33" s="19">
        <v>45.42</v>
      </c>
      <c r="D33" s="19">
        <f t="shared" si="0"/>
        <v>45420</v>
      </c>
      <c r="F33" s="22">
        <v>580</v>
      </c>
      <c r="G33" s="33">
        <f t="shared" si="1"/>
        <v>8.2575885535739779</v>
      </c>
      <c r="H33" s="34">
        <f t="shared" si="2"/>
        <v>8257.5885535739781</v>
      </c>
    </row>
    <row r="34" spans="2:8" x14ac:dyDescent="0.25">
      <c r="B34" s="19">
        <v>1750</v>
      </c>
      <c r="C34" s="19">
        <v>47.19</v>
      </c>
      <c r="D34" s="19">
        <f t="shared" si="0"/>
        <v>47190</v>
      </c>
      <c r="F34" s="22">
        <v>590</v>
      </c>
      <c r="G34" s="33">
        <f t="shared" si="1"/>
        <v>8.5761913921077308</v>
      </c>
      <c r="H34" s="34">
        <f t="shared" si="2"/>
        <v>8576.1913921077303</v>
      </c>
    </row>
    <row r="35" spans="2:8" x14ac:dyDescent="0.25">
      <c r="B35" s="19">
        <v>1800</v>
      </c>
      <c r="C35" s="19">
        <v>48.97</v>
      </c>
      <c r="D35" s="19">
        <f t="shared" si="0"/>
        <v>48970</v>
      </c>
      <c r="F35" s="22">
        <v>600</v>
      </c>
      <c r="G35" s="33">
        <f t="shared" si="1"/>
        <v>8.8950431002464789</v>
      </c>
      <c r="H35" s="34">
        <f t="shared" si="2"/>
        <v>8895.0431002464793</v>
      </c>
    </row>
    <row r="36" spans="2:8" x14ac:dyDescent="0.25">
      <c r="B36" s="19">
        <v>1850</v>
      </c>
      <c r="C36" s="19">
        <v>50.75</v>
      </c>
      <c r="D36" s="19">
        <f t="shared" si="0"/>
        <v>50750</v>
      </c>
      <c r="F36" s="22">
        <v>610</v>
      </c>
      <c r="G36" s="33">
        <f t="shared" si="1"/>
        <v>9.2141436779902293</v>
      </c>
      <c r="H36" s="34">
        <f t="shared" si="2"/>
        <v>9214.1436779902288</v>
      </c>
    </row>
    <row r="37" spans="2:8" x14ac:dyDescent="0.25">
      <c r="B37" s="19">
        <v>1900</v>
      </c>
      <c r="C37" s="19">
        <v>52.54</v>
      </c>
      <c r="D37" s="19">
        <f t="shared" si="0"/>
        <v>52540</v>
      </c>
      <c r="F37" s="22">
        <v>620</v>
      </c>
      <c r="G37" s="33">
        <f t="shared" si="1"/>
        <v>9.5334931253389819</v>
      </c>
      <c r="H37" s="34">
        <f t="shared" si="2"/>
        <v>9533.4931253389823</v>
      </c>
    </row>
    <row r="38" spans="2:8" x14ac:dyDescent="0.25">
      <c r="B38" s="19">
        <v>1950</v>
      </c>
      <c r="C38" s="19">
        <v>54.33</v>
      </c>
      <c r="D38" s="19">
        <f t="shared" si="0"/>
        <v>54330</v>
      </c>
      <c r="F38" s="22">
        <v>630</v>
      </c>
      <c r="G38" s="33">
        <f t="shared" si="1"/>
        <v>9.8530914422927296</v>
      </c>
      <c r="H38" s="34">
        <f t="shared" si="2"/>
        <v>9853.091442292729</v>
      </c>
    </row>
    <row r="39" spans="2:8" x14ac:dyDescent="0.25">
      <c r="B39" s="19">
        <v>2000</v>
      </c>
      <c r="C39" s="19">
        <v>56.13</v>
      </c>
      <c r="D39" s="19">
        <f t="shared" si="0"/>
        <v>56130</v>
      </c>
      <c r="F39" s="22">
        <v>640</v>
      </c>
      <c r="G39" s="33">
        <f t="shared" si="1"/>
        <v>10.17293862885148</v>
      </c>
      <c r="H39" s="34">
        <f t="shared" si="2"/>
        <v>10172.93862885148</v>
      </c>
    </row>
    <row r="40" spans="2:8" x14ac:dyDescent="0.25">
      <c r="B40" s="19">
        <v>2050</v>
      </c>
      <c r="C40" s="19">
        <v>57.93</v>
      </c>
      <c r="D40" s="19">
        <f t="shared" si="0"/>
        <v>57930</v>
      </c>
      <c r="F40" s="22">
        <v>650</v>
      </c>
      <c r="G40" s="33">
        <f t="shared" si="1"/>
        <v>10.493034685015232</v>
      </c>
      <c r="H40" s="34">
        <f t="shared" si="2"/>
        <v>10493.034685015231</v>
      </c>
    </row>
    <row r="41" spans="2:8" x14ac:dyDescent="0.25">
      <c r="B41" s="19">
        <v>2100</v>
      </c>
      <c r="C41" s="19">
        <v>59.73</v>
      </c>
      <c r="D41" s="19">
        <f t="shared" si="0"/>
        <v>59730</v>
      </c>
      <c r="F41" s="22">
        <v>660</v>
      </c>
      <c r="G41" s="33">
        <f t="shared" si="1"/>
        <v>10.813379610783979</v>
      </c>
      <c r="H41" s="34">
        <f t="shared" si="2"/>
        <v>10813.379610783979</v>
      </c>
    </row>
    <row r="42" spans="2:8" x14ac:dyDescent="0.25">
      <c r="B42" s="19">
        <v>2150</v>
      </c>
      <c r="C42" s="19">
        <v>61.54</v>
      </c>
      <c r="D42" s="19">
        <f t="shared" si="0"/>
        <v>61540</v>
      </c>
      <c r="F42" s="22">
        <v>670</v>
      </c>
      <c r="G42" s="33">
        <f t="shared" si="1"/>
        <v>11.133973406157729</v>
      </c>
      <c r="H42" s="34">
        <f t="shared" si="2"/>
        <v>11133.973406157729</v>
      </c>
    </row>
    <row r="43" spans="2:8" x14ac:dyDescent="0.25">
      <c r="B43" s="19">
        <v>2200</v>
      </c>
      <c r="C43" s="19">
        <v>63.36</v>
      </c>
      <c r="D43" s="19">
        <f t="shared" si="0"/>
        <v>63360</v>
      </c>
      <c r="F43" s="22">
        <v>680</v>
      </c>
      <c r="G43" s="33">
        <f t="shared" si="1"/>
        <v>11.454816071136481</v>
      </c>
      <c r="H43" s="34">
        <f t="shared" si="2"/>
        <v>11454.816071136482</v>
      </c>
    </row>
    <row r="44" spans="2:8" x14ac:dyDescent="0.25">
      <c r="B44" s="19">
        <v>2250</v>
      </c>
      <c r="C44" s="19">
        <v>65.17</v>
      </c>
      <c r="D44" s="19">
        <f t="shared" si="0"/>
        <v>65170</v>
      </c>
      <c r="F44" s="22">
        <v>690</v>
      </c>
      <c r="G44" s="33">
        <f t="shared" si="1"/>
        <v>11.775907605720231</v>
      </c>
      <c r="H44" s="34">
        <f t="shared" si="2"/>
        <v>11775.907605720231</v>
      </c>
    </row>
    <row r="45" spans="2:8" x14ac:dyDescent="0.25">
      <c r="B45" s="19">
        <v>2300</v>
      </c>
      <c r="C45" s="19">
        <v>66.989999999999995</v>
      </c>
      <c r="D45" s="19">
        <f t="shared" si="0"/>
        <v>66990</v>
      </c>
      <c r="F45" s="22">
        <v>700</v>
      </c>
      <c r="G45" s="33">
        <f t="shared" si="1"/>
        <v>12.097248009908981</v>
      </c>
      <c r="H45" s="34">
        <f t="shared" si="2"/>
        <v>12097.248009908981</v>
      </c>
    </row>
    <row r="46" spans="2:8" x14ac:dyDescent="0.25">
      <c r="B46" s="19">
        <v>2350</v>
      </c>
      <c r="C46" s="19">
        <v>68.819999999999993</v>
      </c>
      <c r="D46" s="19">
        <f t="shared" si="0"/>
        <v>68820</v>
      </c>
      <c r="F46" s="22">
        <v>710</v>
      </c>
      <c r="G46" s="33">
        <f t="shared" si="1"/>
        <v>12.418837283702732</v>
      </c>
      <c r="H46" s="34">
        <f t="shared" si="2"/>
        <v>12418.837283702733</v>
      </c>
    </row>
    <row r="47" spans="2:8" x14ac:dyDescent="0.25">
      <c r="B47" s="19">
        <v>2400</v>
      </c>
      <c r="C47" s="19">
        <v>70.64</v>
      </c>
      <c r="D47" s="19">
        <f t="shared" si="0"/>
        <v>70640</v>
      </c>
      <c r="F47" s="22">
        <v>720</v>
      </c>
      <c r="G47" s="33">
        <f t="shared" si="1"/>
        <v>12.740675427101479</v>
      </c>
      <c r="H47" s="34">
        <f t="shared" si="2"/>
        <v>12740.67542710148</v>
      </c>
    </row>
    <row r="48" spans="2:8" x14ac:dyDescent="0.25">
      <c r="B48" s="19">
        <v>2450</v>
      </c>
      <c r="C48" s="19">
        <v>72.47</v>
      </c>
      <c r="D48" s="19">
        <f t="shared" si="0"/>
        <v>72470</v>
      </c>
      <c r="F48" s="22">
        <v>730</v>
      </c>
      <c r="G48" s="33">
        <f t="shared" si="1"/>
        <v>13.062762440105228</v>
      </c>
      <c r="H48" s="34">
        <f t="shared" si="2"/>
        <v>13062.762440105227</v>
      </c>
    </row>
    <row r="49" spans="2:8" x14ac:dyDescent="0.25">
      <c r="B49" s="19">
        <v>2500</v>
      </c>
      <c r="C49" s="19">
        <v>74.3</v>
      </c>
      <c r="D49" s="19">
        <f t="shared" si="0"/>
        <v>74300</v>
      </c>
      <c r="F49" s="22">
        <v>740</v>
      </c>
      <c r="G49" s="33">
        <f t="shared" si="1"/>
        <v>13.385098322713983</v>
      </c>
      <c r="H49" s="34">
        <f t="shared" si="2"/>
        <v>13385.098322713982</v>
      </c>
    </row>
    <row r="50" spans="2:8" x14ac:dyDescent="0.25">
      <c r="B50" s="19">
        <v>2550</v>
      </c>
      <c r="C50" s="19">
        <v>76.13</v>
      </c>
      <c r="D50" s="19">
        <f t="shared" si="0"/>
        <v>76130</v>
      </c>
      <c r="F50" s="22">
        <v>750</v>
      </c>
      <c r="G50" s="33">
        <f t="shared" si="1"/>
        <v>13.707683074927733</v>
      </c>
      <c r="H50" s="34">
        <f t="shared" si="2"/>
        <v>13707.683074927732</v>
      </c>
    </row>
    <row r="51" spans="2:8" x14ac:dyDescent="0.25">
      <c r="B51" s="19">
        <v>2600</v>
      </c>
      <c r="C51" s="19">
        <v>77.97</v>
      </c>
      <c r="D51" s="19">
        <f t="shared" si="0"/>
        <v>77970</v>
      </c>
      <c r="F51" s="22">
        <v>760</v>
      </c>
      <c r="G51" s="33">
        <f t="shared" si="1"/>
        <v>14.030516696746481</v>
      </c>
      <c r="H51" s="34">
        <f t="shared" si="2"/>
        <v>14030.516696746481</v>
      </c>
    </row>
    <row r="52" spans="2:8" x14ac:dyDescent="0.25">
      <c r="B52" s="19">
        <v>2650</v>
      </c>
      <c r="C52" s="19">
        <v>79.81</v>
      </c>
      <c r="D52" s="19">
        <f t="shared" si="0"/>
        <v>79810</v>
      </c>
      <c r="F52" s="22">
        <v>770</v>
      </c>
      <c r="G52" s="33">
        <f t="shared" si="1"/>
        <v>14.353599188170232</v>
      </c>
      <c r="H52" s="34">
        <f t="shared" si="2"/>
        <v>14353.599188170232</v>
      </c>
    </row>
    <row r="53" spans="2:8" x14ac:dyDescent="0.25">
      <c r="B53" s="19">
        <v>2700</v>
      </c>
      <c r="C53" s="19">
        <v>81.650000000000006</v>
      </c>
      <c r="D53" s="19">
        <f t="shared" si="0"/>
        <v>81650</v>
      </c>
      <c r="F53" s="22">
        <v>780</v>
      </c>
      <c r="G53" s="33">
        <f t="shared" si="1"/>
        <v>14.676930549198982</v>
      </c>
      <c r="H53" s="34">
        <f t="shared" si="2"/>
        <v>14676.930549198982</v>
      </c>
    </row>
    <row r="54" spans="2:8" x14ac:dyDescent="0.25">
      <c r="B54" s="19">
        <v>2750</v>
      </c>
      <c r="C54" s="19">
        <v>83.49</v>
      </c>
      <c r="D54" s="19">
        <f t="shared" si="0"/>
        <v>83490</v>
      </c>
      <c r="F54" s="22">
        <v>790</v>
      </c>
      <c r="G54" s="33">
        <f t="shared" si="1"/>
        <v>15.00051077983273</v>
      </c>
      <c r="H54" s="34">
        <f t="shared" si="2"/>
        <v>15000.51077983273</v>
      </c>
    </row>
    <row r="55" spans="2:8" x14ac:dyDescent="0.25">
      <c r="B55" s="19">
        <v>2800</v>
      </c>
      <c r="C55" s="19">
        <v>85.33</v>
      </c>
      <c r="D55" s="19">
        <f t="shared" si="0"/>
        <v>85330</v>
      </c>
      <c r="F55" s="22">
        <v>800</v>
      </c>
      <c r="G55" s="33">
        <f t="shared" si="1"/>
        <v>15.324339880071481</v>
      </c>
      <c r="H55" s="34">
        <f t="shared" si="2"/>
        <v>15324.33988007148</v>
      </c>
    </row>
    <row r="56" spans="2:8" x14ac:dyDescent="0.25">
      <c r="B56" s="19">
        <v>2850</v>
      </c>
      <c r="C56" s="19">
        <v>87.18</v>
      </c>
      <c r="D56" s="19">
        <f t="shared" si="0"/>
        <v>87180</v>
      </c>
      <c r="F56" s="22">
        <v>810</v>
      </c>
      <c r="G56" s="33">
        <f t="shared" si="1"/>
        <v>15.64841784991523</v>
      </c>
      <c r="H56" s="34">
        <f t="shared" si="2"/>
        <v>15648.417849915229</v>
      </c>
    </row>
    <row r="57" spans="2:8" x14ac:dyDescent="0.25">
      <c r="B57" s="19">
        <v>2900</v>
      </c>
      <c r="C57" s="19">
        <v>89.03</v>
      </c>
      <c r="D57" s="19">
        <f t="shared" si="0"/>
        <v>89030</v>
      </c>
      <c r="F57" s="22">
        <v>820</v>
      </c>
      <c r="G57" s="33">
        <f t="shared" si="1"/>
        <v>15.972744689363982</v>
      </c>
      <c r="H57" s="34">
        <f t="shared" si="2"/>
        <v>15972.744689363981</v>
      </c>
    </row>
    <row r="58" spans="2:8" x14ac:dyDescent="0.25">
      <c r="B58" s="19">
        <v>2950</v>
      </c>
      <c r="C58" s="19">
        <v>90.88</v>
      </c>
      <c r="D58" s="19">
        <f t="shared" si="0"/>
        <v>90880</v>
      </c>
      <c r="F58" s="22">
        <v>830</v>
      </c>
      <c r="G58" s="33">
        <f t="shared" si="1"/>
        <v>16.297320398417728</v>
      </c>
      <c r="H58" s="34">
        <f t="shared" si="2"/>
        <v>16297.320398417729</v>
      </c>
    </row>
    <row r="59" spans="2:8" x14ac:dyDescent="0.25">
      <c r="B59" s="19">
        <v>3000</v>
      </c>
      <c r="C59" s="19">
        <v>92.73</v>
      </c>
      <c r="D59" s="19">
        <f t="shared" si="0"/>
        <v>92730</v>
      </c>
      <c r="F59" s="22">
        <v>840</v>
      </c>
      <c r="G59" s="33">
        <f t="shared" si="1"/>
        <v>16.622144977076481</v>
      </c>
      <c r="H59" s="34">
        <f t="shared" si="2"/>
        <v>16622.144977076481</v>
      </c>
    </row>
    <row r="60" spans="2:8" x14ac:dyDescent="0.25">
      <c r="B60" s="19">
        <v>3050</v>
      </c>
      <c r="C60" s="19">
        <v>94.58</v>
      </c>
      <c r="D60" s="19">
        <f t="shared" si="0"/>
        <v>94580</v>
      </c>
      <c r="F60" s="22">
        <v>850</v>
      </c>
      <c r="G60" s="33">
        <f t="shared" si="1"/>
        <v>16.947218425340232</v>
      </c>
      <c r="H60" s="34">
        <f t="shared" si="2"/>
        <v>16947.21842534023</v>
      </c>
    </row>
    <row r="61" spans="2:8" x14ac:dyDescent="0.25">
      <c r="B61" s="19">
        <v>3100</v>
      </c>
      <c r="C61" s="19">
        <v>96.43</v>
      </c>
      <c r="D61" s="19">
        <f t="shared" si="0"/>
        <v>96430</v>
      </c>
      <c r="F61" s="22">
        <v>860</v>
      </c>
      <c r="G61" s="33">
        <f t="shared" si="1"/>
        <v>17.272540743208978</v>
      </c>
      <c r="H61" s="34">
        <f t="shared" si="2"/>
        <v>17272.540743208978</v>
      </c>
    </row>
    <row r="62" spans="2:8" x14ac:dyDescent="0.25">
      <c r="B62" s="19">
        <v>3150</v>
      </c>
      <c r="C62" s="19">
        <v>98.29</v>
      </c>
      <c r="D62" s="19">
        <f t="shared" si="0"/>
        <v>98290</v>
      </c>
      <c r="F62" s="22">
        <v>870</v>
      </c>
      <c r="G62" s="33">
        <f t="shared" si="1"/>
        <v>17.59811193068273</v>
      </c>
      <c r="H62" s="34">
        <f t="shared" si="2"/>
        <v>17598.111930682731</v>
      </c>
    </row>
    <row r="63" spans="2:8" x14ac:dyDescent="0.25">
      <c r="B63" s="19">
        <v>3200</v>
      </c>
      <c r="C63" s="19">
        <v>100.14</v>
      </c>
      <c r="D63" s="19">
        <f t="shared" si="0"/>
        <v>100140</v>
      </c>
      <c r="F63" s="22">
        <v>880</v>
      </c>
      <c r="G63" s="33">
        <f t="shared" si="1"/>
        <v>17.923931987761481</v>
      </c>
      <c r="H63" s="34">
        <f t="shared" si="2"/>
        <v>17923.93198776148</v>
      </c>
    </row>
    <row r="64" spans="2:8" x14ac:dyDescent="0.25">
      <c r="B64" s="19">
        <v>3250</v>
      </c>
      <c r="C64" s="19">
        <v>102</v>
      </c>
      <c r="D64" s="19">
        <f t="shared" si="0"/>
        <v>102000</v>
      </c>
      <c r="F64" s="22">
        <v>890</v>
      </c>
      <c r="G64" s="33">
        <f t="shared" si="1"/>
        <v>18.250000914445231</v>
      </c>
      <c r="H64" s="34">
        <f t="shared" si="2"/>
        <v>18250.000914445231</v>
      </c>
    </row>
    <row r="65" spans="2:8" x14ac:dyDescent="0.25">
      <c r="B65" s="19">
        <v>3300</v>
      </c>
      <c r="C65" s="19">
        <v>103.86</v>
      </c>
      <c r="D65" s="19">
        <f t="shared" si="0"/>
        <v>103860</v>
      </c>
      <c r="F65" s="22">
        <v>900</v>
      </c>
      <c r="G65" s="33">
        <f t="shared" si="1"/>
        <v>18.576318710733982</v>
      </c>
      <c r="H65" s="34">
        <f t="shared" si="2"/>
        <v>18576.318710733984</v>
      </c>
    </row>
    <row r="66" spans="2:8" x14ac:dyDescent="0.25">
      <c r="B66" s="19">
        <v>3350</v>
      </c>
      <c r="C66" s="19">
        <v>105.72</v>
      </c>
      <c r="D66" s="19">
        <f t="shared" si="0"/>
        <v>105720</v>
      </c>
      <c r="F66" s="22">
        <v>910</v>
      </c>
      <c r="G66" s="33">
        <f t="shared" si="1"/>
        <v>18.902885376627729</v>
      </c>
      <c r="H66" s="34">
        <f t="shared" si="2"/>
        <v>18902.885376627728</v>
      </c>
    </row>
    <row r="67" spans="2:8" x14ac:dyDescent="0.25">
      <c r="B67" s="19">
        <v>3400</v>
      </c>
      <c r="C67" s="19">
        <v>107.58</v>
      </c>
      <c r="D67" s="19">
        <f t="shared" si="0"/>
        <v>107580</v>
      </c>
      <c r="F67" s="22">
        <v>920</v>
      </c>
      <c r="G67" s="33">
        <f t="shared" si="1"/>
        <v>19.229700912126479</v>
      </c>
      <c r="H67" s="34">
        <f t="shared" si="2"/>
        <v>19229.700912126478</v>
      </c>
    </row>
    <row r="68" spans="2:8" x14ac:dyDescent="0.25">
      <c r="B68" s="19">
        <v>3450</v>
      </c>
      <c r="C68" s="19">
        <v>109.45</v>
      </c>
      <c r="D68" s="19">
        <f t="shared" si="0"/>
        <v>109450</v>
      </c>
      <c r="F68" s="22">
        <v>930</v>
      </c>
      <c r="G68" s="33">
        <f t="shared" si="1"/>
        <v>19.556765317230234</v>
      </c>
      <c r="H68" s="34">
        <f t="shared" si="2"/>
        <v>19556.765317230234</v>
      </c>
    </row>
    <row r="69" spans="2:8" x14ac:dyDescent="0.25">
      <c r="B69" s="19">
        <v>3500</v>
      </c>
      <c r="C69" s="19">
        <v>111.31</v>
      </c>
      <c r="D69" s="19">
        <f t="shared" ref="D69" si="3">C69*1000</f>
        <v>111310</v>
      </c>
      <c r="F69" s="22">
        <v>940</v>
      </c>
      <c r="G69" s="33">
        <f t="shared" ref="G69:G132" si="4">0.000001244348025*F69^2 + 0.030404396664125*F69 - 9.79556018722852</f>
        <v>19.88407859193898</v>
      </c>
      <c r="H69" s="34">
        <f t="shared" ref="H69:H132" si="5">G69*1000</f>
        <v>19884.078591938982</v>
      </c>
    </row>
    <row r="70" spans="2:8" x14ac:dyDescent="0.25">
      <c r="F70" s="22">
        <v>950</v>
      </c>
      <c r="G70" s="33">
        <f t="shared" si="4"/>
        <v>20.211640736252729</v>
      </c>
      <c r="H70" s="34">
        <f t="shared" si="5"/>
        <v>20211.640736252728</v>
      </c>
    </row>
    <row r="71" spans="2:8" x14ac:dyDescent="0.25">
      <c r="F71" s="22">
        <v>960</v>
      </c>
      <c r="G71" s="33">
        <f t="shared" si="4"/>
        <v>20.539451750171484</v>
      </c>
      <c r="H71" s="34">
        <f t="shared" si="5"/>
        <v>20539.451750171484</v>
      </c>
    </row>
    <row r="72" spans="2:8" x14ac:dyDescent="0.25">
      <c r="F72" s="22">
        <v>970</v>
      </c>
      <c r="G72" s="33">
        <f t="shared" si="4"/>
        <v>20.86751163369523</v>
      </c>
      <c r="H72" s="34">
        <f t="shared" si="5"/>
        <v>20867.511633695231</v>
      </c>
    </row>
    <row r="73" spans="2:8" x14ac:dyDescent="0.25">
      <c r="F73" s="22">
        <v>980</v>
      </c>
      <c r="G73" s="33">
        <f t="shared" si="4"/>
        <v>21.195820386823979</v>
      </c>
      <c r="H73" s="34">
        <f t="shared" si="5"/>
        <v>21195.82038682398</v>
      </c>
    </row>
    <row r="74" spans="2:8" x14ac:dyDescent="0.25">
      <c r="F74" s="22">
        <v>990</v>
      </c>
      <c r="G74" s="33">
        <f t="shared" si="4"/>
        <v>21.524378009557733</v>
      </c>
      <c r="H74" s="34">
        <f t="shared" si="5"/>
        <v>21524.378009557731</v>
      </c>
    </row>
    <row r="75" spans="2:8" x14ac:dyDescent="0.25">
      <c r="F75" s="22">
        <v>1000</v>
      </c>
      <c r="G75" s="33">
        <f t="shared" si="4"/>
        <v>21.853184501896482</v>
      </c>
      <c r="H75" s="34">
        <f t="shared" si="5"/>
        <v>21853.184501896481</v>
      </c>
    </row>
    <row r="76" spans="2:8" x14ac:dyDescent="0.25">
      <c r="F76" s="22">
        <v>1010</v>
      </c>
      <c r="G76" s="33">
        <f t="shared" si="4"/>
        <v>22.18223986384023</v>
      </c>
      <c r="H76" s="34">
        <f t="shared" si="5"/>
        <v>22182.23986384023</v>
      </c>
    </row>
    <row r="77" spans="2:8" x14ac:dyDescent="0.25">
      <c r="F77" s="22">
        <v>1020</v>
      </c>
      <c r="G77" s="33">
        <f t="shared" si="4"/>
        <v>22.511544095388981</v>
      </c>
      <c r="H77" s="34">
        <f t="shared" si="5"/>
        <v>22511.544095388981</v>
      </c>
    </row>
    <row r="78" spans="2:8" x14ac:dyDescent="0.25">
      <c r="F78" s="22">
        <v>1030</v>
      </c>
      <c r="G78" s="33">
        <f t="shared" si="4"/>
        <v>22.84109719654273</v>
      </c>
      <c r="H78" s="34">
        <f t="shared" si="5"/>
        <v>22841.097196542731</v>
      </c>
    </row>
    <row r="79" spans="2:8" x14ac:dyDescent="0.25">
      <c r="F79" s="22">
        <v>1040</v>
      </c>
      <c r="G79" s="33">
        <f t="shared" si="4"/>
        <v>23.170899167301481</v>
      </c>
      <c r="H79" s="34">
        <f t="shared" si="5"/>
        <v>23170.899167301483</v>
      </c>
    </row>
    <row r="80" spans="2:8" x14ac:dyDescent="0.25">
      <c r="F80" s="22">
        <v>1050</v>
      </c>
      <c r="G80" s="33">
        <f t="shared" si="4"/>
        <v>23.500950007665228</v>
      </c>
      <c r="H80" s="34">
        <f t="shared" si="5"/>
        <v>23500.950007665229</v>
      </c>
    </row>
    <row r="81" spans="6:8" x14ac:dyDescent="0.25">
      <c r="F81" s="22">
        <v>1060</v>
      </c>
      <c r="G81" s="33">
        <f t="shared" si="4"/>
        <v>23.831249717633984</v>
      </c>
      <c r="H81" s="34">
        <f t="shared" si="5"/>
        <v>23831.249717633986</v>
      </c>
    </row>
    <row r="82" spans="6:8" x14ac:dyDescent="0.25">
      <c r="F82" s="22">
        <v>1070</v>
      </c>
      <c r="G82" s="33">
        <f t="shared" si="4"/>
        <v>24.161798297207735</v>
      </c>
      <c r="H82" s="34">
        <f t="shared" si="5"/>
        <v>24161.798297207733</v>
      </c>
    </row>
    <row r="83" spans="6:8" x14ac:dyDescent="0.25">
      <c r="F83" s="22">
        <v>1080</v>
      </c>
      <c r="G83" s="33">
        <f t="shared" si="4"/>
        <v>24.492595746386481</v>
      </c>
      <c r="H83" s="34">
        <f t="shared" si="5"/>
        <v>24492.59574638648</v>
      </c>
    </row>
    <row r="84" spans="6:8" x14ac:dyDescent="0.25">
      <c r="F84" s="22">
        <v>1090</v>
      </c>
      <c r="G84" s="33">
        <f t="shared" si="4"/>
        <v>24.82364206517023</v>
      </c>
      <c r="H84" s="34">
        <f t="shared" si="5"/>
        <v>24823.642065170228</v>
      </c>
    </row>
    <row r="85" spans="6:8" x14ac:dyDescent="0.25">
      <c r="F85" s="22">
        <v>1100</v>
      </c>
      <c r="G85" s="33">
        <f t="shared" si="4"/>
        <v>25.154937253558987</v>
      </c>
      <c r="H85" s="34">
        <f t="shared" si="5"/>
        <v>25154.937253558986</v>
      </c>
    </row>
    <row r="86" spans="6:8" x14ac:dyDescent="0.25">
      <c r="F86" s="22">
        <v>1110</v>
      </c>
      <c r="G86" s="33">
        <f t="shared" si="4"/>
        <v>25.486481311552733</v>
      </c>
      <c r="H86" s="34">
        <f t="shared" si="5"/>
        <v>25486.481311552732</v>
      </c>
    </row>
    <row r="87" spans="6:8" x14ac:dyDescent="0.25">
      <c r="F87" s="22">
        <v>1120</v>
      </c>
      <c r="G87" s="33">
        <f t="shared" si="4"/>
        <v>25.818274239151481</v>
      </c>
      <c r="H87" s="34">
        <f t="shared" si="5"/>
        <v>25818.27423915148</v>
      </c>
    </row>
    <row r="88" spans="6:8" x14ac:dyDescent="0.25">
      <c r="F88" s="22">
        <v>1130</v>
      </c>
      <c r="G88" s="33">
        <f t="shared" si="4"/>
        <v>26.150316036355225</v>
      </c>
      <c r="H88" s="34">
        <f t="shared" si="5"/>
        <v>26150.316036355223</v>
      </c>
    </row>
    <row r="89" spans="6:8" x14ac:dyDescent="0.25">
      <c r="F89" s="22">
        <v>1140</v>
      </c>
      <c r="G89" s="33">
        <f t="shared" si="4"/>
        <v>26.482606703163977</v>
      </c>
      <c r="H89" s="34">
        <f t="shared" si="5"/>
        <v>26482.606703163976</v>
      </c>
    </row>
    <row r="90" spans="6:8" x14ac:dyDescent="0.25">
      <c r="F90" s="22">
        <v>1150</v>
      </c>
      <c r="G90" s="33">
        <f t="shared" si="4"/>
        <v>26.815146239577732</v>
      </c>
      <c r="H90" s="34">
        <f t="shared" si="5"/>
        <v>26815.146239577731</v>
      </c>
    </row>
    <row r="91" spans="6:8" x14ac:dyDescent="0.25">
      <c r="F91" s="22">
        <v>1160</v>
      </c>
      <c r="G91" s="33">
        <f t="shared" si="4"/>
        <v>27.147934645596475</v>
      </c>
      <c r="H91" s="34">
        <f t="shared" si="5"/>
        <v>27147.934645596477</v>
      </c>
    </row>
    <row r="92" spans="6:8" x14ac:dyDescent="0.25">
      <c r="F92" s="22">
        <v>1170</v>
      </c>
      <c r="G92" s="33">
        <f t="shared" si="4"/>
        <v>27.480971921220227</v>
      </c>
      <c r="H92" s="34">
        <f t="shared" si="5"/>
        <v>27480.971921220229</v>
      </c>
    </row>
    <row r="93" spans="6:8" x14ac:dyDescent="0.25">
      <c r="F93" s="22">
        <v>1180</v>
      </c>
      <c r="G93" s="33">
        <f t="shared" si="4"/>
        <v>27.814258066448982</v>
      </c>
      <c r="H93" s="34">
        <f t="shared" si="5"/>
        <v>27814.258066448983</v>
      </c>
    </row>
    <row r="94" spans="6:8" x14ac:dyDescent="0.25">
      <c r="F94" s="22">
        <v>1190</v>
      </c>
      <c r="G94" s="33">
        <f t="shared" si="4"/>
        <v>28.147793081282725</v>
      </c>
      <c r="H94" s="34">
        <f t="shared" si="5"/>
        <v>28147.793081282725</v>
      </c>
    </row>
    <row r="95" spans="6:8" x14ac:dyDescent="0.25">
      <c r="F95" s="22">
        <v>1200</v>
      </c>
      <c r="G95" s="33">
        <f t="shared" si="4"/>
        <v>28.481576965721484</v>
      </c>
      <c r="H95" s="34">
        <f t="shared" si="5"/>
        <v>28481.576965721484</v>
      </c>
    </row>
    <row r="96" spans="6:8" x14ac:dyDescent="0.25">
      <c r="F96" s="22">
        <v>1210</v>
      </c>
      <c r="G96" s="33">
        <f t="shared" si="4"/>
        <v>28.815609719765231</v>
      </c>
      <c r="H96" s="34">
        <f t="shared" si="5"/>
        <v>28815.609719765231</v>
      </c>
    </row>
    <row r="97" spans="6:8" x14ac:dyDescent="0.25">
      <c r="F97" s="22">
        <v>1220</v>
      </c>
      <c r="G97" s="33">
        <f t="shared" si="4"/>
        <v>29.14989134341398</v>
      </c>
      <c r="H97" s="34">
        <f t="shared" si="5"/>
        <v>29149.891343413979</v>
      </c>
    </row>
    <row r="98" spans="6:8" x14ac:dyDescent="0.25">
      <c r="F98" s="22">
        <v>1230</v>
      </c>
      <c r="G98" s="33">
        <f t="shared" si="4"/>
        <v>29.484421836667732</v>
      </c>
      <c r="H98" s="34">
        <f t="shared" si="5"/>
        <v>29484.421836667731</v>
      </c>
    </row>
    <row r="99" spans="6:8" x14ac:dyDescent="0.25">
      <c r="F99" s="22">
        <v>1240</v>
      </c>
      <c r="G99" s="33">
        <f t="shared" si="4"/>
        <v>29.819201199526486</v>
      </c>
      <c r="H99" s="34">
        <f t="shared" si="5"/>
        <v>29819.201199526484</v>
      </c>
    </row>
    <row r="100" spans="6:8" x14ac:dyDescent="0.25">
      <c r="F100" s="22">
        <v>1250</v>
      </c>
      <c r="G100" s="33">
        <f t="shared" si="4"/>
        <v>30.154229431990228</v>
      </c>
      <c r="H100" s="34">
        <f t="shared" si="5"/>
        <v>30154.229431990228</v>
      </c>
    </row>
    <row r="101" spans="6:8" x14ac:dyDescent="0.25">
      <c r="F101" s="22">
        <v>1260</v>
      </c>
      <c r="G101" s="33">
        <f t="shared" si="4"/>
        <v>30.489506534058979</v>
      </c>
      <c r="H101" s="34">
        <f t="shared" si="5"/>
        <v>30489.506534058979</v>
      </c>
    </row>
    <row r="102" spans="6:8" x14ac:dyDescent="0.25">
      <c r="F102" s="22">
        <v>1270</v>
      </c>
      <c r="G102" s="33">
        <f t="shared" si="4"/>
        <v>30.825032505732732</v>
      </c>
      <c r="H102" s="34">
        <f t="shared" si="5"/>
        <v>30825.032505732732</v>
      </c>
    </row>
    <row r="103" spans="6:8" x14ac:dyDescent="0.25">
      <c r="F103" s="22">
        <v>1280</v>
      </c>
      <c r="G103" s="33">
        <f t="shared" si="4"/>
        <v>31.160807347011481</v>
      </c>
      <c r="H103" s="34">
        <f t="shared" si="5"/>
        <v>31160.80734701148</v>
      </c>
    </row>
    <row r="104" spans="6:8" x14ac:dyDescent="0.25">
      <c r="F104" s="22">
        <v>1290</v>
      </c>
      <c r="G104" s="33">
        <f t="shared" si="4"/>
        <v>31.496831057895232</v>
      </c>
      <c r="H104" s="34">
        <f t="shared" si="5"/>
        <v>31496.831057895233</v>
      </c>
    </row>
    <row r="105" spans="6:8" x14ac:dyDescent="0.25">
      <c r="F105" s="22">
        <v>1300</v>
      </c>
      <c r="G105" s="33">
        <f t="shared" si="4"/>
        <v>31.833103638383985</v>
      </c>
      <c r="H105" s="34">
        <f t="shared" si="5"/>
        <v>31833.103638383986</v>
      </c>
    </row>
    <row r="106" spans="6:8" x14ac:dyDescent="0.25">
      <c r="F106" s="22">
        <v>1310</v>
      </c>
      <c r="G106" s="33">
        <f t="shared" si="4"/>
        <v>32.16962508847773</v>
      </c>
      <c r="H106" s="34">
        <f t="shared" si="5"/>
        <v>32169.625088477729</v>
      </c>
    </row>
    <row r="107" spans="6:8" x14ac:dyDescent="0.25">
      <c r="F107" s="22">
        <v>1320</v>
      </c>
      <c r="G107" s="33">
        <f t="shared" si="4"/>
        <v>32.506395408176488</v>
      </c>
      <c r="H107" s="34">
        <f t="shared" si="5"/>
        <v>32506.395408176486</v>
      </c>
    </row>
    <row r="108" spans="6:8" x14ac:dyDescent="0.25">
      <c r="F108" s="22">
        <v>1330</v>
      </c>
      <c r="G108" s="33">
        <f t="shared" si="4"/>
        <v>32.843414597480233</v>
      </c>
      <c r="H108" s="34">
        <f t="shared" si="5"/>
        <v>32843.41459748023</v>
      </c>
    </row>
    <row r="109" spans="6:8" x14ac:dyDescent="0.25">
      <c r="F109" s="22">
        <v>1340</v>
      </c>
      <c r="G109" s="33">
        <f t="shared" si="4"/>
        <v>33.180682656388981</v>
      </c>
      <c r="H109" s="34">
        <f t="shared" si="5"/>
        <v>33180.682656388984</v>
      </c>
    </row>
    <row r="110" spans="6:8" x14ac:dyDescent="0.25">
      <c r="F110" s="22">
        <v>1350</v>
      </c>
      <c r="G110" s="33">
        <f t="shared" si="4"/>
        <v>33.518199584902732</v>
      </c>
      <c r="H110" s="34">
        <f t="shared" si="5"/>
        <v>33518.19958490273</v>
      </c>
    </row>
    <row r="111" spans="6:8" x14ac:dyDescent="0.25">
      <c r="F111" s="22">
        <v>1360</v>
      </c>
      <c r="G111" s="33">
        <f t="shared" si="4"/>
        <v>33.855965383021484</v>
      </c>
      <c r="H111" s="34">
        <f t="shared" si="5"/>
        <v>33855.965383021481</v>
      </c>
    </row>
    <row r="112" spans="6:8" x14ac:dyDescent="0.25">
      <c r="F112" s="22">
        <v>1370</v>
      </c>
      <c r="G112" s="33">
        <f t="shared" si="4"/>
        <v>34.193980050745225</v>
      </c>
      <c r="H112" s="34">
        <f t="shared" si="5"/>
        <v>34193.980050745224</v>
      </c>
    </row>
    <row r="113" spans="6:8" x14ac:dyDescent="0.25">
      <c r="F113" s="22">
        <v>1380</v>
      </c>
      <c r="G113" s="33">
        <f t="shared" si="4"/>
        <v>34.532243588073982</v>
      </c>
      <c r="H113" s="34">
        <f t="shared" si="5"/>
        <v>34532.243588073979</v>
      </c>
    </row>
    <row r="114" spans="6:8" x14ac:dyDescent="0.25">
      <c r="F114" s="22">
        <v>1390</v>
      </c>
      <c r="G114" s="33">
        <f t="shared" si="4"/>
        <v>34.870755995007741</v>
      </c>
      <c r="H114" s="34">
        <f t="shared" si="5"/>
        <v>34870.755995007741</v>
      </c>
    </row>
    <row r="115" spans="6:8" x14ac:dyDescent="0.25">
      <c r="F115" s="22">
        <v>1400</v>
      </c>
      <c r="G115" s="33">
        <f t="shared" si="4"/>
        <v>35.209517271546474</v>
      </c>
      <c r="H115" s="34">
        <f t="shared" si="5"/>
        <v>35209.517271546472</v>
      </c>
    </row>
    <row r="116" spans="6:8" x14ac:dyDescent="0.25">
      <c r="F116" s="22">
        <v>1410</v>
      </c>
      <c r="G116" s="33">
        <f t="shared" si="4"/>
        <v>35.548527417690238</v>
      </c>
      <c r="H116" s="34">
        <f t="shared" si="5"/>
        <v>35548.527417690239</v>
      </c>
    </row>
    <row r="117" spans="6:8" x14ac:dyDescent="0.25">
      <c r="F117" s="22">
        <v>1420</v>
      </c>
      <c r="G117" s="33">
        <f t="shared" si="4"/>
        <v>35.88778643343899</v>
      </c>
      <c r="H117" s="34">
        <f t="shared" si="5"/>
        <v>35887.786433438989</v>
      </c>
    </row>
    <row r="118" spans="6:8" x14ac:dyDescent="0.25">
      <c r="F118" s="22">
        <v>1430</v>
      </c>
      <c r="G118" s="33">
        <f t="shared" si="4"/>
        <v>36.22729431879273</v>
      </c>
      <c r="H118" s="34">
        <f t="shared" si="5"/>
        <v>36227.29431879273</v>
      </c>
    </row>
    <row r="119" spans="6:8" x14ac:dyDescent="0.25">
      <c r="F119" s="22">
        <v>1440</v>
      </c>
      <c r="G119" s="33">
        <f t="shared" si="4"/>
        <v>36.567051073751486</v>
      </c>
      <c r="H119" s="34">
        <f t="shared" si="5"/>
        <v>36567.051073751485</v>
      </c>
    </row>
    <row r="120" spans="6:8" x14ac:dyDescent="0.25">
      <c r="F120" s="22">
        <v>1450</v>
      </c>
      <c r="G120" s="33">
        <f t="shared" si="4"/>
        <v>36.90705669831523</v>
      </c>
      <c r="H120" s="34">
        <f t="shared" si="5"/>
        <v>36907.056698315231</v>
      </c>
    </row>
    <row r="121" spans="6:8" x14ac:dyDescent="0.25">
      <c r="F121" s="22">
        <v>1460</v>
      </c>
      <c r="G121" s="33">
        <f t="shared" si="4"/>
        <v>37.247311192483977</v>
      </c>
      <c r="H121" s="34">
        <f t="shared" si="5"/>
        <v>37247.311192483976</v>
      </c>
    </row>
    <row r="122" spans="6:8" x14ac:dyDescent="0.25">
      <c r="F122" s="22">
        <v>1470</v>
      </c>
      <c r="G122" s="33">
        <f t="shared" si="4"/>
        <v>37.587814556257726</v>
      </c>
      <c r="H122" s="34">
        <f t="shared" si="5"/>
        <v>37587.814556257727</v>
      </c>
    </row>
    <row r="123" spans="6:8" x14ac:dyDescent="0.25">
      <c r="F123" s="22">
        <v>1480</v>
      </c>
      <c r="G123" s="33">
        <f t="shared" si="4"/>
        <v>37.928566789636491</v>
      </c>
      <c r="H123" s="34">
        <f t="shared" si="5"/>
        <v>37928.56678963649</v>
      </c>
    </row>
    <row r="124" spans="6:8" x14ac:dyDescent="0.25">
      <c r="F124" s="22">
        <v>1490</v>
      </c>
      <c r="G124" s="33">
        <f t="shared" si="4"/>
        <v>38.269567892620231</v>
      </c>
      <c r="H124" s="34">
        <f t="shared" si="5"/>
        <v>38269.567892620231</v>
      </c>
    </row>
    <row r="125" spans="6:8" x14ac:dyDescent="0.25">
      <c r="F125" s="22">
        <v>1500</v>
      </c>
      <c r="G125" s="33">
        <f t="shared" si="4"/>
        <v>38.610817865208986</v>
      </c>
      <c r="H125" s="34">
        <f t="shared" si="5"/>
        <v>38610.817865208985</v>
      </c>
    </row>
    <row r="126" spans="6:8" x14ac:dyDescent="0.25">
      <c r="F126" s="22">
        <v>1510</v>
      </c>
      <c r="G126" s="33">
        <f t="shared" si="4"/>
        <v>38.95231670740273</v>
      </c>
      <c r="H126" s="34">
        <f t="shared" si="5"/>
        <v>38952.31670740273</v>
      </c>
    </row>
    <row r="127" spans="6:8" x14ac:dyDescent="0.25">
      <c r="F127" s="22">
        <v>1520</v>
      </c>
      <c r="G127" s="33">
        <f t="shared" si="4"/>
        <v>39.294064419201476</v>
      </c>
      <c r="H127" s="34">
        <f t="shared" si="5"/>
        <v>39294.064419201473</v>
      </c>
    </row>
    <row r="128" spans="6:8" x14ac:dyDescent="0.25">
      <c r="F128" s="22">
        <v>1530</v>
      </c>
      <c r="G128" s="33">
        <f t="shared" si="4"/>
        <v>39.636061000605238</v>
      </c>
      <c r="H128" s="34">
        <f t="shared" si="5"/>
        <v>39636.061000605237</v>
      </c>
    </row>
    <row r="129" spans="6:8" x14ac:dyDescent="0.25">
      <c r="F129" s="22">
        <v>1540</v>
      </c>
      <c r="G129" s="33">
        <f t="shared" si="4"/>
        <v>39.978306451613989</v>
      </c>
      <c r="H129" s="34">
        <f t="shared" si="5"/>
        <v>39978.306451613986</v>
      </c>
    </row>
    <row r="130" spans="6:8" x14ac:dyDescent="0.25">
      <c r="F130" s="22">
        <v>1550</v>
      </c>
      <c r="G130" s="33">
        <f t="shared" si="4"/>
        <v>40.320800772227727</v>
      </c>
      <c r="H130" s="34">
        <f t="shared" si="5"/>
        <v>40320.800772227725</v>
      </c>
    </row>
    <row r="131" spans="6:8" x14ac:dyDescent="0.25">
      <c r="F131" s="22">
        <v>1560</v>
      </c>
      <c r="G131" s="33">
        <f t="shared" si="4"/>
        <v>40.663543962446482</v>
      </c>
      <c r="H131" s="34">
        <f t="shared" si="5"/>
        <v>40663.543962446485</v>
      </c>
    </row>
    <row r="132" spans="6:8" x14ac:dyDescent="0.25">
      <c r="F132" s="22">
        <v>1570</v>
      </c>
      <c r="G132" s="33">
        <f t="shared" si="4"/>
        <v>41.006536022270225</v>
      </c>
      <c r="H132" s="34">
        <f t="shared" si="5"/>
        <v>41006.536022270222</v>
      </c>
    </row>
    <row r="133" spans="6:8" x14ac:dyDescent="0.25">
      <c r="F133" s="22">
        <v>1580</v>
      </c>
      <c r="G133" s="33">
        <f t="shared" ref="G133:G196" si="6">0.000001244348025*F133^2 + 0.030404396664125*F133 - 9.79556018722852</f>
        <v>41.349776951698985</v>
      </c>
      <c r="H133" s="34">
        <f t="shared" ref="H133:H196" si="7">G133*1000</f>
        <v>41349.776951698987</v>
      </c>
    </row>
    <row r="134" spans="6:8" x14ac:dyDescent="0.25">
      <c r="F134" s="22">
        <v>1590</v>
      </c>
      <c r="G134" s="33">
        <f t="shared" si="6"/>
        <v>41.693266750732732</v>
      </c>
      <c r="H134" s="34">
        <f t="shared" si="7"/>
        <v>41693.266750732735</v>
      </c>
    </row>
    <row r="135" spans="6:8" x14ac:dyDescent="0.25">
      <c r="F135" s="22">
        <v>1600</v>
      </c>
      <c r="G135" s="33">
        <f t="shared" si="6"/>
        <v>42.037005419371482</v>
      </c>
      <c r="H135" s="34">
        <f t="shared" si="7"/>
        <v>42037.005419371482</v>
      </c>
    </row>
    <row r="136" spans="6:8" x14ac:dyDescent="0.25">
      <c r="F136" s="22">
        <v>1610</v>
      </c>
      <c r="G136" s="33">
        <f t="shared" si="6"/>
        <v>42.380992957615234</v>
      </c>
      <c r="H136" s="34">
        <f t="shared" si="7"/>
        <v>42380.992957615235</v>
      </c>
    </row>
    <row r="137" spans="6:8" x14ac:dyDescent="0.25">
      <c r="F137" s="22">
        <v>1620</v>
      </c>
      <c r="G137" s="33">
        <f t="shared" si="6"/>
        <v>42.725229365463989</v>
      </c>
      <c r="H137" s="34">
        <f t="shared" si="7"/>
        <v>42725.229365463987</v>
      </c>
    </row>
    <row r="138" spans="6:8" x14ac:dyDescent="0.25">
      <c r="F138" s="22">
        <v>1630</v>
      </c>
      <c r="G138" s="33">
        <f t="shared" si="6"/>
        <v>43.069714642917731</v>
      </c>
      <c r="H138" s="34">
        <f t="shared" si="7"/>
        <v>43069.71464291773</v>
      </c>
    </row>
    <row r="139" spans="6:8" x14ac:dyDescent="0.25">
      <c r="F139" s="22">
        <v>1640</v>
      </c>
      <c r="G139" s="33">
        <f t="shared" si="6"/>
        <v>43.414448789976475</v>
      </c>
      <c r="H139" s="34">
        <f t="shared" si="7"/>
        <v>43414.448789976479</v>
      </c>
    </row>
    <row r="140" spans="6:8" x14ac:dyDescent="0.25">
      <c r="F140" s="22">
        <v>1650</v>
      </c>
      <c r="G140" s="33">
        <f t="shared" si="6"/>
        <v>43.759431806640237</v>
      </c>
      <c r="H140" s="34">
        <f t="shared" si="7"/>
        <v>43759.431806640234</v>
      </c>
    </row>
    <row r="141" spans="6:8" x14ac:dyDescent="0.25">
      <c r="F141" s="22">
        <v>1660</v>
      </c>
      <c r="G141" s="33">
        <f t="shared" si="6"/>
        <v>44.104663692908986</v>
      </c>
      <c r="H141" s="34">
        <f t="shared" si="7"/>
        <v>44104.663692908987</v>
      </c>
    </row>
    <row r="142" spans="6:8" x14ac:dyDescent="0.25">
      <c r="F142" s="22">
        <v>1670</v>
      </c>
      <c r="G142" s="33">
        <f t="shared" si="6"/>
        <v>44.450144448782737</v>
      </c>
      <c r="H142" s="34">
        <f t="shared" si="7"/>
        <v>44450.144448782739</v>
      </c>
    </row>
    <row r="143" spans="6:8" x14ac:dyDescent="0.25">
      <c r="F143" s="22">
        <v>1680</v>
      </c>
      <c r="G143" s="33">
        <f t="shared" si="6"/>
        <v>44.795874074261491</v>
      </c>
      <c r="H143" s="34">
        <f t="shared" si="7"/>
        <v>44795.87407426149</v>
      </c>
    </row>
    <row r="144" spans="6:8" x14ac:dyDescent="0.25">
      <c r="F144" s="22">
        <v>1690</v>
      </c>
      <c r="G144" s="33">
        <f t="shared" si="6"/>
        <v>45.141852569345232</v>
      </c>
      <c r="H144" s="34">
        <f t="shared" si="7"/>
        <v>45141.852569345232</v>
      </c>
    </row>
    <row r="145" spans="6:8" x14ac:dyDescent="0.25">
      <c r="F145" s="22">
        <v>1700</v>
      </c>
      <c r="G145" s="33">
        <f t="shared" si="6"/>
        <v>45.488079934033976</v>
      </c>
      <c r="H145" s="34">
        <f t="shared" si="7"/>
        <v>45488.079934033973</v>
      </c>
    </row>
    <row r="146" spans="6:8" x14ac:dyDescent="0.25">
      <c r="F146" s="22">
        <v>1710</v>
      </c>
      <c r="G146" s="33">
        <f t="shared" si="6"/>
        <v>45.834556168327737</v>
      </c>
      <c r="H146" s="34">
        <f t="shared" si="7"/>
        <v>45834.556168327734</v>
      </c>
    </row>
    <row r="147" spans="6:8" x14ac:dyDescent="0.25">
      <c r="F147" s="22">
        <v>1720</v>
      </c>
      <c r="G147" s="33">
        <f t="shared" si="6"/>
        <v>46.181281272226485</v>
      </c>
      <c r="H147" s="34">
        <f t="shared" si="7"/>
        <v>46181.281272226486</v>
      </c>
    </row>
    <row r="148" spans="6:8" x14ac:dyDescent="0.25">
      <c r="F148" s="22">
        <v>1730</v>
      </c>
      <c r="G148" s="33">
        <f t="shared" si="6"/>
        <v>46.528255245730236</v>
      </c>
      <c r="H148" s="34">
        <f t="shared" si="7"/>
        <v>46528.255245730237</v>
      </c>
    </row>
    <row r="149" spans="6:8" x14ac:dyDescent="0.25">
      <c r="F149" s="22">
        <v>1740</v>
      </c>
      <c r="G149" s="33">
        <f t="shared" si="6"/>
        <v>46.875478088838989</v>
      </c>
      <c r="H149" s="34">
        <f t="shared" si="7"/>
        <v>46875.478088838987</v>
      </c>
    </row>
    <row r="150" spans="6:8" x14ac:dyDescent="0.25">
      <c r="F150" s="22">
        <v>1750</v>
      </c>
      <c r="G150" s="33">
        <f t="shared" si="6"/>
        <v>47.22294980155273</v>
      </c>
      <c r="H150" s="34">
        <f t="shared" si="7"/>
        <v>47222.949801552728</v>
      </c>
    </row>
    <row r="151" spans="6:8" x14ac:dyDescent="0.25">
      <c r="F151" s="22">
        <v>1760</v>
      </c>
      <c r="G151" s="33">
        <f t="shared" si="6"/>
        <v>47.570670383871487</v>
      </c>
      <c r="H151" s="34">
        <f t="shared" si="7"/>
        <v>47570.670383871489</v>
      </c>
    </row>
    <row r="152" spans="6:8" x14ac:dyDescent="0.25">
      <c r="F152" s="22">
        <v>1770</v>
      </c>
      <c r="G152" s="33">
        <f t="shared" si="6"/>
        <v>47.918639835795233</v>
      </c>
      <c r="H152" s="34">
        <f t="shared" si="7"/>
        <v>47918.639835795235</v>
      </c>
    </row>
    <row r="153" spans="6:8" x14ac:dyDescent="0.25">
      <c r="F153" s="22">
        <v>1780</v>
      </c>
      <c r="G153" s="33">
        <f t="shared" si="6"/>
        <v>48.266858157323981</v>
      </c>
      <c r="H153" s="34">
        <f t="shared" si="7"/>
        <v>48266.858157323979</v>
      </c>
    </row>
    <row r="154" spans="6:8" x14ac:dyDescent="0.25">
      <c r="F154" s="22">
        <v>1790</v>
      </c>
      <c r="G154" s="33">
        <f t="shared" si="6"/>
        <v>48.615325348457731</v>
      </c>
      <c r="H154" s="34">
        <f t="shared" si="7"/>
        <v>48615.325348457729</v>
      </c>
    </row>
    <row r="155" spans="6:8" x14ac:dyDescent="0.25">
      <c r="F155" s="22">
        <v>1800</v>
      </c>
      <c r="G155" s="33">
        <f t="shared" si="6"/>
        <v>48.964041409196483</v>
      </c>
      <c r="H155" s="34">
        <f t="shared" si="7"/>
        <v>48964.041409196485</v>
      </c>
    </row>
    <row r="156" spans="6:8" x14ac:dyDescent="0.25">
      <c r="F156" s="22">
        <v>1810</v>
      </c>
      <c r="G156" s="33">
        <f t="shared" si="6"/>
        <v>49.313006339540237</v>
      </c>
      <c r="H156" s="34">
        <f t="shared" si="7"/>
        <v>49313.006339540239</v>
      </c>
    </row>
    <row r="157" spans="6:8" x14ac:dyDescent="0.25">
      <c r="F157" s="22">
        <v>1820</v>
      </c>
      <c r="G157" s="33">
        <f t="shared" si="6"/>
        <v>49.66222013948898</v>
      </c>
      <c r="H157" s="34">
        <f t="shared" si="7"/>
        <v>49662.220139488978</v>
      </c>
    </row>
    <row r="158" spans="6:8" x14ac:dyDescent="0.25">
      <c r="F158" s="22">
        <v>1830</v>
      </c>
      <c r="G158" s="33">
        <f t="shared" si="6"/>
        <v>50.011682809042739</v>
      </c>
      <c r="H158" s="34">
        <f t="shared" si="7"/>
        <v>50011.682809042737</v>
      </c>
    </row>
    <row r="159" spans="6:8" x14ac:dyDescent="0.25">
      <c r="F159" s="22">
        <v>1840</v>
      </c>
      <c r="G159" s="33">
        <f t="shared" si="6"/>
        <v>50.361394348201486</v>
      </c>
      <c r="H159" s="34">
        <f t="shared" si="7"/>
        <v>50361.394348201487</v>
      </c>
    </row>
    <row r="160" spans="6:8" x14ac:dyDescent="0.25">
      <c r="F160" s="22">
        <v>1850</v>
      </c>
      <c r="G160" s="33">
        <f t="shared" si="6"/>
        <v>50.711354756965235</v>
      </c>
      <c r="H160" s="34">
        <f t="shared" si="7"/>
        <v>50711.354756965236</v>
      </c>
    </row>
    <row r="161" spans="6:8" x14ac:dyDescent="0.25">
      <c r="F161" s="22">
        <v>1860</v>
      </c>
      <c r="G161" s="33">
        <f t="shared" si="6"/>
        <v>51.061564035333987</v>
      </c>
      <c r="H161" s="34">
        <f t="shared" si="7"/>
        <v>51061.564035333984</v>
      </c>
    </row>
    <row r="162" spans="6:8" x14ac:dyDescent="0.25">
      <c r="F162" s="22">
        <v>1870</v>
      </c>
      <c r="G162" s="33">
        <f t="shared" si="6"/>
        <v>51.412022183307727</v>
      </c>
      <c r="H162" s="34">
        <f t="shared" si="7"/>
        <v>51412.022183307723</v>
      </c>
    </row>
    <row r="163" spans="6:8" x14ac:dyDescent="0.25">
      <c r="F163" s="22">
        <v>1880</v>
      </c>
      <c r="G163" s="33">
        <f t="shared" si="6"/>
        <v>51.762729200886483</v>
      </c>
      <c r="H163" s="34">
        <f t="shared" si="7"/>
        <v>51762.729200886482</v>
      </c>
    </row>
    <row r="164" spans="6:8" x14ac:dyDescent="0.25">
      <c r="F164" s="22">
        <v>1890</v>
      </c>
      <c r="G164" s="33">
        <f t="shared" si="6"/>
        <v>52.113685088070241</v>
      </c>
      <c r="H164" s="34">
        <f t="shared" si="7"/>
        <v>52113.68508807024</v>
      </c>
    </row>
    <row r="165" spans="6:8" x14ac:dyDescent="0.25">
      <c r="F165" s="22">
        <v>1900</v>
      </c>
      <c r="G165" s="33">
        <f t="shared" si="6"/>
        <v>52.464889844858988</v>
      </c>
      <c r="H165" s="34">
        <f t="shared" si="7"/>
        <v>52464.88984485899</v>
      </c>
    </row>
    <row r="166" spans="6:8" x14ac:dyDescent="0.25">
      <c r="F166" s="22">
        <v>1910</v>
      </c>
      <c r="G166" s="33">
        <f t="shared" si="6"/>
        <v>52.816343471252736</v>
      </c>
      <c r="H166" s="34">
        <f t="shared" si="7"/>
        <v>52816.343471252738</v>
      </c>
    </row>
    <row r="167" spans="6:8" x14ac:dyDescent="0.25">
      <c r="F167" s="22">
        <v>1920</v>
      </c>
      <c r="G167" s="33">
        <f t="shared" si="6"/>
        <v>53.168045967251487</v>
      </c>
      <c r="H167" s="34">
        <f t="shared" si="7"/>
        <v>53168.045967251484</v>
      </c>
    </row>
    <row r="168" spans="6:8" x14ac:dyDescent="0.25">
      <c r="F168" s="22">
        <v>1930</v>
      </c>
      <c r="G168" s="33">
        <f t="shared" si="6"/>
        <v>53.519997332855226</v>
      </c>
      <c r="H168" s="34">
        <f t="shared" si="7"/>
        <v>53519.99733285523</v>
      </c>
    </row>
    <row r="169" spans="6:8" x14ac:dyDescent="0.25">
      <c r="F169" s="22">
        <v>1940</v>
      </c>
      <c r="G169" s="33">
        <f t="shared" si="6"/>
        <v>53.872197568063982</v>
      </c>
      <c r="H169" s="34">
        <f t="shared" si="7"/>
        <v>53872.197568063981</v>
      </c>
    </row>
    <row r="170" spans="6:8" x14ac:dyDescent="0.25">
      <c r="F170" s="22">
        <v>1950</v>
      </c>
      <c r="G170" s="33">
        <f t="shared" si="6"/>
        <v>54.224646672877739</v>
      </c>
      <c r="H170" s="34">
        <f t="shared" si="7"/>
        <v>54224.646672877738</v>
      </c>
    </row>
    <row r="171" spans="6:8" x14ac:dyDescent="0.25">
      <c r="F171" s="22">
        <v>1960</v>
      </c>
      <c r="G171" s="33">
        <f t="shared" si="6"/>
        <v>54.577344647296485</v>
      </c>
      <c r="H171" s="34">
        <f t="shared" si="7"/>
        <v>54577.344647296486</v>
      </c>
    </row>
    <row r="172" spans="6:8" x14ac:dyDescent="0.25">
      <c r="F172" s="22">
        <v>1970</v>
      </c>
      <c r="G172" s="33">
        <f t="shared" si="6"/>
        <v>54.930291491320233</v>
      </c>
      <c r="H172" s="34">
        <f t="shared" si="7"/>
        <v>54930.291491320233</v>
      </c>
    </row>
    <row r="173" spans="6:8" x14ac:dyDescent="0.25">
      <c r="F173" s="22">
        <v>1980</v>
      </c>
      <c r="G173" s="33">
        <f t="shared" si="6"/>
        <v>55.283487204948983</v>
      </c>
      <c r="H173" s="34">
        <f t="shared" si="7"/>
        <v>55283.487204948986</v>
      </c>
    </row>
    <row r="174" spans="6:8" x14ac:dyDescent="0.25">
      <c r="F174" s="22">
        <v>1990</v>
      </c>
      <c r="G174" s="33">
        <f t="shared" si="6"/>
        <v>55.636931788182736</v>
      </c>
      <c r="H174" s="34">
        <f t="shared" si="7"/>
        <v>55636.931788182737</v>
      </c>
    </row>
    <row r="175" spans="6:8" x14ac:dyDescent="0.25">
      <c r="F175" s="22">
        <v>2000</v>
      </c>
      <c r="G175" s="33">
        <f t="shared" si="6"/>
        <v>55.99062524102149</v>
      </c>
      <c r="H175" s="34">
        <f t="shared" si="7"/>
        <v>55990.625241021487</v>
      </c>
    </row>
    <row r="176" spans="6:8" x14ac:dyDescent="0.25">
      <c r="F176" s="22">
        <v>2010</v>
      </c>
      <c r="G176" s="33">
        <f t="shared" si="6"/>
        <v>56.344567563465233</v>
      </c>
      <c r="H176" s="34">
        <f t="shared" si="7"/>
        <v>56344.567563465236</v>
      </c>
    </row>
    <row r="177" spans="6:8" x14ac:dyDescent="0.25">
      <c r="F177" s="22">
        <v>2020</v>
      </c>
      <c r="G177" s="33">
        <f t="shared" si="6"/>
        <v>56.698758755513978</v>
      </c>
      <c r="H177" s="34">
        <f t="shared" si="7"/>
        <v>56698.758755513976</v>
      </c>
    </row>
    <row r="178" spans="6:8" x14ac:dyDescent="0.25">
      <c r="F178" s="22">
        <v>2030</v>
      </c>
      <c r="G178" s="33">
        <f t="shared" si="6"/>
        <v>57.05319881716774</v>
      </c>
      <c r="H178" s="34">
        <f t="shared" si="7"/>
        <v>57053.198817167737</v>
      </c>
    </row>
    <row r="179" spans="6:8" x14ac:dyDescent="0.25">
      <c r="F179" s="22">
        <v>2040</v>
      </c>
      <c r="G179" s="33">
        <f t="shared" si="6"/>
        <v>57.407887748426475</v>
      </c>
      <c r="H179" s="34">
        <f t="shared" si="7"/>
        <v>57407.887748426474</v>
      </c>
    </row>
    <row r="180" spans="6:8" x14ac:dyDescent="0.25">
      <c r="F180" s="22">
        <v>2050</v>
      </c>
      <c r="G180" s="33">
        <f t="shared" si="6"/>
        <v>57.762825549290241</v>
      </c>
      <c r="H180" s="34">
        <f t="shared" si="7"/>
        <v>57762.825549290239</v>
      </c>
    </row>
    <row r="181" spans="6:8" x14ac:dyDescent="0.25">
      <c r="F181" s="22">
        <v>2060</v>
      </c>
      <c r="G181" s="33">
        <f t="shared" si="6"/>
        <v>58.118012219758981</v>
      </c>
      <c r="H181" s="34">
        <f t="shared" si="7"/>
        <v>58118.012219758981</v>
      </c>
    </row>
    <row r="182" spans="6:8" x14ac:dyDescent="0.25">
      <c r="F182" s="22">
        <v>2070</v>
      </c>
      <c r="G182" s="33">
        <f t="shared" si="6"/>
        <v>58.473447759832737</v>
      </c>
      <c r="H182" s="34">
        <f t="shared" si="7"/>
        <v>58473.447759832736</v>
      </c>
    </row>
    <row r="183" spans="6:8" x14ac:dyDescent="0.25">
      <c r="F183" s="22">
        <v>2080</v>
      </c>
      <c r="G183" s="33">
        <f t="shared" si="6"/>
        <v>58.829132169511482</v>
      </c>
      <c r="H183" s="34">
        <f t="shared" si="7"/>
        <v>58829.132169511482</v>
      </c>
    </row>
    <row r="184" spans="6:8" x14ac:dyDescent="0.25">
      <c r="F184" s="22">
        <v>2090</v>
      </c>
      <c r="G184" s="33">
        <f t="shared" si="6"/>
        <v>59.185065448795243</v>
      </c>
      <c r="H184" s="34">
        <f t="shared" si="7"/>
        <v>59185.065448795242</v>
      </c>
    </row>
    <row r="185" spans="6:8" x14ac:dyDescent="0.25">
      <c r="F185" s="22">
        <v>2100</v>
      </c>
      <c r="G185" s="33">
        <f t="shared" si="6"/>
        <v>59.541247597683977</v>
      </c>
      <c r="H185" s="34">
        <f t="shared" si="7"/>
        <v>59541.247597683978</v>
      </c>
    </row>
    <row r="186" spans="6:8" x14ac:dyDescent="0.25">
      <c r="F186" s="22">
        <v>2110</v>
      </c>
      <c r="G186" s="33">
        <f t="shared" si="6"/>
        <v>59.897678616177743</v>
      </c>
      <c r="H186" s="34">
        <f t="shared" si="7"/>
        <v>59897.678616177742</v>
      </c>
    </row>
    <row r="187" spans="6:8" x14ac:dyDescent="0.25">
      <c r="F187" s="22">
        <v>2120</v>
      </c>
      <c r="G187" s="33">
        <f t="shared" si="6"/>
        <v>60.254358504276482</v>
      </c>
      <c r="H187" s="34">
        <f t="shared" si="7"/>
        <v>60254.358504276483</v>
      </c>
    </row>
    <row r="188" spans="6:8" x14ac:dyDescent="0.25">
      <c r="F188" s="22">
        <v>2130</v>
      </c>
      <c r="G188" s="33">
        <f t="shared" si="6"/>
        <v>60.611287261980237</v>
      </c>
      <c r="H188" s="34">
        <f t="shared" si="7"/>
        <v>60611.287261980237</v>
      </c>
    </row>
    <row r="189" spans="6:8" x14ac:dyDescent="0.25">
      <c r="F189" s="22">
        <v>2140</v>
      </c>
      <c r="G189" s="33">
        <f t="shared" si="6"/>
        <v>60.968464889288995</v>
      </c>
      <c r="H189" s="34">
        <f t="shared" si="7"/>
        <v>60968.464889288996</v>
      </c>
    </row>
    <row r="190" spans="6:8" x14ac:dyDescent="0.25">
      <c r="F190" s="22">
        <v>2150</v>
      </c>
      <c r="G190" s="33">
        <f t="shared" si="6"/>
        <v>61.325891386202741</v>
      </c>
      <c r="H190" s="34">
        <f t="shared" si="7"/>
        <v>61325.89138620274</v>
      </c>
    </row>
    <row r="191" spans="6:8" x14ac:dyDescent="0.25">
      <c r="F191" s="22">
        <v>2160</v>
      </c>
      <c r="G191" s="33">
        <f t="shared" si="6"/>
        <v>61.683566752721489</v>
      </c>
      <c r="H191" s="34">
        <f t="shared" si="7"/>
        <v>61683.56675272149</v>
      </c>
    </row>
    <row r="192" spans="6:8" x14ac:dyDescent="0.25">
      <c r="F192" s="22">
        <v>2170</v>
      </c>
      <c r="G192" s="33">
        <f t="shared" si="6"/>
        <v>62.04149098884524</v>
      </c>
      <c r="H192" s="34">
        <f t="shared" si="7"/>
        <v>62041.490988845238</v>
      </c>
    </row>
    <row r="193" spans="6:8" x14ac:dyDescent="0.25">
      <c r="F193" s="22">
        <v>2180</v>
      </c>
      <c r="G193" s="33">
        <f t="shared" si="6"/>
        <v>62.399664094573993</v>
      </c>
      <c r="H193" s="34">
        <f t="shared" si="7"/>
        <v>62399.664094573993</v>
      </c>
    </row>
    <row r="194" spans="6:8" x14ac:dyDescent="0.25">
      <c r="F194" s="22">
        <v>2190</v>
      </c>
      <c r="G194" s="33">
        <f t="shared" si="6"/>
        <v>62.758086069907733</v>
      </c>
      <c r="H194" s="34">
        <f t="shared" si="7"/>
        <v>62758.086069907731</v>
      </c>
    </row>
    <row r="195" spans="6:8" x14ac:dyDescent="0.25">
      <c r="F195" s="22">
        <v>2200</v>
      </c>
      <c r="G195" s="33">
        <f t="shared" si="6"/>
        <v>63.116756914846491</v>
      </c>
      <c r="H195" s="34">
        <f t="shared" si="7"/>
        <v>63116.75691484649</v>
      </c>
    </row>
    <row r="196" spans="6:8" x14ac:dyDescent="0.25">
      <c r="F196" s="22">
        <v>2210</v>
      </c>
      <c r="G196" s="33">
        <f t="shared" si="6"/>
        <v>63.475676629390236</v>
      </c>
      <c r="H196" s="34">
        <f t="shared" si="7"/>
        <v>63475.676629390233</v>
      </c>
    </row>
    <row r="197" spans="6:8" x14ac:dyDescent="0.25">
      <c r="F197" s="22">
        <v>2220</v>
      </c>
      <c r="G197" s="33">
        <f t="shared" ref="G197:G260" si="8">0.000001244348025*F197^2 + 0.030404396664125*F197 - 9.79556018722852</f>
        <v>63.834845213538983</v>
      </c>
      <c r="H197" s="34">
        <f t="shared" ref="H197:H260" si="9">G197*1000</f>
        <v>63834.845213538982</v>
      </c>
    </row>
    <row r="198" spans="6:8" x14ac:dyDescent="0.25">
      <c r="F198" s="22">
        <v>2230</v>
      </c>
      <c r="G198" s="33">
        <f t="shared" si="8"/>
        <v>64.194262667292733</v>
      </c>
      <c r="H198" s="34">
        <f t="shared" si="9"/>
        <v>64194.262667292736</v>
      </c>
    </row>
    <row r="199" spans="6:8" x14ac:dyDescent="0.25">
      <c r="F199" s="22">
        <v>2240</v>
      </c>
      <c r="G199" s="33">
        <f t="shared" si="8"/>
        <v>64.553928990651485</v>
      </c>
      <c r="H199" s="34">
        <f t="shared" si="9"/>
        <v>64553.928990651482</v>
      </c>
    </row>
    <row r="200" spans="6:8" x14ac:dyDescent="0.25">
      <c r="F200" s="22">
        <v>2250</v>
      </c>
      <c r="G200" s="33">
        <f t="shared" si="8"/>
        <v>64.91384418361524</v>
      </c>
      <c r="H200" s="34">
        <f t="shared" si="9"/>
        <v>64913.844183615241</v>
      </c>
    </row>
    <row r="201" spans="6:8" x14ac:dyDescent="0.25">
      <c r="F201" s="22">
        <v>2260</v>
      </c>
      <c r="G201" s="33">
        <f t="shared" si="8"/>
        <v>65.274008246183982</v>
      </c>
      <c r="H201" s="34">
        <f t="shared" si="9"/>
        <v>65274.008246183985</v>
      </c>
    </row>
    <row r="202" spans="6:8" x14ac:dyDescent="0.25">
      <c r="F202" s="22">
        <v>2270</v>
      </c>
      <c r="G202" s="33">
        <f t="shared" si="8"/>
        <v>65.634421178357741</v>
      </c>
      <c r="H202" s="34">
        <f t="shared" si="9"/>
        <v>65634.421178357734</v>
      </c>
    </row>
    <row r="203" spans="6:8" x14ac:dyDescent="0.25">
      <c r="F203" s="22">
        <v>2280</v>
      </c>
      <c r="G203" s="33">
        <f t="shared" si="8"/>
        <v>65.995082980136488</v>
      </c>
      <c r="H203" s="34">
        <f t="shared" si="9"/>
        <v>65995.082980136489</v>
      </c>
    </row>
    <row r="204" spans="6:8" x14ac:dyDescent="0.25">
      <c r="F204" s="22">
        <v>2290</v>
      </c>
      <c r="G204" s="33">
        <f t="shared" si="8"/>
        <v>66.355993651520237</v>
      </c>
      <c r="H204" s="34">
        <f t="shared" si="9"/>
        <v>66355.993651520243</v>
      </c>
    </row>
    <row r="205" spans="6:8" x14ac:dyDescent="0.25">
      <c r="F205" s="22">
        <v>2300</v>
      </c>
      <c r="G205" s="33">
        <f t="shared" si="8"/>
        <v>66.717153192508988</v>
      </c>
      <c r="H205" s="34">
        <f t="shared" si="9"/>
        <v>66717.153192508995</v>
      </c>
    </row>
    <row r="206" spans="6:8" x14ac:dyDescent="0.25">
      <c r="F206" s="22">
        <v>2310</v>
      </c>
      <c r="G206" s="33">
        <f t="shared" si="8"/>
        <v>67.078561603102742</v>
      </c>
      <c r="H206" s="34">
        <f t="shared" si="9"/>
        <v>67078.561603102746</v>
      </c>
    </row>
    <row r="207" spans="6:8" x14ac:dyDescent="0.25">
      <c r="F207" s="22">
        <v>2320</v>
      </c>
      <c r="G207" s="33">
        <f t="shared" si="8"/>
        <v>67.440218883301483</v>
      </c>
      <c r="H207" s="34">
        <f t="shared" si="9"/>
        <v>67440.218883301481</v>
      </c>
    </row>
    <row r="208" spans="6:8" x14ac:dyDescent="0.25">
      <c r="F208" s="22">
        <v>2330</v>
      </c>
      <c r="G208" s="33">
        <f t="shared" si="8"/>
        <v>67.802125033105241</v>
      </c>
      <c r="H208" s="34">
        <f t="shared" si="9"/>
        <v>67802.125033105243</v>
      </c>
    </row>
    <row r="209" spans="6:8" x14ac:dyDescent="0.25">
      <c r="F209" s="22">
        <v>2340</v>
      </c>
      <c r="G209" s="33">
        <f t="shared" si="8"/>
        <v>68.164280052513988</v>
      </c>
      <c r="H209" s="34">
        <f t="shared" si="9"/>
        <v>68164.28005251399</v>
      </c>
    </row>
    <row r="210" spans="6:8" x14ac:dyDescent="0.25">
      <c r="F210" s="22">
        <v>2350</v>
      </c>
      <c r="G210" s="33">
        <f t="shared" si="8"/>
        <v>68.526683941527736</v>
      </c>
      <c r="H210" s="34">
        <f t="shared" si="9"/>
        <v>68526.683941527735</v>
      </c>
    </row>
    <row r="211" spans="6:8" x14ac:dyDescent="0.25">
      <c r="F211" s="22">
        <v>2360</v>
      </c>
      <c r="G211" s="33">
        <f t="shared" si="8"/>
        <v>68.889336700146487</v>
      </c>
      <c r="H211" s="34">
        <f t="shared" si="9"/>
        <v>68889.336700146494</v>
      </c>
    </row>
    <row r="212" spans="6:8" x14ac:dyDescent="0.25">
      <c r="F212" s="22">
        <v>2370</v>
      </c>
      <c r="G212" s="33">
        <f t="shared" si="8"/>
        <v>69.25223832837024</v>
      </c>
      <c r="H212" s="34">
        <f t="shared" si="9"/>
        <v>69252.238328370237</v>
      </c>
    </row>
    <row r="213" spans="6:8" x14ac:dyDescent="0.25">
      <c r="F213" s="22">
        <v>2380</v>
      </c>
      <c r="G213" s="33">
        <f t="shared" si="8"/>
        <v>69.615388826198981</v>
      </c>
      <c r="H213" s="34">
        <f t="shared" si="9"/>
        <v>69615.388826198978</v>
      </c>
    </row>
    <row r="214" spans="6:8" x14ac:dyDescent="0.25">
      <c r="F214" s="22">
        <v>2390</v>
      </c>
      <c r="G214" s="33">
        <f t="shared" si="8"/>
        <v>69.978788193632738</v>
      </c>
      <c r="H214" s="34">
        <f t="shared" si="9"/>
        <v>69978.788193632732</v>
      </c>
    </row>
    <row r="215" spans="6:8" x14ac:dyDescent="0.25">
      <c r="F215" s="22">
        <v>2400</v>
      </c>
      <c r="G215" s="33">
        <f t="shared" si="8"/>
        <v>70.342436430671484</v>
      </c>
      <c r="H215" s="34">
        <f t="shared" si="9"/>
        <v>70342.436430671485</v>
      </c>
    </row>
    <row r="216" spans="6:8" x14ac:dyDescent="0.25">
      <c r="F216" s="22">
        <v>2410</v>
      </c>
      <c r="G216" s="33">
        <f t="shared" si="8"/>
        <v>70.706333537315231</v>
      </c>
      <c r="H216" s="34">
        <f t="shared" si="9"/>
        <v>70706.333537315237</v>
      </c>
    </row>
    <row r="217" spans="6:8" x14ac:dyDescent="0.25">
      <c r="F217" s="22">
        <v>2420</v>
      </c>
      <c r="G217" s="33">
        <f t="shared" si="8"/>
        <v>71.070479513563996</v>
      </c>
      <c r="H217" s="34">
        <f t="shared" si="9"/>
        <v>71070.479513564002</v>
      </c>
    </row>
    <row r="218" spans="6:8" x14ac:dyDescent="0.25">
      <c r="F218" s="22">
        <v>2430</v>
      </c>
      <c r="G218" s="33">
        <f t="shared" si="8"/>
        <v>71.434874359417734</v>
      </c>
      <c r="H218" s="34">
        <f t="shared" si="9"/>
        <v>71434.874359417736</v>
      </c>
    </row>
    <row r="219" spans="6:8" x14ac:dyDescent="0.25">
      <c r="F219" s="22">
        <v>2440</v>
      </c>
      <c r="G219" s="33">
        <f t="shared" si="8"/>
        <v>71.799518074876488</v>
      </c>
      <c r="H219" s="34">
        <f t="shared" si="9"/>
        <v>71799.518074876483</v>
      </c>
    </row>
    <row r="220" spans="6:8" x14ac:dyDescent="0.25">
      <c r="F220" s="22">
        <v>2450</v>
      </c>
      <c r="G220" s="33">
        <f t="shared" si="8"/>
        <v>72.164410659940245</v>
      </c>
      <c r="H220" s="34">
        <f t="shared" si="9"/>
        <v>72164.410659940244</v>
      </c>
    </row>
    <row r="221" spans="6:8" x14ac:dyDescent="0.25">
      <c r="F221" s="22">
        <v>2460</v>
      </c>
      <c r="G221" s="33">
        <f t="shared" si="8"/>
        <v>72.52955211460899</v>
      </c>
      <c r="H221" s="34">
        <f t="shared" si="9"/>
        <v>72529.552114608989</v>
      </c>
    </row>
    <row r="222" spans="6:8" x14ac:dyDescent="0.25">
      <c r="F222" s="22">
        <v>2470</v>
      </c>
      <c r="G222" s="33">
        <f t="shared" si="8"/>
        <v>72.894942438882737</v>
      </c>
      <c r="H222" s="34">
        <f t="shared" si="9"/>
        <v>72894.942438882732</v>
      </c>
    </row>
    <row r="223" spans="6:8" x14ac:dyDescent="0.25">
      <c r="F223" s="22">
        <v>2480</v>
      </c>
      <c r="G223" s="33">
        <f t="shared" si="8"/>
        <v>73.260581632761486</v>
      </c>
      <c r="H223" s="34">
        <f t="shared" si="9"/>
        <v>73260.581632761488</v>
      </c>
    </row>
    <row r="224" spans="6:8" x14ac:dyDescent="0.25">
      <c r="F224" s="22">
        <v>2490</v>
      </c>
      <c r="G224" s="33">
        <f t="shared" si="8"/>
        <v>73.626469696245238</v>
      </c>
      <c r="H224" s="34">
        <f t="shared" si="9"/>
        <v>73626.469696245244</v>
      </c>
    </row>
    <row r="225" spans="6:8" x14ac:dyDescent="0.25">
      <c r="F225" s="22">
        <v>2500</v>
      </c>
      <c r="G225" s="33">
        <f t="shared" si="8"/>
        <v>73.992606629333977</v>
      </c>
      <c r="H225" s="34">
        <f t="shared" si="9"/>
        <v>73992.606629333983</v>
      </c>
    </row>
    <row r="226" spans="6:8" x14ac:dyDescent="0.25">
      <c r="F226" s="22">
        <v>2510</v>
      </c>
      <c r="G226" s="33">
        <f t="shared" si="8"/>
        <v>74.358992432027748</v>
      </c>
      <c r="H226" s="34">
        <f t="shared" si="9"/>
        <v>74358.99243202775</v>
      </c>
    </row>
    <row r="227" spans="6:8" x14ac:dyDescent="0.25">
      <c r="F227" s="22">
        <v>2520</v>
      </c>
      <c r="G227" s="33">
        <f t="shared" si="8"/>
        <v>74.725627104326492</v>
      </c>
      <c r="H227" s="34">
        <f t="shared" si="9"/>
        <v>74725.627104326486</v>
      </c>
    </row>
    <row r="228" spans="6:8" x14ac:dyDescent="0.25">
      <c r="F228" s="22">
        <v>2530</v>
      </c>
      <c r="G228" s="33">
        <f t="shared" si="8"/>
        <v>75.092510646230238</v>
      </c>
      <c r="H228" s="34">
        <f t="shared" si="9"/>
        <v>75092.510646230236</v>
      </c>
    </row>
    <row r="229" spans="6:8" x14ac:dyDescent="0.25">
      <c r="F229" s="22">
        <v>2540</v>
      </c>
      <c r="G229" s="33">
        <f t="shared" si="8"/>
        <v>75.459643057738987</v>
      </c>
      <c r="H229" s="34">
        <f t="shared" si="9"/>
        <v>75459.643057738984</v>
      </c>
    </row>
    <row r="230" spans="6:8" x14ac:dyDescent="0.25">
      <c r="F230" s="22">
        <v>2550</v>
      </c>
      <c r="G230" s="33">
        <f t="shared" si="8"/>
        <v>75.827024338852738</v>
      </c>
      <c r="H230" s="34">
        <f t="shared" si="9"/>
        <v>75827.024338852731</v>
      </c>
    </row>
    <row r="231" spans="6:8" x14ac:dyDescent="0.25">
      <c r="F231" s="22">
        <v>2560</v>
      </c>
      <c r="G231" s="33">
        <f t="shared" si="8"/>
        <v>76.194654489571477</v>
      </c>
      <c r="H231" s="34">
        <f t="shared" si="9"/>
        <v>76194.654489571476</v>
      </c>
    </row>
    <row r="232" spans="6:8" x14ac:dyDescent="0.25">
      <c r="F232" s="22">
        <v>2570</v>
      </c>
      <c r="G232" s="33">
        <f t="shared" si="8"/>
        <v>76.562533509895246</v>
      </c>
      <c r="H232" s="34">
        <f t="shared" si="9"/>
        <v>76562.533509895249</v>
      </c>
    </row>
    <row r="233" spans="6:8" x14ac:dyDescent="0.25">
      <c r="F233" s="22">
        <v>2580</v>
      </c>
      <c r="G233" s="33">
        <f t="shared" si="8"/>
        <v>76.93066139982399</v>
      </c>
      <c r="H233" s="34">
        <f t="shared" si="9"/>
        <v>76930.661399823992</v>
      </c>
    </row>
    <row r="234" spans="6:8" x14ac:dyDescent="0.25">
      <c r="F234" s="22">
        <v>2590</v>
      </c>
      <c r="G234" s="33">
        <f t="shared" si="8"/>
        <v>77.299038159357735</v>
      </c>
      <c r="H234" s="34">
        <f t="shared" si="9"/>
        <v>77299.038159357733</v>
      </c>
    </row>
    <row r="235" spans="6:8" x14ac:dyDescent="0.25">
      <c r="F235" s="22">
        <v>2600</v>
      </c>
      <c r="G235" s="33">
        <f t="shared" si="8"/>
        <v>77.667663788496498</v>
      </c>
      <c r="H235" s="34">
        <f t="shared" si="9"/>
        <v>77667.663788496502</v>
      </c>
    </row>
    <row r="236" spans="6:8" x14ac:dyDescent="0.25">
      <c r="F236" s="22">
        <v>2610</v>
      </c>
      <c r="G236" s="33">
        <f t="shared" si="8"/>
        <v>78.036538287240234</v>
      </c>
      <c r="H236" s="34">
        <f t="shared" si="9"/>
        <v>78036.538287240241</v>
      </c>
    </row>
    <row r="237" spans="6:8" x14ac:dyDescent="0.25">
      <c r="F237" s="22">
        <v>2620</v>
      </c>
      <c r="G237" s="33">
        <f t="shared" si="8"/>
        <v>78.405661655588986</v>
      </c>
      <c r="H237" s="34">
        <f t="shared" si="9"/>
        <v>78405.661655588992</v>
      </c>
    </row>
    <row r="238" spans="6:8" x14ac:dyDescent="0.25">
      <c r="F238" s="22">
        <v>2630</v>
      </c>
      <c r="G238" s="33">
        <f t="shared" si="8"/>
        <v>78.775033893542741</v>
      </c>
      <c r="H238" s="34">
        <f t="shared" si="9"/>
        <v>78775.033893542743</v>
      </c>
    </row>
    <row r="239" spans="6:8" x14ac:dyDescent="0.25">
      <c r="F239" s="22">
        <v>2640</v>
      </c>
      <c r="G239" s="33">
        <f t="shared" si="8"/>
        <v>79.144655001101484</v>
      </c>
      <c r="H239" s="34">
        <f t="shared" si="9"/>
        <v>79144.655001101477</v>
      </c>
    </row>
    <row r="240" spans="6:8" x14ac:dyDescent="0.25">
      <c r="F240" s="22">
        <v>2650</v>
      </c>
      <c r="G240" s="33">
        <f t="shared" si="8"/>
        <v>79.514524978265229</v>
      </c>
      <c r="H240" s="34">
        <f t="shared" si="9"/>
        <v>79514.524978265224</v>
      </c>
    </row>
    <row r="241" spans="6:8" x14ac:dyDescent="0.25">
      <c r="F241" s="22">
        <v>2660</v>
      </c>
      <c r="G241" s="33">
        <f t="shared" si="8"/>
        <v>79.88464382503399</v>
      </c>
      <c r="H241" s="34">
        <f t="shared" si="9"/>
        <v>79884.643825033985</v>
      </c>
    </row>
    <row r="242" spans="6:8" x14ac:dyDescent="0.25">
      <c r="F242" s="22">
        <v>2670</v>
      </c>
      <c r="G242" s="33">
        <f t="shared" si="8"/>
        <v>80.25501154140774</v>
      </c>
      <c r="H242" s="34">
        <f t="shared" si="9"/>
        <v>80255.011541407745</v>
      </c>
    </row>
    <row r="243" spans="6:8" x14ac:dyDescent="0.25">
      <c r="F243" s="22">
        <v>2680</v>
      </c>
      <c r="G243" s="33">
        <f t="shared" si="8"/>
        <v>80.625628127386477</v>
      </c>
      <c r="H243" s="34">
        <f t="shared" si="9"/>
        <v>80625.628127386473</v>
      </c>
    </row>
    <row r="244" spans="6:8" x14ac:dyDescent="0.25">
      <c r="F244" s="22">
        <v>2690</v>
      </c>
      <c r="G244" s="33">
        <f t="shared" si="8"/>
        <v>80.996493582970245</v>
      </c>
      <c r="H244" s="34">
        <f t="shared" si="9"/>
        <v>80996.493582970244</v>
      </c>
    </row>
    <row r="245" spans="6:8" x14ac:dyDescent="0.25">
      <c r="F245" s="22">
        <v>2700</v>
      </c>
      <c r="G245" s="33">
        <f t="shared" si="8"/>
        <v>81.367607908158988</v>
      </c>
      <c r="H245" s="34">
        <f t="shared" si="9"/>
        <v>81367.607908158985</v>
      </c>
    </row>
    <row r="246" spans="6:8" x14ac:dyDescent="0.25">
      <c r="F246" s="22">
        <v>2710</v>
      </c>
      <c r="G246" s="33">
        <f t="shared" si="8"/>
        <v>81.738971102952732</v>
      </c>
      <c r="H246" s="34">
        <f t="shared" si="9"/>
        <v>81738.971102952739</v>
      </c>
    </row>
    <row r="247" spans="6:8" x14ac:dyDescent="0.25">
      <c r="F247" s="22">
        <v>2720</v>
      </c>
      <c r="G247" s="33">
        <f t="shared" si="8"/>
        <v>82.110583167351493</v>
      </c>
      <c r="H247" s="34">
        <f t="shared" si="9"/>
        <v>82110.583167351491</v>
      </c>
    </row>
    <row r="248" spans="6:8" x14ac:dyDescent="0.25">
      <c r="F248" s="22">
        <v>2730</v>
      </c>
      <c r="G248" s="33">
        <f t="shared" si="8"/>
        <v>82.482444101355242</v>
      </c>
      <c r="H248" s="34">
        <f t="shared" si="9"/>
        <v>82482.444101355242</v>
      </c>
    </row>
    <row r="249" spans="6:8" x14ac:dyDescent="0.25">
      <c r="F249" s="22">
        <v>2740</v>
      </c>
      <c r="G249" s="33">
        <f t="shared" si="8"/>
        <v>82.854553904963979</v>
      </c>
      <c r="H249" s="34">
        <f t="shared" si="9"/>
        <v>82854.553904963977</v>
      </c>
    </row>
    <row r="250" spans="6:8" x14ac:dyDescent="0.25">
      <c r="F250" s="22">
        <v>2750</v>
      </c>
      <c r="G250" s="33">
        <f t="shared" si="8"/>
        <v>83.226912578177746</v>
      </c>
      <c r="H250" s="34">
        <f t="shared" si="9"/>
        <v>83226.91257817774</v>
      </c>
    </row>
    <row r="251" spans="6:8" x14ac:dyDescent="0.25">
      <c r="F251" s="22">
        <v>2760</v>
      </c>
      <c r="G251" s="33">
        <f t="shared" si="8"/>
        <v>83.599520120996488</v>
      </c>
      <c r="H251" s="34">
        <f t="shared" si="9"/>
        <v>83599.520120996487</v>
      </c>
    </row>
    <row r="252" spans="6:8" x14ac:dyDescent="0.25">
      <c r="F252" s="22">
        <v>2770</v>
      </c>
      <c r="G252" s="33">
        <f t="shared" si="8"/>
        <v>83.972376533420231</v>
      </c>
      <c r="H252" s="34">
        <f t="shared" si="9"/>
        <v>83972.376533420233</v>
      </c>
    </row>
    <row r="253" spans="6:8" x14ac:dyDescent="0.25">
      <c r="F253" s="22">
        <v>2780</v>
      </c>
      <c r="G253" s="33">
        <f t="shared" si="8"/>
        <v>84.345481815448991</v>
      </c>
      <c r="H253" s="34">
        <f t="shared" si="9"/>
        <v>84345.481815448991</v>
      </c>
    </row>
    <row r="254" spans="6:8" x14ac:dyDescent="0.25">
      <c r="F254" s="22">
        <v>2790</v>
      </c>
      <c r="G254" s="33">
        <f t="shared" si="8"/>
        <v>84.71883596708274</v>
      </c>
      <c r="H254" s="34">
        <f t="shared" si="9"/>
        <v>84718.835967082734</v>
      </c>
    </row>
    <row r="255" spans="6:8" x14ac:dyDescent="0.25">
      <c r="F255" s="22">
        <v>2800</v>
      </c>
      <c r="G255" s="33">
        <f t="shared" si="8"/>
        <v>85.092438988321476</v>
      </c>
      <c r="H255" s="34">
        <f t="shared" si="9"/>
        <v>85092.438988321475</v>
      </c>
    </row>
    <row r="256" spans="6:8" x14ac:dyDescent="0.25">
      <c r="F256" s="22">
        <v>2810</v>
      </c>
      <c r="G256" s="33">
        <f t="shared" si="8"/>
        <v>85.466290879165243</v>
      </c>
      <c r="H256" s="34">
        <f t="shared" si="9"/>
        <v>85466.290879165244</v>
      </c>
    </row>
    <row r="257" spans="6:8" x14ac:dyDescent="0.25">
      <c r="F257" s="22">
        <v>2820</v>
      </c>
      <c r="G257" s="33">
        <f t="shared" si="8"/>
        <v>85.840391639613983</v>
      </c>
      <c r="H257" s="34">
        <f t="shared" si="9"/>
        <v>85840.391639613983</v>
      </c>
    </row>
    <row r="258" spans="6:8" x14ac:dyDescent="0.25">
      <c r="F258" s="22">
        <v>2830</v>
      </c>
      <c r="G258" s="33">
        <f t="shared" si="8"/>
        <v>86.214741269667741</v>
      </c>
      <c r="H258" s="34">
        <f t="shared" si="9"/>
        <v>86214.741269667735</v>
      </c>
    </row>
    <row r="259" spans="6:8" x14ac:dyDescent="0.25">
      <c r="F259" s="22">
        <v>2840</v>
      </c>
      <c r="G259" s="33">
        <f t="shared" si="8"/>
        <v>86.5893397693265</v>
      </c>
      <c r="H259" s="34">
        <f t="shared" si="9"/>
        <v>86589.3397693265</v>
      </c>
    </row>
    <row r="260" spans="6:8" x14ac:dyDescent="0.25">
      <c r="F260" s="22">
        <v>2850</v>
      </c>
      <c r="G260" s="33">
        <f t="shared" si="8"/>
        <v>86.964187138590233</v>
      </c>
      <c r="H260" s="34">
        <f t="shared" si="9"/>
        <v>86964.187138590234</v>
      </c>
    </row>
    <row r="261" spans="6:8" x14ac:dyDescent="0.25">
      <c r="F261" s="22">
        <v>2860</v>
      </c>
      <c r="G261" s="33">
        <f t="shared" ref="G261:G324" si="10">0.000001244348025*F261^2 + 0.030404396664125*F261 - 9.79556018722852</f>
        <v>87.339283377458983</v>
      </c>
      <c r="H261" s="34">
        <f t="shared" ref="H261:H324" si="11">G261*1000</f>
        <v>87339.283377458982</v>
      </c>
    </row>
    <row r="262" spans="6:8" x14ac:dyDescent="0.25">
      <c r="F262" s="22">
        <v>2870</v>
      </c>
      <c r="G262" s="33">
        <f t="shared" si="10"/>
        <v>87.714628485932735</v>
      </c>
      <c r="H262" s="34">
        <f t="shared" si="11"/>
        <v>87714.628485932742</v>
      </c>
    </row>
    <row r="263" spans="6:8" x14ac:dyDescent="0.25">
      <c r="F263" s="22">
        <v>2880</v>
      </c>
      <c r="G263" s="33">
        <f t="shared" si="10"/>
        <v>88.090222464011489</v>
      </c>
      <c r="H263" s="34">
        <f t="shared" si="11"/>
        <v>88090.222464011487</v>
      </c>
    </row>
    <row r="264" spans="6:8" x14ac:dyDescent="0.25">
      <c r="F264" s="22">
        <v>2890</v>
      </c>
      <c r="G264" s="33">
        <f t="shared" si="10"/>
        <v>88.466065311695232</v>
      </c>
      <c r="H264" s="34">
        <f t="shared" si="11"/>
        <v>88466.065311695231</v>
      </c>
    </row>
    <row r="265" spans="6:8" x14ac:dyDescent="0.25">
      <c r="F265" s="22">
        <v>2900</v>
      </c>
      <c r="G265" s="33">
        <f t="shared" si="10"/>
        <v>88.842157028983991</v>
      </c>
      <c r="H265" s="34">
        <f t="shared" si="11"/>
        <v>88842.157028983987</v>
      </c>
    </row>
    <row r="266" spans="6:8" x14ac:dyDescent="0.25">
      <c r="F266" s="22">
        <v>2910</v>
      </c>
      <c r="G266" s="33">
        <f t="shared" si="10"/>
        <v>89.218497615877737</v>
      </c>
      <c r="H266" s="34">
        <f t="shared" si="11"/>
        <v>89218.497615877743</v>
      </c>
    </row>
    <row r="267" spans="6:8" x14ac:dyDescent="0.25">
      <c r="F267" s="22">
        <v>2920</v>
      </c>
      <c r="G267" s="33">
        <f t="shared" si="10"/>
        <v>89.595087072376487</v>
      </c>
      <c r="H267" s="34">
        <f t="shared" si="11"/>
        <v>89595.087072376482</v>
      </c>
    </row>
    <row r="268" spans="6:8" x14ac:dyDescent="0.25">
      <c r="F268" s="22">
        <v>2930</v>
      </c>
      <c r="G268" s="33">
        <f t="shared" si="10"/>
        <v>89.971925398480238</v>
      </c>
      <c r="H268" s="34">
        <f t="shared" si="11"/>
        <v>89971.925398480234</v>
      </c>
    </row>
    <row r="269" spans="6:8" x14ac:dyDescent="0.25">
      <c r="F269" s="22">
        <v>2940</v>
      </c>
      <c r="G269" s="33">
        <f t="shared" si="10"/>
        <v>90.349012594188991</v>
      </c>
      <c r="H269" s="34">
        <f t="shared" si="11"/>
        <v>90349.012594188986</v>
      </c>
    </row>
    <row r="270" spans="6:8" x14ac:dyDescent="0.25">
      <c r="F270" s="22">
        <v>2950</v>
      </c>
      <c r="G270" s="33">
        <f t="shared" si="10"/>
        <v>90.726348659502733</v>
      </c>
      <c r="H270" s="34">
        <f t="shared" si="11"/>
        <v>90726.348659502735</v>
      </c>
    </row>
    <row r="271" spans="6:8" x14ac:dyDescent="0.25">
      <c r="F271" s="22">
        <v>2960</v>
      </c>
      <c r="G271" s="33">
        <f t="shared" si="10"/>
        <v>91.103933594421491</v>
      </c>
      <c r="H271" s="34">
        <f t="shared" si="11"/>
        <v>91103.933594421498</v>
      </c>
    </row>
    <row r="272" spans="6:8" x14ac:dyDescent="0.25">
      <c r="F272" s="22">
        <v>2970</v>
      </c>
      <c r="G272" s="33">
        <f t="shared" si="10"/>
        <v>91.481767398945237</v>
      </c>
      <c r="H272" s="34">
        <f t="shared" si="11"/>
        <v>91481.767398945231</v>
      </c>
    </row>
    <row r="273" spans="6:8" x14ac:dyDescent="0.25">
      <c r="F273" s="22">
        <v>2980</v>
      </c>
      <c r="G273" s="33">
        <f t="shared" si="10"/>
        <v>91.859850073073986</v>
      </c>
      <c r="H273" s="34">
        <f t="shared" si="11"/>
        <v>91859.850073073991</v>
      </c>
    </row>
    <row r="274" spans="6:8" x14ac:dyDescent="0.25">
      <c r="F274" s="22">
        <v>2990</v>
      </c>
      <c r="G274" s="33">
        <f t="shared" si="10"/>
        <v>92.238181616807736</v>
      </c>
      <c r="H274" s="34">
        <f t="shared" si="11"/>
        <v>92238.181616807735</v>
      </c>
    </row>
    <row r="275" spans="6:8" x14ac:dyDescent="0.25">
      <c r="F275" s="22">
        <v>3000</v>
      </c>
      <c r="G275" s="33">
        <f t="shared" si="10"/>
        <v>92.616762030146489</v>
      </c>
      <c r="H275" s="34">
        <f t="shared" si="11"/>
        <v>92616.762030146492</v>
      </c>
    </row>
    <row r="276" spans="6:8" x14ac:dyDescent="0.25">
      <c r="F276" s="22">
        <v>3010</v>
      </c>
      <c r="G276" s="33">
        <f t="shared" si="10"/>
        <v>92.99559131309023</v>
      </c>
      <c r="H276" s="34">
        <f t="shared" si="11"/>
        <v>92995.591313090234</v>
      </c>
    </row>
    <row r="277" spans="6:8" x14ac:dyDescent="0.25">
      <c r="F277" s="22">
        <v>3020</v>
      </c>
      <c r="G277" s="33">
        <f t="shared" si="10"/>
        <v>93.374669465638988</v>
      </c>
      <c r="H277" s="34">
        <f t="shared" si="11"/>
        <v>93374.669465638988</v>
      </c>
    </row>
    <row r="278" spans="6:8" x14ac:dyDescent="0.25">
      <c r="F278" s="22">
        <v>3030</v>
      </c>
      <c r="G278" s="33">
        <f t="shared" si="10"/>
        <v>93.753996487792733</v>
      </c>
      <c r="H278" s="34">
        <f t="shared" si="11"/>
        <v>93753.996487792727</v>
      </c>
    </row>
    <row r="279" spans="6:8" x14ac:dyDescent="0.25">
      <c r="F279" s="22">
        <v>3040</v>
      </c>
      <c r="G279" s="33">
        <f t="shared" si="10"/>
        <v>94.133572379551481</v>
      </c>
      <c r="H279" s="34">
        <f t="shared" si="11"/>
        <v>94133.572379551479</v>
      </c>
    </row>
    <row r="280" spans="6:8" x14ac:dyDescent="0.25">
      <c r="F280" s="22">
        <v>3050</v>
      </c>
      <c r="G280" s="33">
        <f t="shared" si="10"/>
        <v>94.513397140915245</v>
      </c>
      <c r="H280" s="34">
        <f t="shared" si="11"/>
        <v>94513.397140915244</v>
      </c>
    </row>
    <row r="281" spans="6:8" x14ac:dyDescent="0.25">
      <c r="F281" s="22">
        <v>3060</v>
      </c>
      <c r="G281" s="33">
        <f t="shared" si="10"/>
        <v>94.893470771883983</v>
      </c>
      <c r="H281" s="34">
        <f t="shared" si="11"/>
        <v>94893.470771883978</v>
      </c>
    </row>
    <row r="282" spans="6:8" x14ac:dyDescent="0.25">
      <c r="F282" s="22">
        <v>3070</v>
      </c>
      <c r="G282" s="33">
        <f t="shared" si="10"/>
        <v>95.273793272457738</v>
      </c>
      <c r="H282" s="34">
        <f t="shared" si="11"/>
        <v>95273.79327245774</v>
      </c>
    </row>
    <row r="283" spans="6:8" x14ac:dyDescent="0.25">
      <c r="F283" s="22">
        <v>3080</v>
      </c>
      <c r="G283" s="33">
        <f t="shared" si="10"/>
        <v>95.654364642636494</v>
      </c>
      <c r="H283" s="34">
        <f t="shared" si="11"/>
        <v>95654.364642636501</v>
      </c>
    </row>
    <row r="284" spans="6:8" x14ac:dyDescent="0.25">
      <c r="F284" s="22">
        <v>3090</v>
      </c>
      <c r="G284" s="33">
        <f t="shared" si="10"/>
        <v>96.035184882420239</v>
      </c>
      <c r="H284" s="34">
        <f t="shared" si="11"/>
        <v>96035.184882420246</v>
      </c>
    </row>
    <row r="285" spans="6:8" x14ac:dyDescent="0.25">
      <c r="F285" s="22">
        <v>3100</v>
      </c>
      <c r="G285" s="33">
        <f t="shared" si="10"/>
        <v>96.416253991808986</v>
      </c>
      <c r="H285" s="34">
        <f t="shared" si="11"/>
        <v>96416.25399180899</v>
      </c>
    </row>
    <row r="286" spans="6:8" x14ac:dyDescent="0.25">
      <c r="F286" s="22">
        <v>3110</v>
      </c>
      <c r="G286" s="33">
        <f t="shared" si="10"/>
        <v>96.79757197080275</v>
      </c>
      <c r="H286" s="34">
        <f t="shared" si="11"/>
        <v>96797.571970802746</v>
      </c>
    </row>
    <row r="287" spans="6:8" x14ac:dyDescent="0.25">
      <c r="F287" s="22">
        <v>3120</v>
      </c>
      <c r="G287" s="33">
        <f t="shared" si="10"/>
        <v>97.179138819401487</v>
      </c>
      <c r="H287" s="34">
        <f t="shared" si="11"/>
        <v>97179.138819401487</v>
      </c>
    </row>
    <row r="288" spans="6:8" x14ac:dyDescent="0.25">
      <c r="F288" s="22">
        <v>3130</v>
      </c>
      <c r="G288" s="33">
        <f t="shared" si="10"/>
        <v>97.560954537605241</v>
      </c>
      <c r="H288" s="34">
        <f t="shared" si="11"/>
        <v>97560.954537605241</v>
      </c>
    </row>
    <row r="289" spans="6:8" x14ac:dyDescent="0.25">
      <c r="F289" s="22">
        <v>3140</v>
      </c>
      <c r="G289" s="33">
        <f t="shared" si="10"/>
        <v>97.943019125413983</v>
      </c>
      <c r="H289" s="34">
        <f t="shared" si="11"/>
        <v>97943.019125413979</v>
      </c>
    </row>
    <row r="290" spans="6:8" x14ac:dyDescent="0.25">
      <c r="F290" s="22">
        <v>3150</v>
      </c>
      <c r="G290" s="33">
        <f t="shared" si="10"/>
        <v>98.325332582827741</v>
      </c>
      <c r="H290" s="34">
        <f t="shared" si="11"/>
        <v>98325.332582827745</v>
      </c>
    </row>
    <row r="291" spans="6:8" x14ac:dyDescent="0.25">
      <c r="F291" s="22">
        <v>3160</v>
      </c>
      <c r="G291" s="33">
        <f t="shared" si="10"/>
        <v>98.707894909846488</v>
      </c>
      <c r="H291" s="34">
        <f t="shared" si="11"/>
        <v>98707.894909846495</v>
      </c>
    </row>
    <row r="292" spans="6:8" x14ac:dyDescent="0.25">
      <c r="F292" s="22">
        <v>3170</v>
      </c>
      <c r="G292" s="33">
        <f t="shared" si="10"/>
        <v>99.090706106470236</v>
      </c>
      <c r="H292" s="34">
        <f t="shared" si="11"/>
        <v>99090.706106470243</v>
      </c>
    </row>
    <row r="293" spans="6:8" x14ac:dyDescent="0.25">
      <c r="F293" s="22">
        <v>3180</v>
      </c>
      <c r="G293" s="33">
        <f t="shared" si="10"/>
        <v>99.473766172698987</v>
      </c>
      <c r="H293" s="34">
        <f t="shared" si="11"/>
        <v>99473.76617269899</v>
      </c>
    </row>
    <row r="294" spans="6:8" x14ac:dyDescent="0.25">
      <c r="F294" s="22">
        <v>3190</v>
      </c>
      <c r="G294" s="33">
        <f t="shared" si="10"/>
        <v>99.85707510853274</v>
      </c>
      <c r="H294" s="34">
        <f t="shared" si="11"/>
        <v>99857.075108532736</v>
      </c>
    </row>
    <row r="295" spans="6:8" x14ac:dyDescent="0.25">
      <c r="F295" s="22">
        <v>3200</v>
      </c>
      <c r="G295" s="33">
        <f t="shared" si="10"/>
        <v>100.24063291397148</v>
      </c>
      <c r="H295" s="34">
        <f t="shared" si="11"/>
        <v>100240.63291397148</v>
      </c>
    </row>
    <row r="296" spans="6:8" x14ac:dyDescent="0.25">
      <c r="F296" s="22">
        <v>3210</v>
      </c>
      <c r="G296" s="33">
        <f t="shared" si="10"/>
        <v>100.62443958901524</v>
      </c>
      <c r="H296" s="34">
        <f t="shared" si="11"/>
        <v>100624.43958901524</v>
      </c>
    </row>
    <row r="297" spans="6:8" x14ac:dyDescent="0.25">
      <c r="F297" s="22">
        <v>3220</v>
      </c>
      <c r="G297" s="33">
        <f t="shared" si="10"/>
        <v>101.00849513366398</v>
      </c>
      <c r="H297" s="34">
        <f t="shared" si="11"/>
        <v>101008.49513366398</v>
      </c>
    </row>
    <row r="298" spans="6:8" x14ac:dyDescent="0.25">
      <c r="F298" s="22">
        <v>3230</v>
      </c>
      <c r="G298" s="33">
        <f t="shared" si="10"/>
        <v>101.39279954791773</v>
      </c>
      <c r="H298" s="34">
        <f t="shared" si="11"/>
        <v>101392.79954791773</v>
      </c>
    </row>
    <row r="299" spans="6:8" x14ac:dyDescent="0.25">
      <c r="F299" s="22">
        <v>3240</v>
      </c>
      <c r="G299" s="33">
        <f t="shared" si="10"/>
        <v>101.77735283177648</v>
      </c>
      <c r="H299" s="34">
        <f t="shared" si="11"/>
        <v>101777.35283177649</v>
      </c>
    </row>
    <row r="300" spans="6:8" x14ac:dyDescent="0.25">
      <c r="F300" s="22">
        <v>3250</v>
      </c>
      <c r="G300" s="33">
        <f t="shared" si="10"/>
        <v>102.16215498524024</v>
      </c>
      <c r="H300" s="34">
        <f t="shared" si="11"/>
        <v>102162.15498524024</v>
      </c>
    </row>
    <row r="301" spans="6:8" x14ac:dyDescent="0.25">
      <c r="F301" s="22">
        <v>3260</v>
      </c>
      <c r="G301" s="33">
        <f t="shared" si="10"/>
        <v>102.54720600830898</v>
      </c>
      <c r="H301" s="34">
        <f t="shared" si="11"/>
        <v>102547.20600830897</v>
      </c>
    </row>
    <row r="302" spans="6:8" x14ac:dyDescent="0.25">
      <c r="F302" s="22">
        <v>3270</v>
      </c>
      <c r="G302" s="33">
        <f t="shared" si="10"/>
        <v>102.93250590098275</v>
      </c>
      <c r="H302" s="34">
        <f t="shared" si="11"/>
        <v>102932.50590098275</v>
      </c>
    </row>
    <row r="303" spans="6:8" x14ac:dyDescent="0.25">
      <c r="F303" s="22">
        <v>3280</v>
      </c>
      <c r="G303" s="33">
        <f t="shared" si="10"/>
        <v>103.31805466326149</v>
      </c>
      <c r="H303" s="34">
        <f t="shared" si="11"/>
        <v>103318.05466326149</v>
      </c>
    </row>
    <row r="304" spans="6:8" x14ac:dyDescent="0.25">
      <c r="F304" s="22">
        <v>3290</v>
      </c>
      <c r="G304" s="33">
        <f t="shared" si="10"/>
        <v>103.70385229514523</v>
      </c>
      <c r="H304" s="34">
        <f t="shared" si="11"/>
        <v>103703.85229514522</v>
      </c>
    </row>
    <row r="305" spans="6:8" x14ac:dyDescent="0.25">
      <c r="F305" s="22">
        <v>3300</v>
      </c>
      <c r="G305" s="33">
        <f t="shared" si="10"/>
        <v>104.08989879663399</v>
      </c>
      <c r="H305" s="34">
        <f t="shared" si="11"/>
        <v>104089.89879663399</v>
      </c>
    </row>
    <row r="306" spans="6:8" x14ac:dyDescent="0.25">
      <c r="F306" s="22">
        <v>3310</v>
      </c>
      <c r="G306" s="33">
        <f t="shared" si="10"/>
        <v>104.47619416772774</v>
      </c>
      <c r="H306" s="34">
        <f t="shared" si="11"/>
        <v>104476.19416772774</v>
      </c>
    </row>
    <row r="307" spans="6:8" x14ac:dyDescent="0.25">
      <c r="F307" s="22">
        <v>3320</v>
      </c>
      <c r="G307" s="33">
        <f t="shared" si="10"/>
        <v>104.86273840842648</v>
      </c>
      <c r="H307" s="34">
        <f t="shared" si="11"/>
        <v>104862.73840842648</v>
      </c>
    </row>
    <row r="308" spans="6:8" x14ac:dyDescent="0.25">
      <c r="F308" s="22">
        <v>3330</v>
      </c>
      <c r="G308" s="33">
        <f t="shared" si="10"/>
        <v>105.24953151873024</v>
      </c>
      <c r="H308" s="34">
        <f t="shared" si="11"/>
        <v>105249.53151873023</v>
      </c>
    </row>
    <row r="309" spans="6:8" x14ac:dyDescent="0.25">
      <c r="F309" s="22">
        <v>3340</v>
      </c>
      <c r="G309" s="33">
        <f t="shared" si="10"/>
        <v>105.63657349863898</v>
      </c>
      <c r="H309" s="34">
        <f t="shared" si="11"/>
        <v>105636.57349863899</v>
      </c>
    </row>
    <row r="310" spans="6:8" x14ac:dyDescent="0.25">
      <c r="F310" s="22">
        <v>3350</v>
      </c>
      <c r="G310" s="33">
        <f t="shared" si="10"/>
        <v>106.02386434815273</v>
      </c>
      <c r="H310" s="34">
        <f t="shared" si="11"/>
        <v>106023.86434815273</v>
      </c>
    </row>
    <row r="311" spans="6:8" x14ac:dyDescent="0.25">
      <c r="F311" s="22">
        <v>3360</v>
      </c>
      <c r="G311" s="33">
        <f t="shared" si="10"/>
        <v>106.41140406727149</v>
      </c>
      <c r="H311" s="34">
        <f t="shared" si="11"/>
        <v>106411.40406727149</v>
      </c>
    </row>
    <row r="312" spans="6:8" x14ac:dyDescent="0.25">
      <c r="F312" s="22">
        <v>3370</v>
      </c>
      <c r="G312" s="33">
        <f t="shared" si="10"/>
        <v>106.79919265599524</v>
      </c>
      <c r="H312" s="34">
        <f t="shared" si="11"/>
        <v>106799.19265599524</v>
      </c>
    </row>
    <row r="313" spans="6:8" x14ac:dyDescent="0.25">
      <c r="F313" s="22">
        <v>3380</v>
      </c>
      <c r="G313" s="33">
        <f t="shared" si="10"/>
        <v>107.18723011432398</v>
      </c>
      <c r="H313" s="34">
        <f t="shared" si="11"/>
        <v>107187.23011432397</v>
      </c>
    </row>
    <row r="314" spans="6:8" x14ac:dyDescent="0.25">
      <c r="F314" s="22">
        <v>3390</v>
      </c>
      <c r="G314" s="33">
        <f t="shared" si="10"/>
        <v>107.57551644225774</v>
      </c>
      <c r="H314" s="34">
        <f t="shared" si="11"/>
        <v>107575.51644225774</v>
      </c>
    </row>
    <row r="315" spans="6:8" x14ac:dyDescent="0.25">
      <c r="F315" s="22">
        <v>3400</v>
      </c>
      <c r="G315" s="33">
        <f t="shared" si="10"/>
        <v>107.96405163979648</v>
      </c>
      <c r="H315" s="34">
        <f t="shared" si="11"/>
        <v>107964.05163979648</v>
      </c>
    </row>
    <row r="316" spans="6:8" x14ac:dyDescent="0.25">
      <c r="F316" s="22">
        <v>3410</v>
      </c>
      <c r="G316" s="33">
        <f t="shared" si="10"/>
        <v>108.35283570694023</v>
      </c>
      <c r="H316" s="34">
        <f t="shared" si="11"/>
        <v>108352.83570694023</v>
      </c>
    </row>
    <row r="317" spans="6:8" x14ac:dyDescent="0.25">
      <c r="F317" s="22">
        <v>3420</v>
      </c>
      <c r="G317" s="33">
        <f t="shared" si="10"/>
        <v>108.74186864368899</v>
      </c>
      <c r="H317" s="34">
        <f t="shared" si="11"/>
        <v>108741.86864368898</v>
      </c>
    </row>
    <row r="318" spans="6:8" x14ac:dyDescent="0.25">
      <c r="F318" s="22">
        <v>3430</v>
      </c>
      <c r="G318" s="33">
        <f t="shared" si="10"/>
        <v>109.13115045004274</v>
      </c>
      <c r="H318" s="34">
        <f t="shared" si="11"/>
        <v>109131.15045004274</v>
      </c>
    </row>
    <row r="319" spans="6:8" x14ac:dyDescent="0.25">
      <c r="F319" s="22">
        <v>3440</v>
      </c>
      <c r="G319" s="33">
        <f t="shared" si="10"/>
        <v>109.52068112600148</v>
      </c>
      <c r="H319" s="34">
        <f t="shared" si="11"/>
        <v>109520.68112600148</v>
      </c>
    </row>
    <row r="320" spans="6:8" x14ac:dyDescent="0.25">
      <c r="F320" s="22">
        <v>3450</v>
      </c>
      <c r="G320" s="33">
        <f t="shared" si="10"/>
        <v>109.91046067156525</v>
      </c>
      <c r="H320" s="34">
        <f t="shared" si="11"/>
        <v>109910.46067156525</v>
      </c>
    </row>
    <row r="321" spans="6:8" x14ac:dyDescent="0.25">
      <c r="F321" s="22">
        <v>3460</v>
      </c>
      <c r="G321" s="33">
        <f t="shared" si="10"/>
        <v>110.30048908673399</v>
      </c>
      <c r="H321" s="34">
        <f t="shared" si="11"/>
        <v>110300.48908673399</v>
      </c>
    </row>
    <row r="322" spans="6:8" x14ac:dyDescent="0.25">
      <c r="F322" s="22">
        <v>3470</v>
      </c>
      <c r="G322" s="33">
        <f t="shared" si="10"/>
        <v>110.69076637150773</v>
      </c>
      <c r="H322" s="34">
        <f t="shared" si="11"/>
        <v>110690.76637150774</v>
      </c>
    </row>
    <row r="323" spans="6:8" x14ac:dyDescent="0.25">
      <c r="F323" s="22">
        <v>3480</v>
      </c>
      <c r="G323" s="33">
        <f t="shared" si="10"/>
        <v>111.0812925258865</v>
      </c>
      <c r="H323" s="34">
        <f t="shared" si="11"/>
        <v>111081.2925258865</v>
      </c>
    </row>
    <row r="324" spans="6:8" x14ac:dyDescent="0.25">
      <c r="F324" s="22">
        <v>3490</v>
      </c>
      <c r="G324" s="33">
        <f t="shared" si="10"/>
        <v>111.47206754987023</v>
      </c>
      <c r="H324" s="34">
        <f t="shared" si="11"/>
        <v>111472.06754987023</v>
      </c>
    </row>
    <row r="325" spans="6:8" x14ac:dyDescent="0.25">
      <c r="F325" s="22">
        <v>3500</v>
      </c>
      <c r="G325" s="33">
        <f t="shared" ref="G325" si="12">0.000001244348025*F325^2 + 0.030404396664125*F325 - 9.79556018722852</f>
        <v>111.86309144345898</v>
      </c>
      <c r="H325" s="34">
        <f t="shared" ref="H325" si="13">G325*1000</f>
        <v>111863.09144345898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2EB31-A7DA-45C9-9825-0576BF6D2C07}">
  <dimension ref="B1:H325"/>
  <sheetViews>
    <sheetView workbookViewId="0">
      <selection activeCell="W15" sqref="W15"/>
    </sheetView>
  </sheetViews>
  <sheetFormatPr defaultRowHeight="15" x14ac:dyDescent="0.25"/>
  <cols>
    <col min="3" max="3" width="18.5703125" bestFit="1" customWidth="1"/>
    <col min="4" max="4" width="17.85546875" bestFit="1" customWidth="1"/>
    <col min="7" max="7" width="22.7109375" bestFit="1" customWidth="1"/>
    <col min="8" max="8" width="22" bestFit="1" customWidth="1"/>
  </cols>
  <sheetData>
    <row r="1" spans="2:8" x14ac:dyDescent="0.25">
      <c r="D1" s="8"/>
    </row>
    <row r="2" spans="2:8" x14ac:dyDescent="0.25">
      <c r="D2" s="8"/>
    </row>
    <row r="3" spans="2:8" x14ac:dyDescent="0.25">
      <c r="B3" s="18" t="s">
        <v>27</v>
      </c>
      <c r="C3" s="18" t="s">
        <v>28</v>
      </c>
      <c r="D3" s="18" t="s">
        <v>29</v>
      </c>
      <c r="E3" s="11"/>
      <c r="F3" s="18" t="s">
        <v>27</v>
      </c>
      <c r="G3" s="18" t="s">
        <v>50</v>
      </c>
      <c r="H3" s="29" t="s">
        <v>49</v>
      </c>
    </row>
    <row r="4" spans="2:8" x14ac:dyDescent="0.25">
      <c r="B4" s="19">
        <v>298</v>
      </c>
      <c r="C4" s="19">
        <v>0</v>
      </c>
      <c r="D4" s="19">
        <f>C4*1000</f>
        <v>0</v>
      </c>
      <c r="F4" s="19">
        <v>298</v>
      </c>
      <c r="G4" s="33">
        <f xml:space="preserve"> 0.000001425377114*F4^2 + 0.031786970059931*F4 - 10.2147910519178</f>
        <v>-0.61569478482670625</v>
      </c>
      <c r="H4" s="34">
        <f>G4*1000</f>
        <v>-615.69478482670627</v>
      </c>
    </row>
    <row r="5" spans="2:8" x14ac:dyDescent="0.25">
      <c r="B5" s="19">
        <v>300</v>
      </c>
      <c r="C5" s="19">
        <v>0.05</v>
      </c>
      <c r="D5" s="19">
        <f t="shared" ref="D5:D68" si="0">C5*1000</f>
        <v>50</v>
      </c>
      <c r="F5" s="22">
        <v>300</v>
      </c>
      <c r="G5" s="33">
        <f t="shared" ref="G5:G68" si="1" xml:space="preserve"> 0.000001425377114*F5^2 + 0.031786970059931*F5 - 10.2147910519178</f>
        <v>-0.55041609367849986</v>
      </c>
      <c r="H5" s="34">
        <f t="shared" ref="H5:H68" si="2">G5*1000</f>
        <v>-550.41609367849992</v>
      </c>
    </row>
    <row r="6" spans="2:8" x14ac:dyDescent="0.25">
      <c r="B6" s="19">
        <v>350</v>
      </c>
      <c r="C6" s="19">
        <v>1.53</v>
      </c>
      <c r="D6" s="19">
        <f t="shared" si="0"/>
        <v>1530</v>
      </c>
      <c r="F6" s="22">
        <v>310</v>
      </c>
      <c r="G6" s="33">
        <f t="shared" si="1"/>
        <v>-0.22385159268378985</v>
      </c>
      <c r="H6" s="34">
        <f t="shared" si="2"/>
        <v>-223.85159268378985</v>
      </c>
    </row>
    <row r="7" spans="2:8" x14ac:dyDescent="0.25">
      <c r="B7" s="19">
        <v>400</v>
      </c>
      <c r="C7" s="19">
        <v>3.03</v>
      </c>
      <c r="D7" s="19">
        <f t="shared" si="0"/>
        <v>3030</v>
      </c>
      <c r="F7" s="22">
        <v>320</v>
      </c>
      <c r="G7" s="33">
        <f t="shared" si="1"/>
        <v>0.10299798373372049</v>
      </c>
      <c r="H7" s="34">
        <f t="shared" si="2"/>
        <v>102.99798373372049</v>
      </c>
    </row>
    <row r="8" spans="2:8" x14ac:dyDescent="0.25">
      <c r="B8" s="19">
        <v>450</v>
      </c>
      <c r="C8" s="19">
        <v>4.55</v>
      </c>
      <c r="D8" s="19">
        <f t="shared" si="0"/>
        <v>4550</v>
      </c>
      <c r="F8" s="22">
        <v>330</v>
      </c>
      <c r="G8" s="33">
        <f t="shared" si="1"/>
        <v>0.43013263557403114</v>
      </c>
      <c r="H8" s="34">
        <f t="shared" si="2"/>
        <v>430.13263557403116</v>
      </c>
    </row>
    <row r="9" spans="2:8" x14ac:dyDescent="0.25">
      <c r="B9" s="19">
        <v>500</v>
      </c>
      <c r="C9" s="19">
        <v>6.1</v>
      </c>
      <c r="D9" s="19">
        <f t="shared" si="0"/>
        <v>6100</v>
      </c>
      <c r="F9" s="22">
        <v>340</v>
      </c>
      <c r="G9" s="33">
        <f t="shared" si="1"/>
        <v>0.75755236283714034</v>
      </c>
      <c r="H9" s="34">
        <f t="shared" si="2"/>
        <v>757.55236283714032</v>
      </c>
    </row>
    <row r="10" spans="2:8" x14ac:dyDescent="0.25">
      <c r="B10" s="19">
        <v>550</v>
      </c>
      <c r="C10" s="19">
        <v>7.66</v>
      </c>
      <c r="D10" s="19">
        <f t="shared" si="0"/>
        <v>7660</v>
      </c>
      <c r="F10" s="22">
        <v>350</v>
      </c>
      <c r="G10" s="33">
        <f t="shared" si="1"/>
        <v>1.0852571655230516</v>
      </c>
      <c r="H10" s="34">
        <f t="shared" si="2"/>
        <v>1085.2571655230515</v>
      </c>
    </row>
    <row r="11" spans="2:8" x14ac:dyDescent="0.25">
      <c r="B11" s="19">
        <v>600</v>
      </c>
      <c r="C11" s="19">
        <v>9.25</v>
      </c>
      <c r="D11" s="19">
        <f t="shared" si="0"/>
        <v>9250</v>
      </c>
      <c r="F11" s="22">
        <v>360</v>
      </c>
      <c r="G11" s="33">
        <f t="shared" si="1"/>
        <v>1.4132470436317615</v>
      </c>
      <c r="H11" s="34">
        <f t="shared" si="2"/>
        <v>1413.2470436317615</v>
      </c>
    </row>
    <row r="12" spans="2:8" x14ac:dyDescent="0.25">
      <c r="B12" s="19">
        <v>650</v>
      </c>
      <c r="C12" s="19">
        <v>10.87</v>
      </c>
      <c r="D12" s="19">
        <f t="shared" si="0"/>
        <v>10870</v>
      </c>
      <c r="F12" s="22">
        <v>370</v>
      </c>
      <c r="G12" s="33">
        <f t="shared" si="1"/>
        <v>1.7415219971632716</v>
      </c>
      <c r="H12" s="34">
        <f t="shared" si="2"/>
        <v>1741.5219971632716</v>
      </c>
    </row>
    <row r="13" spans="2:8" x14ac:dyDescent="0.25">
      <c r="B13" s="19">
        <v>700</v>
      </c>
      <c r="C13" s="19">
        <v>12.5</v>
      </c>
      <c r="D13" s="19">
        <f t="shared" si="0"/>
        <v>12500</v>
      </c>
      <c r="F13" s="22">
        <v>380</v>
      </c>
      <c r="G13" s="33">
        <f t="shared" si="1"/>
        <v>2.0700820261175821</v>
      </c>
      <c r="H13" s="34">
        <f t="shared" si="2"/>
        <v>2070.0820261175822</v>
      </c>
    </row>
    <row r="14" spans="2:8" x14ac:dyDescent="0.25">
      <c r="B14" s="19">
        <v>750</v>
      </c>
      <c r="C14" s="19">
        <v>14.16</v>
      </c>
      <c r="D14" s="19">
        <f t="shared" si="0"/>
        <v>14160</v>
      </c>
      <c r="F14" s="22">
        <v>390</v>
      </c>
      <c r="G14" s="33">
        <f t="shared" si="1"/>
        <v>2.3989271304946911</v>
      </c>
      <c r="H14" s="34">
        <f t="shared" si="2"/>
        <v>2398.927130494691</v>
      </c>
    </row>
    <row r="15" spans="2:8" x14ac:dyDescent="0.25">
      <c r="B15" s="19">
        <v>800</v>
      </c>
      <c r="C15" s="19">
        <v>15.84</v>
      </c>
      <c r="D15" s="19">
        <f t="shared" si="0"/>
        <v>15840</v>
      </c>
      <c r="F15" s="22">
        <v>400</v>
      </c>
      <c r="G15" s="33">
        <f t="shared" si="1"/>
        <v>2.7280573102946022</v>
      </c>
      <c r="H15" s="34">
        <f t="shared" si="2"/>
        <v>2728.0573102946023</v>
      </c>
    </row>
    <row r="16" spans="2:8" x14ac:dyDescent="0.25">
      <c r="B16" s="19">
        <v>850</v>
      </c>
      <c r="C16" s="19">
        <v>17.53</v>
      </c>
      <c r="D16" s="19">
        <f t="shared" si="0"/>
        <v>17530</v>
      </c>
      <c r="F16" s="22">
        <v>410</v>
      </c>
      <c r="G16" s="33">
        <f t="shared" si="1"/>
        <v>3.0574725655173118</v>
      </c>
      <c r="H16" s="34">
        <f t="shared" si="2"/>
        <v>3057.472565517312</v>
      </c>
    </row>
    <row r="17" spans="2:8" x14ac:dyDescent="0.25">
      <c r="B17" s="19">
        <v>900</v>
      </c>
      <c r="C17" s="19">
        <v>19.25</v>
      </c>
      <c r="D17" s="19">
        <f t="shared" si="0"/>
        <v>19250</v>
      </c>
      <c r="F17" s="22">
        <v>420</v>
      </c>
      <c r="G17" s="33">
        <f t="shared" si="1"/>
        <v>3.3871728961628218</v>
      </c>
      <c r="H17" s="34">
        <f t="shared" si="2"/>
        <v>3387.1728961628219</v>
      </c>
    </row>
    <row r="18" spans="2:8" x14ac:dyDescent="0.25">
      <c r="B18" s="19">
        <v>950</v>
      </c>
      <c r="C18" s="19">
        <v>20.98</v>
      </c>
      <c r="D18" s="19">
        <f t="shared" si="0"/>
        <v>20980</v>
      </c>
      <c r="F18" s="22">
        <v>430</v>
      </c>
      <c r="G18" s="33">
        <f t="shared" si="1"/>
        <v>3.7171583022311321</v>
      </c>
      <c r="H18" s="34">
        <f t="shared" si="2"/>
        <v>3717.158302231132</v>
      </c>
    </row>
    <row r="19" spans="2:8" x14ac:dyDescent="0.25">
      <c r="B19" s="19">
        <v>1000</v>
      </c>
      <c r="C19" s="19">
        <v>22.72</v>
      </c>
      <c r="D19" s="19">
        <f t="shared" si="0"/>
        <v>22720</v>
      </c>
      <c r="F19" s="22">
        <v>440</v>
      </c>
      <c r="G19" s="33">
        <f t="shared" si="1"/>
        <v>4.0474287837222427</v>
      </c>
      <c r="H19" s="34">
        <f t="shared" si="2"/>
        <v>4047.4287837222428</v>
      </c>
    </row>
    <row r="20" spans="2:8" x14ac:dyDescent="0.25">
      <c r="B20" s="19">
        <v>1050</v>
      </c>
      <c r="C20" s="19">
        <v>24.47</v>
      </c>
      <c r="D20" s="19">
        <f t="shared" si="0"/>
        <v>24470</v>
      </c>
      <c r="F20" s="22">
        <v>450</v>
      </c>
      <c r="G20" s="33">
        <f t="shared" si="1"/>
        <v>4.3779843406361518</v>
      </c>
      <c r="H20" s="34">
        <f t="shared" si="2"/>
        <v>4377.9843406361515</v>
      </c>
    </row>
    <row r="21" spans="2:8" x14ac:dyDescent="0.25">
      <c r="B21" s="19">
        <v>1100</v>
      </c>
      <c r="C21" s="19">
        <v>26.23</v>
      </c>
      <c r="D21" s="19">
        <f t="shared" si="0"/>
        <v>26230</v>
      </c>
      <c r="F21" s="22">
        <v>460</v>
      </c>
      <c r="G21" s="33">
        <f t="shared" si="1"/>
        <v>4.7088249729728613</v>
      </c>
      <c r="H21" s="34">
        <f t="shared" si="2"/>
        <v>4708.8249729728614</v>
      </c>
    </row>
    <row r="22" spans="2:8" x14ac:dyDescent="0.25">
      <c r="B22" s="19">
        <v>1150</v>
      </c>
      <c r="C22" s="19">
        <v>28</v>
      </c>
      <c r="D22" s="19">
        <f t="shared" si="0"/>
        <v>28000</v>
      </c>
      <c r="F22" s="22">
        <v>470</v>
      </c>
      <c r="G22" s="33">
        <f t="shared" si="1"/>
        <v>5.0399506807323728</v>
      </c>
      <c r="H22" s="34">
        <f t="shared" si="2"/>
        <v>5039.9506807323733</v>
      </c>
    </row>
    <row r="23" spans="2:8" x14ac:dyDescent="0.25">
      <c r="B23" s="19">
        <v>1200</v>
      </c>
      <c r="C23" s="19">
        <v>29.77</v>
      </c>
      <c r="D23" s="19">
        <f t="shared" si="0"/>
        <v>29770</v>
      </c>
      <c r="F23" s="22">
        <v>480</v>
      </c>
      <c r="G23" s="33">
        <f t="shared" si="1"/>
        <v>5.3713614639146812</v>
      </c>
      <c r="H23" s="34">
        <f t="shared" si="2"/>
        <v>5371.3614639146808</v>
      </c>
    </row>
    <row r="24" spans="2:8" x14ac:dyDescent="0.25">
      <c r="B24" s="19">
        <v>1250</v>
      </c>
      <c r="C24" s="19">
        <v>31.56</v>
      </c>
      <c r="D24" s="19">
        <f t="shared" si="0"/>
        <v>31560</v>
      </c>
      <c r="F24" s="22">
        <v>490</v>
      </c>
      <c r="G24" s="33">
        <f t="shared" si="1"/>
        <v>5.7030573225197898</v>
      </c>
      <c r="H24" s="34">
        <f t="shared" si="2"/>
        <v>5703.0573225197895</v>
      </c>
    </row>
    <row r="25" spans="2:8" x14ac:dyDescent="0.25">
      <c r="B25" s="19">
        <v>1300</v>
      </c>
      <c r="C25" s="19">
        <v>33.35</v>
      </c>
      <c r="D25" s="19">
        <f t="shared" si="0"/>
        <v>33350</v>
      </c>
      <c r="F25" s="22">
        <v>500</v>
      </c>
      <c r="G25" s="33">
        <f t="shared" si="1"/>
        <v>6.0350382565477005</v>
      </c>
      <c r="H25" s="34">
        <f t="shared" si="2"/>
        <v>6035.0382565477003</v>
      </c>
    </row>
    <row r="26" spans="2:8" x14ac:dyDescent="0.25">
      <c r="B26" s="19">
        <v>1350</v>
      </c>
      <c r="C26" s="19">
        <v>35.15</v>
      </c>
      <c r="D26" s="19">
        <f t="shared" si="0"/>
        <v>35150</v>
      </c>
      <c r="F26" s="22">
        <v>510</v>
      </c>
      <c r="G26" s="33">
        <f t="shared" si="1"/>
        <v>6.3673042659984098</v>
      </c>
      <c r="H26" s="34">
        <f t="shared" si="2"/>
        <v>6367.3042659984094</v>
      </c>
    </row>
    <row r="27" spans="2:8" x14ac:dyDescent="0.25">
      <c r="B27" s="19">
        <v>1400</v>
      </c>
      <c r="C27" s="19">
        <v>36.950000000000003</v>
      </c>
      <c r="D27" s="19">
        <f t="shared" si="0"/>
        <v>36950</v>
      </c>
      <c r="F27" s="22">
        <v>520</v>
      </c>
      <c r="G27" s="33">
        <f t="shared" si="1"/>
        <v>6.6998553508719212</v>
      </c>
      <c r="H27" s="34">
        <f t="shared" si="2"/>
        <v>6699.8553508719215</v>
      </c>
    </row>
    <row r="28" spans="2:8" x14ac:dyDescent="0.25">
      <c r="B28" s="19">
        <v>1450</v>
      </c>
      <c r="C28" s="19">
        <v>38.770000000000003</v>
      </c>
      <c r="D28" s="19">
        <f t="shared" si="0"/>
        <v>38770</v>
      </c>
      <c r="F28" s="22">
        <v>530</v>
      </c>
      <c r="G28" s="33">
        <f t="shared" si="1"/>
        <v>7.0326915111682311</v>
      </c>
      <c r="H28" s="34">
        <f t="shared" si="2"/>
        <v>7032.691511168231</v>
      </c>
    </row>
    <row r="29" spans="2:8" x14ac:dyDescent="0.25">
      <c r="B29" s="19">
        <v>1500</v>
      </c>
      <c r="C29" s="19">
        <v>40.590000000000003</v>
      </c>
      <c r="D29" s="19">
        <f t="shared" si="0"/>
        <v>40590</v>
      </c>
      <c r="F29" s="22">
        <v>540</v>
      </c>
      <c r="G29" s="33">
        <f t="shared" si="1"/>
        <v>7.3658127468873396</v>
      </c>
      <c r="H29" s="34">
        <f t="shared" si="2"/>
        <v>7365.8127468873399</v>
      </c>
    </row>
    <row r="30" spans="2:8" x14ac:dyDescent="0.25">
      <c r="B30" s="19">
        <v>1550</v>
      </c>
      <c r="C30" s="19">
        <v>42.42</v>
      </c>
      <c r="D30" s="19">
        <f t="shared" si="0"/>
        <v>42420</v>
      </c>
      <c r="F30" s="22">
        <v>550</v>
      </c>
      <c r="G30" s="33">
        <f t="shared" si="1"/>
        <v>7.6992190580292501</v>
      </c>
      <c r="H30" s="34">
        <f t="shared" si="2"/>
        <v>7699.2190580292499</v>
      </c>
    </row>
    <row r="31" spans="2:8" x14ac:dyDescent="0.25">
      <c r="B31" s="19">
        <v>1600</v>
      </c>
      <c r="C31" s="19">
        <v>44.25</v>
      </c>
      <c r="D31" s="19">
        <f t="shared" si="0"/>
        <v>44250</v>
      </c>
      <c r="F31" s="22">
        <v>560</v>
      </c>
      <c r="G31" s="33">
        <f t="shared" si="1"/>
        <v>8.0329104445939628</v>
      </c>
      <c r="H31" s="34">
        <f t="shared" si="2"/>
        <v>8032.9104445939629</v>
      </c>
    </row>
    <row r="32" spans="2:8" x14ac:dyDescent="0.25">
      <c r="B32" s="19">
        <v>1650</v>
      </c>
      <c r="C32" s="19">
        <v>46.09</v>
      </c>
      <c r="D32" s="19">
        <f t="shared" si="0"/>
        <v>46090</v>
      </c>
      <c r="F32" s="22">
        <v>570</v>
      </c>
      <c r="G32" s="33">
        <f t="shared" si="1"/>
        <v>8.3668869065814704</v>
      </c>
      <c r="H32" s="34">
        <f t="shared" si="2"/>
        <v>8366.8869065814706</v>
      </c>
    </row>
    <row r="33" spans="2:8" x14ac:dyDescent="0.25">
      <c r="B33" s="19">
        <v>1700</v>
      </c>
      <c r="C33" s="19">
        <v>47.94</v>
      </c>
      <c r="D33" s="19">
        <f t="shared" si="0"/>
        <v>47940</v>
      </c>
      <c r="F33" s="22">
        <v>580</v>
      </c>
      <c r="G33" s="33">
        <f t="shared" si="1"/>
        <v>8.7011484439917801</v>
      </c>
      <c r="H33" s="34">
        <f t="shared" si="2"/>
        <v>8701.1484439917804</v>
      </c>
    </row>
    <row r="34" spans="2:8" x14ac:dyDescent="0.25">
      <c r="B34" s="19">
        <v>1750</v>
      </c>
      <c r="C34" s="19">
        <v>49.8</v>
      </c>
      <c r="D34" s="19">
        <f t="shared" si="0"/>
        <v>49800</v>
      </c>
      <c r="F34" s="22">
        <v>590</v>
      </c>
      <c r="G34" s="33">
        <f t="shared" si="1"/>
        <v>9.0356950568248919</v>
      </c>
      <c r="H34" s="34">
        <f t="shared" si="2"/>
        <v>9035.6950568248922</v>
      </c>
    </row>
    <row r="35" spans="2:8" x14ac:dyDescent="0.25">
      <c r="B35" s="19">
        <v>1800</v>
      </c>
      <c r="C35" s="19">
        <v>51.66</v>
      </c>
      <c r="D35" s="19">
        <f t="shared" si="0"/>
        <v>51660</v>
      </c>
      <c r="F35" s="22">
        <v>600</v>
      </c>
      <c r="G35" s="33">
        <f t="shared" si="1"/>
        <v>9.3705267450808023</v>
      </c>
      <c r="H35" s="34">
        <f t="shared" si="2"/>
        <v>9370.5267450808024</v>
      </c>
    </row>
    <row r="36" spans="2:8" x14ac:dyDescent="0.25">
      <c r="B36" s="19">
        <v>1850</v>
      </c>
      <c r="C36" s="19">
        <v>53.53</v>
      </c>
      <c r="D36" s="19">
        <f t="shared" si="0"/>
        <v>53530</v>
      </c>
      <c r="F36" s="22">
        <v>610</v>
      </c>
      <c r="G36" s="33">
        <f t="shared" si="1"/>
        <v>9.7056435087595112</v>
      </c>
      <c r="H36" s="34">
        <f t="shared" si="2"/>
        <v>9705.643508759511</v>
      </c>
    </row>
    <row r="37" spans="2:8" x14ac:dyDescent="0.25">
      <c r="B37" s="19">
        <v>1900</v>
      </c>
      <c r="C37" s="19">
        <v>55.4</v>
      </c>
      <c r="D37" s="19">
        <f t="shared" si="0"/>
        <v>55400</v>
      </c>
      <c r="F37" s="22">
        <v>620</v>
      </c>
      <c r="G37" s="33">
        <f t="shared" si="1"/>
        <v>10.041045347861022</v>
      </c>
      <c r="H37" s="34">
        <f t="shared" si="2"/>
        <v>10041.045347861022</v>
      </c>
    </row>
    <row r="38" spans="2:8" x14ac:dyDescent="0.25">
      <c r="B38" s="19">
        <v>1950</v>
      </c>
      <c r="C38" s="19">
        <v>57.28</v>
      </c>
      <c r="D38" s="19">
        <f t="shared" si="0"/>
        <v>57280</v>
      </c>
      <c r="F38" s="22">
        <v>630</v>
      </c>
      <c r="G38" s="33">
        <f t="shared" si="1"/>
        <v>10.376732262385332</v>
      </c>
      <c r="H38" s="34">
        <f t="shared" si="2"/>
        <v>10376.732262385332</v>
      </c>
    </row>
    <row r="39" spans="2:8" x14ac:dyDescent="0.25">
      <c r="B39" s="19">
        <v>2000</v>
      </c>
      <c r="C39" s="19">
        <v>59.17</v>
      </c>
      <c r="D39" s="19">
        <f t="shared" si="0"/>
        <v>59170</v>
      </c>
      <c r="F39" s="22">
        <v>640</v>
      </c>
      <c r="G39" s="33">
        <f t="shared" si="1"/>
        <v>10.712704252332443</v>
      </c>
      <c r="H39" s="34">
        <f t="shared" si="2"/>
        <v>10712.704252332444</v>
      </c>
    </row>
    <row r="40" spans="2:8" x14ac:dyDescent="0.25">
      <c r="B40" s="19">
        <v>2050</v>
      </c>
      <c r="C40" s="19">
        <v>61.06</v>
      </c>
      <c r="D40" s="19">
        <f t="shared" si="0"/>
        <v>61060</v>
      </c>
      <c r="F40" s="22">
        <v>650</v>
      </c>
      <c r="G40" s="33">
        <f t="shared" si="1"/>
        <v>11.04896131770235</v>
      </c>
      <c r="H40" s="34">
        <f t="shared" si="2"/>
        <v>11048.961317702349</v>
      </c>
    </row>
    <row r="41" spans="2:8" x14ac:dyDescent="0.25">
      <c r="B41" s="19">
        <v>2100</v>
      </c>
      <c r="C41" s="19">
        <v>62.96</v>
      </c>
      <c r="D41" s="19">
        <f t="shared" si="0"/>
        <v>62960</v>
      </c>
      <c r="F41" s="22">
        <v>660</v>
      </c>
      <c r="G41" s="33">
        <f t="shared" si="1"/>
        <v>11.385503458495062</v>
      </c>
      <c r="H41" s="34">
        <f t="shared" si="2"/>
        <v>11385.503458495063</v>
      </c>
    </row>
    <row r="42" spans="2:8" x14ac:dyDescent="0.25">
      <c r="B42" s="19">
        <v>2150</v>
      </c>
      <c r="C42" s="19">
        <v>64.86</v>
      </c>
      <c r="D42" s="19">
        <f t="shared" si="0"/>
        <v>64860</v>
      </c>
      <c r="F42" s="22">
        <v>670</v>
      </c>
      <c r="G42" s="33">
        <f t="shared" si="1"/>
        <v>11.722330674710573</v>
      </c>
      <c r="H42" s="34">
        <f t="shared" si="2"/>
        <v>11722.330674710573</v>
      </c>
    </row>
    <row r="43" spans="2:8" x14ac:dyDescent="0.25">
      <c r="B43" s="19">
        <v>2200</v>
      </c>
      <c r="C43" s="19">
        <v>66.77</v>
      </c>
      <c r="D43" s="19">
        <f t="shared" si="0"/>
        <v>66770</v>
      </c>
      <c r="F43" s="22">
        <v>680</v>
      </c>
      <c r="G43" s="33">
        <f t="shared" si="1"/>
        <v>12.059442966348882</v>
      </c>
      <c r="H43" s="34">
        <f t="shared" si="2"/>
        <v>12059.442966348883</v>
      </c>
    </row>
    <row r="44" spans="2:8" x14ac:dyDescent="0.25">
      <c r="B44" s="19">
        <v>2250</v>
      </c>
      <c r="C44" s="19">
        <v>68.69</v>
      </c>
      <c r="D44" s="19">
        <f t="shared" si="0"/>
        <v>68690</v>
      </c>
      <c r="F44" s="22">
        <v>690</v>
      </c>
      <c r="G44" s="33">
        <f t="shared" si="1"/>
        <v>12.39684033340999</v>
      </c>
      <c r="H44" s="34">
        <f t="shared" si="2"/>
        <v>12396.840333409991</v>
      </c>
    </row>
    <row r="45" spans="2:8" x14ac:dyDescent="0.25">
      <c r="B45" s="19">
        <v>2300</v>
      </c>
      <c r="C45" s="19">
        <v>70.61</v>
      </c>
      <c r="D45" s="19">
        <f t="shared" si="0"/>
        <v>70610</v>
      </c>
      <c r="F45" s="22">
        <v>700</v>
      </c>
      <c r="G45" s="33">
        <f t="shared" si="1"/>
        <v>12.7345227758939</v>
      </c>
      <c r="H45" s="34">
        <f t="shared" si="2"/>
        <v>12734.5227758939</v>
      </c>
    </row>
    <row r="46" spans="2:8" x14ac:dyDescent="0.25">
      <c r="B46" s="19">
        <v>2350</v>
      </c>
      <c r="C46" s="19">
        <v>72.53</v>
      </c>
      <c r="D46" s="19">
        <f t="shared" si="0"/>
        <v>72530</v>
      </c>
      <c r="F46" s="22">
        <v>710</v>
      </c>
      <c r="G46" s="33">
        <f t="shared" si="1"/>
        <v>13.072490293800612</v>
      </c>
      <c r="H46" s="34">
        <f t="shared" si="2"/>
        <v>13072.490293800613</v>
      </c>
    </row>
    <row r="47" spans="2:8" x14ac:dyDescent="0.25">
      <c r="B47" s="19">
        <v>2400</v>
      </c>
      <c r="C47" s="19">
        <v>74.459999999999994</v>
      </c>
      <c r="D47" s="19">
        <f t="shared" si="0"/>
        <v>74460</v>
      </c>
      <c r="F47" s="22">
        <v>720</v>
      </c>
      <c r="G47" s="33">
        <f t="shared" si="1"/>
        <v>13.410742887130123</v>
      </c>
      <c r="H47" s="34">
        <f t="shared" si="2"/>
        <v>13410.742887130124</v>
      </c>
    </row>
    <row r="48" spans="2:8" x14ac:dyDescent="0.25">
      <c r="B48" s="19">
        <v>2450</v>
      </c>
      <c r="C48" s="19">
        <v>76.400000000000006</v>
      </c>
      <c r="D48" s="19">
        <f t="shared" si="0"/>
        <v>76400</v>
      </c>
      <c r="F48" s="22">
        <v>730</v>
      </c>
      <c r="G48" s="33">
        <f t="shared" si="1"/>
        <v>13.749280555882432</v>
      </c>
      <c r="H48" s="34">
        <f t="shared" si="2"/>
        <v>13749.280555882433</v>
      </c>
    </row>
    <row r="49" spans="2:8" x14ac:dyDescent="0.25">
      <c r="B49" s="19">
        <v>2500</v>
      </c>
      <c r="C49" s="19">
        <v>78.34</v>
      </c>
      <c r="D49" s="19">
        <f t="shared" si="0"/>
        <v>78340</v>
      </c>
      <c r="F49" s="22">
        <v>740</v>
      </c>
      <c r="G49" s="33">
        <f t="shared" si="1"/>
        <v>14.088103300057544</v>
      </c>
      <c r="H49" s="34">
        <f t="shared" si="2"/>
        <v>14088.103300057544</v>
      </c>
    </row>
    <row r="50" spans="2:8" x14ac:dyDescent="0.25">
      <c r="B50" s="19">
        <v>2550</v>
      </c>
      <c r="C50" s="19">
        <v>80.290000000000006</v>
      </c>
      <c r="D50" s="19">
        <f t="shared" si="0"/>
        <v>80290</v>
      </c>
      <c r="F50" s="22">
        <v>750</v>
      </c>
      <c r="G50" s="33">
        <f t="shared" si="1"/>
        <v>14.427211119655453</v>
      </c>
      <c r="H50" s="34">
        <f t="shared" si="2"/>
        <v>14427.211119655454</v>
      </c>
    </row>
    <row r="51" spans="2:8" x14ac:dyDescent="0.25">
      <c r="B51" s="19">
        <v>2600</v>
      </c>
      <c r="C51" s="19">
        <v>82.24</v>
      </c>
      <c r="D51" s="19">
        <f t="shared" si="0"/>
        <v>82240</v>
      </c>
      <c r="F51" s="22">
        <v>760</v>
      </c>
      <c r="G51" s="33">
        <f t="shared" si="1"/>
        <v>14.766604014676162</v>
      </c>
      <c r="H51" s="34">
        <f t="shared" si="2"/>
        <v>14766.604014676162</v>
      </c>
    </row>
    <row r="52" spans="2:8" x14ac:dyDescent="0.25">
      <c r="B52" s="19">
        <v>2650</v>
      </c>
      <c r="C52" s="19">
        <v>84.2</v>
      </c>
      <c r="D52" s="19">
        <f t="shared" si="0"/>
        <v>84200</v>
      </c>
      <c r="F52" s="22">
        <v>770</v>
      </c>
      <c r="G52" s="33">
        <f t="shared" si="1"/>
        <v>15.106281985119672</v>
      </c>
      <c r="H52" s="34">
        <f t="shared" si="2"/>
        <v>15106.281985119673</v>
      </c>
    </row>
    <row r="53" spans="2:8" x14ac:dyDescent="0.25">
      <c r="B53" s="19">
        <v>2700</v>
      </c>
      <c r="C53" s="19">
        <v>86.16</v>
      </c>
      <c r="D53" s="19">
        <f t="shared" si="0"/>
        <v>86160</v>
      </c>
      <c r="F53" s="22">
        <v>780</v>
      </c>
      <c r="G53" s="33">
        <f t="shared" si="1"/>
        <v>15.446245030985981</v>
      </c>
      <c r="H53" s="34">
        <f t="shared" si="2"/>
        <v>15446.245030985981</v>
      </c>
    </row>
    <row r="54" spans="2:8" x14ac:dyDescent="0.25">
      <c r="B54" s="19">
        <v>2750</v>
      </c>
      <c r="C54" s="19">
        <v>88.13</v>
      </c>
      <c r="D54" s="19">
        <f t="shared" si="0"/>
        <v>88130</v>
      </c>
      <c r="F54" s="22">
        <v>790</v>
      </c>
      <c r="G54" s="33">
        <f t="shared" si="1"/>
        <v>15.786493152275092</v>
      </c>
      <c r="H54" s="34">
        <f t="shared" si="2"/>
        <v>15786.493152275092</v>
      </c>
    </row>
    <row r="55" spans="2:8" x14ac:dyDescent="0.25">
      <c r="B55" s="19">
        <v>2800</v>
      </c>
      <c r="C55" s="19">
        <v>90.1</v>
      </c>
      <c r="D55" s="19">
        <f t="shared" si="0"/>
        <v>90100</v>
      </c>
      <c r="F55" s="22">
        <v>800</v>
      </c>
      <c r="G55" s="33">
        <f t="shared" si="1"/>
        <v>16.127026348987002</v>
      </c>
      <c r="H55" s="34">
        <f t="shared" si="2"/>
        <v>16127.026348987001</v>
      </c>
    </row>
    <row r="56" spans="2:8" x14ac:dyDescent="0.25">
      <c r="B56" s="19">
        <v>2850</v>
      </c>
      <c r="C56" s="19">
        <v>92.07</v>
      </c>
      <c r="D56" s="19">
        <f t="shared" si="0"/>
        <v>92070</v>
      </c>
      <c r="F56" s="22">
        <v>810</v>
      </c>
      <c r="G56" s="33">
        <f t="shared" si="1"/>
        <v>16.467844621121714</v>
      </c>
      <c r="H56" s="34">
        <f t="shared" si="2"/>
        <v>16467.844621121712</v>
      </c>
    </row>
    <row r="57" spans="2:8" x14ac:dyDescent="0.25">
      <c r="B57" s="19">
        <v>2900</v>
      </c>
      <c r="C57" s="19">
        <v>94.06</v>
      </c>
      <c r="D57" s="19">
        <f t="shared" si="0"/>
        <v>94060</v>
      </c>
      <c r="F57" s="22">
        <v>820</v>
      </c>
      <c r="G57" s="33">
        <f t="shared" si="1"/>
        <v>16.808947968679224</v>
      </c>
      <c r="H57" s="34">
        <f t="shared" si="2"/>
        <v>16808.947968679226</v>
      </c>
    </row>
    <row r="58" spans="2:8" x14ac:dyDescent="0.25">
      <c r="B58" s="19">
        <v>2950</v>
      </c>
      <c r="C58" s="19">
        <v>96.04</v>
      </c>
      <c r="D58" s="19">
        <f t="shared" si="0"/>
        <v>96040</v>
      </c>
      <c r="F58" s="22">
        <v>830</v>
      </c>
      <c r="G58" s="33">
        <f t="shared" si="1"/>
        <v>17.150336391659533</v>
      </c>
      <c r="H58" s="34">
        <f t="shared" si="2"/>
        <v>17150.336391659534</v>
      </c>
    </row>
    <row r="59" spans="2:8" x14ac:dyDescent="0.25">
      <c r="B59" s="19">
        <v>3000</v>
      </c>
      <c r="C59" s="19">
        <v>98.03</v>
      </c>
      <c r="D59" s="19">
        <f t="shared" si="0"/>
        <v>98030</v>
      </c>
      <c r="F59" s="22">
        <v>840</v>
      </c>
      <c r="G59" s="33">
        <f t="shared" si="1"/>
        <v>17.492009890062644</v>
      </c>
      <c r="H59" s="34">
        <f t="shared" si="2"/>
        <v>17492.009890062644</v>
      </c>
    </row>
    <row r="60" spans="2:8" x14ac:dyDescent="0.25">
      <c r="B60" s="19">
        <v>3050</v>
      </c>
      <c r="C60" s="19">
        <v>100.03</v>
      </c>
      <c r="D60" s="19">
        <f t="shared" si="0"/>
        <v>100030</v>
      </c>
      <c r="F60" s="22">
        <v>850</v>
      </c>
      <c r="G60" s="33">
        <f t="shared" si="1"/>
        <v>17.833968463888553</v>
      </c>
      <c r="H60" s="34">
        <f t="shared" si="2"/>
        <v>17833.968463888552</v>
      </c>
    </row>
    <row r="61" spans="2:8" x14ac:dyDescent="0.25">
      <c r="B61" s="19">
        <v>3100</v>
      </c>
      <c r="C61" s="19">
        <v>102.02</v>
      </c>
      <c r="D61" s="19">
        <f t="shared" si="0"/>
        <v>102020</v>
      </c>
      <c r="F61" s="22">
        <v>860</v>
      </c>
      <c r="G61" s="33">
        <f t="shared" si="1"/>
        <v>18.176212113137264</v>
      </c>
      <c r="H61" s="34">
        <f t="shared" si="2"/>
        <v>18176.212113137266</v>
      </c>
    </row>
    <row r="62" spans="2:8" x14ac:dyDescent="0.25">
      <c r="B62" s="19">
        <v>3150</v>
      </c>
      <c r="C62" s="19">
        <v>104.03</v>
      </c>
      <c r="D62" s="19">
        <f t="shared" si="0"/>
        <v>104030</v>
      </c>
      <c r="F62" s="22">
        <v>870</v>
      </c>
      <c r="G62" s="33">
        <f t="shared" si="1"/>
        <v>18.518740837808775</v>
      </c>
      <c r="H62" s="34">
        <f t="shared" si="2"/>
        <v>18518.740837808775</v>
      </c>
    </row>
    <row r="63" spans="2:8" x14ac:dyDescent="0.25">
      <c r="B63" s="19">
        <v>3200</v>
      </c>
      <c r="C63" s="19">
        <v>106.03</v>
      </c>
      <c r="D63" s="19">
        <f t="shared" si="0"/>
        <v>106030</v>
      </c>
      <c r="F63" s="22">
        <v>880</v>
      </c>
      <c r="G63" s="33">
        <f t="shared" si="1"/>
        <v>18.861554637903083</v>
      </c>
      <c r="H63" s="34">
        <f t="shared" si="2"/>
        <v>18861.554637903082</v>
      </c>
    </row>
    <row r="64" spans="2:8" x14ac:dyDescent="0.25">
      <c r="B64" s="19">
        <v>3250</v>
      </c>
      <c r="C64" s="19">
        <v>108.05</v>
      </c>
      <c r="D64" s="19">
        <f t="shared" si="0"/>
        <v>108050</v>
      </c>
      <c r="F64" s="22">
        <v>890</v>
      </c>
      <c r="G64" s="33">
        <f t="shared" si="1"/>
        <v>19.204653513420194</v>
      </c>
      <c r="H64" s="34">
        <f t="shared" si="2"/>
        <v>19204.653513420195</v>
      </c>
    </row>
    <row r="65" spans="2:8" x14ac:dyDescent="0.25">
      <c r="B65" s="19">
        <v>3300</v>
      </c>
      <c r="C65" s="19">
        <v>110.06</v>
      </c>
      <c r="D65" s="19">
        <f t="shared" si="0"/>
        <v>110060</v>
      </c>
      <c r="F65" s="22">
        <v>900</v>
      </c>
      <c r="G65" s="33">
        <f t="shared" si="1"/>
        <v>19.548037464360103</v>
      </c>
      <c r="H65" s="34">
        <f t="shared" si="2"/>
        <v>19548.037464360103</v>
      </c>
    </row>
    <row r="66" spans="2:8" x14ac:dyDescent="0.25">
      <c r="B66" s="19">
        <v>3350</v>
      </c>
      <c r="C66" s="19">
        <v>112.08</v>
      </c>
      <c r="D66" s="19">
        <f t="shared" si="0"/>
        <v>112080</v>
      </c>
      <c r="F66" s="22">
        <v>910</v>
      </c>
      <c r="G66" s="33">
        <f t="shared" si="1"/>
        <v>19.891706490722814</v>
      </c>
      <c r="H66" s="34">
        <f t="shared" si="2"/>
        <v>19891.706490722816</v>
      </c>
    </row>
    <row r="67" spans="2:8" x14ac:dyDescent="0.25">
      <c r="B67" s="19">
        <v>3400</v>
      </c>
      <c r="C67" s="19">
        <v>114.11</v>
      </c>
      <c r="D67" s="19">
        <f t="shared" si="0"/>
        <v>114110</v>
      </c>
      <c r="F67" s="22">
        <v>920</v>
      </c>
      <c r="G67" s="33">
        <f t="shared" si="1"/>
        <v>20.235660592508324</v>
      </c>
      <c r="H67" s="34">
        <f t="shared" si="2"/>
        <v>20235.660592508324</v>
      </c>
    </row>
    <row r="68" spans="2:8" x14ac:dyDescent="0.25">
      <c r="B68" s="19">
        <v>3450</v>
      </c>
      <c r="C68" s="19">
        <v>116.13</v>
      </c>
      <c r="D68" s="19">
        <f t="shared" si="0"/>
        <v>116130</v>
      </c>
      <c r="F68" s="22">
        <v>930</v>
      </c>
      <c r="G68" s="33">
        <f t="shared" si="1"/>
        <v>20.579899769716633</v>
      </c>
      <c r="H68" s="34">
        <f t="shared" si="2"/>
        <v>20579.899769716634</v>
      </c>
    </row>
    <row r="69" spans="2:8" x14ac:dyDescent="0.25">
      <c r="B69" s="19">
        <v>3500</v>
      </c>
      <c r="C69" s="19">
        <v>118.17</v>
      </c>
      <c r="D69" s="19">
        <f t="shared" ref="D69" si="3">C69*1000</f>
        <v>118170</v>
      </c>
      <c r="F69" s="22">
        <v>940</v>
      </c>
      <c r="G69" s="33">
        <f t="shared" ref="G69:G132" si="4" xml:space="preserve"> 0.000001425377114*F69^2 + 0.031786970059931*F69 - 10.2147910519178</f>
        <v>20.924424022347743</v>
      </c>
      <c r="H69" s="34">
        <f t="shared" ref="H69:H132" si="5">G69*1000</f>
        <v>20924.424022347743</v>
      </c>
    </row>
    <row r="70" spans="2:8" x14ac:dyDescent="0.25">
      <c r="F70" s="22">
        <v>950</v>
      </c>
      <c r="G70" s="33">
        <f t="shared" si="4"/>
        <v>21.269233350401652</v>
      </c>
      <c r="H70" s="34">
        <f t="shared" si="5"/>
        <v>21269.233350401653</v>
      </c>
    </row>
    <row r="71" spans="2:8" x14ac:dyDescent="0.25">
      <c r="F71" s="22">
        <v>960</v>
      </c>
      <c r="G71" s="33">
        <f t="shared" si="4"/>
        <v>21.61432775387836</v>
      </c>
      <c r="H71" s="34">
        <f t="shared" si="5"/>
        <v>21614.327753878359</v>
      </c>
    </row>
    <row r="72" spans="2:8" x14ac:dyDescent="0.25">
      <c r="F72" s="22">
        <v>970</v>
      </c>
      <c r="G72" s="33">
        <f t="shared" si="4"/>
        <v>21.959707232777873</v>
      </c>
      <c r="H72" s="34">
        <f t="shared" si="5"/>
        <v>21959.707232777873</v>
      </c>
    </row>
    <row r="73" spans="2:8" x14ac:dyDescent="0.25">
      <c r="F73" s="22">
        <v>980</v>
      </c>
      <c r="G73" s="33">
        <f t="shared" si="4"/>
        <v>22.305371787100178</v>
      </c>
      <c r="H73" s="34">
        <f t="shared" si="5"/>
        <v>22305.371787100179</v>
      </c>
    </row>
    <row r="74" spans="2:8" x14ac:dyDescent="0.25">
      <c r="F74" s="22">
        <v>990</v>
      </c>
      <c r="G74" s="33">
        <f t="shared" si="4"/>
        <v>22.651321416845292</v>
      </c>
      <c r="H74" s="34">
        <f t="shared" si="5"/>
        <v>22651.321416845291</v>
      </c>
    </row>
    <row r="75" spans="2:8" x14ac:dyDescent="0.25">
      <c r="F75" s="22">
        <v>1000</v>
      </c>
      <c r="G75" s="33">
        <f t="shared" si="4"/>
        <v>22.997556122013201</v>
      </c>
      <c r="H75" s="34">
        <f t="shared" si="5"/>
        <v>22997.5561220132</v>
      </c>
    </row>
    <row r="76" spans="2:8" x14ac:dyDescent="0.25">
      <c r="F76" s="22">
        <v>1010</v>
      </c>
      <c r="G76" s="33">
        <f t="shared" si="4"/>
        <v>23.344075902603912</v>
      </c>
      <c r="H76" s="34">
        <f t="shared" si="5"/>
        <v>23344.075902603912</v>
      </c>
    </row>
    <row r="77" spans="2:8" x14ac:dyDescent="0.25">
      <c r="F77" s="22">
        <v>1020</v>
      </c>
      <c r="G77" s="33">
        <f t="shared" si="4"/>
        <v>23.690880758617418</v>
      </c>
      <c r="H77" s="34">
        <f t="shared" si="5"/>
        <v>23690.880758617419</v>
      </c>
    </row>
    <row r="78" spans="2:8" x14ac:dyDescent="0.25">
      <c r="F78" s="22">
        <v>1030</v>
      </c>
      <c r="G78" s="33">
        <f t="shared" si="4"/>
        <v>24.037970690053733</v>
      </c>
      <c r="H78" s="34">
        <f t="shared" si="5"/>
        <v>24037.970690053731</v>
      </c>
    </row>
    <row r="79" spans="2:8" x14ac:dyDescent="0.25">
      <c r="F79" s="22">
        <v>1040</v>
      </c>
      <c r="G79" s="33">
        <f t="shared" si="4"/>
        <v>24.385345696912843</v>
      </c>
      <c r="H79" s="34">
        <f t="shared" si="5"/>
        <v>24385.345696912842</v>
      </c>
    </row>
    <row r="80" spans="2:8" x14ac:dyDescent="0.25">
      <c r="F80" s="22">
        <v>1050</v>
      </c>
      <c r="G80" s="33">
        <f t="shared" si="4"/>
        <v>24.733005779194748</v>
      </c>
      <c r="H80" s="34">
        <f t="shared" si="5"/>
        <v>24733.005779194747</v>
      </c>
    </row>
    <row r="81" spans="6:8" x14ac:dyDescent="0.25">
      <c r="F81" s="22">
        <v>1060</v>
      </c>
      <c r="G81" s="33">
        <f t="shared" si="4"/>
        <v>25.080950936899463</v>
      </c>
      <c r="H81" s="34">
        <f t="shared" si="5"/>
        <v>25080.950936899462</v>
      </c>
    </row>
    <row r="82" spans="6:8" x14ac:dyDescent="0.25">
      <c r="F82" s="22">
        <v>1070</v>
      </c>
      <c r="G82" s="33">
        <f t="shared" si="4"/>
        <v>25.429181170026972</v>
      </c>
      <c r="H82" s="34">
        <f t="shared" si="5"/>
        <v>25429.181170026972</v>
      </c>
    </row>
    <row r="83" spans="6:8" x14ac:dyDescent="0.25">
      <c r="F83" s="22">
        <v>1080</v>
      </c>
      <c r="G83" s="33">
        <f t="shared" si="4"/>
        <v>25.777696478577283</v>
      </c>
      <c r="H83" s="34">
        <f t="shared" si="5"/>
        <v>25777.696478577283</v>
      </c>
    </row>
    <row r="84" spans="6:8" x14ac:dyDescent="0.25">
      <c r="F84" s="22">
        <v>1090</v>
      </c>
      <c r="G84" s="33">
        <f t="shared" si="4"/>
        <v>26.12649686255039</v>
      </c>
      <c r="H84" s="34">
        <f t="shared" si="5"/>
        <v>26126.49686255039</v>
      </c>
    </row>
    <row r="85" spans="6:8" x14ac:dyDescent="0.25">
      <c r="F85" s="22">
        <v>1100</v>
      </c>
      <c r="G85" s="33">
        <f t="shared" si="4"/>
        <v>26.475582321946305</v>
      </c>
      <c r="H85" s="34">
        <f t="shared" si="5"/>
        <v>26475.582321946305</v>
      </c>
    </row>
    <row r="86" spans="6:8" x14ac:dyDescent="0.25">
      <c r="F86" s="22">
        <v>1110</v>
      </c>
      <c r="G86" s="33">
        <f t="shared" si="4"/>
        <v>26.824952856765009</v>
      </c>
      <c r="H86" s="34">
        <f t="shared" si="5"/>
        <v>26824.952856765009</v>
      </c>
    </row>
    <row r="87" spans="6:8" x14ac:dyDescent="0.25">
      <c r="F87" s="22">
        <v>1120</v>
      </c>
      <c r="G87" s="33">
        <f t="shared" si="4"/>
        <v>27.174608467006522</v>
      </c>
      <c r="H87" s="34">
        <f t="shared" si="5"/>
        <v>27174.608467006521</v>
      </c>
    </row>
    <row r="88" spans="6:8" x14ac:dyDescent="0.25">
      <c r="F88" s="22">
        <v>1130</v>
      </c>
      <c r="G88" s="33">
        <f t="shared" si="4"/>
        <v>27.524549152670829</v>
      </c>
      <c r="H88" s="34">
        <f t="shared" si="5"/>
        <v>27524.549152670828</v>
      </c>
    </row>
    <row r="89" spans="6:8" x14ac:dyDescent="0.25">
      <c r="F89" s="22">
        <v>1140</v>
      </c>
      <c r="G89" s="33">
        <f t="shared" si="4"/>
        <v>27.874774913757939</v>
      </c>
      <c r="H89" s="34">
        <f t="shared" si="5"/>
        <v>27874.774913757938</v>
      </c>
    </row>
    <row r="90" spans="6:8" x14ac:dyDescent="0.25">
      <c r="F90" s="22">
        <v>1150</v>
      </c>
      <c r="G90" s="33">
        <f t="shared" si="4"/>
        <v>28.225285750267851</v>
      </c>
      <c r="H90" s="34">
        <f t="shared" si="5"/>
        <v>28225.285750267853</v>
      </c>
    </row>
    <row r="91" spans="6:8" x14ac:dyDescent="0.25">
      <c r="F91" s="22">
        <v>1160</v>
      </c>
      <c r="G91" s="33">
        <f t="shared" si="4"/>
        <v>28.576081662200565</v>
      </c>
      <c r="H91" s="34">
        <f t="shared" si="5"/>
        <v>28576.081662200566</v>
      </c>
    </row>
    <row r="92" spans="6:8" x14ac:dyDescent="0.25">
      <c r="F92" s="22">
        <v>1170</v>
      </c>
      <c r="G92" s="33">
        <f t="shared" si="4"/>
        <v>28.927162649556074</v>
      </c>
      <c r="H92" s="34">
        <f t="shared" si="5"/>
        <v>28927.162649556074</v>
      </c>
    </row>
    <row r="93" spans="6:8" x14ac:dyDescent="0.25">
      <c r="F93" s="22">
        <v>1180</v>
      </c>
      <c r="G93" s="33">
        <f t="shared" si="4"/>
        <v>29.278528712334385</v>
      </c>
      <c r="H93" s="34">
        <f t="shared" si="5"/>
        <v>29278.528712334384</v>
      </c>
    </row>
    <row r="94" spans="6:8" x14ac:dyDescent="0.25">
      <c r="F94" s="22">
        <v>1190</v>
      </c>
      <c r="G94" s="33">
        <f t="shared" si="4"/>
        <v>29.630179850535491</v>
      </c>
      <c r="H94" s="34">
        <f t="shared" si="5"/>
        <v>29630.179850535493</v>
      </c>
    </row>
    <row r="95" spans="6:8" x14ac:dyDescent="0.25">
      <c r="F95" s="22">
        <v>1200</v>
      </c>
      <c r="G95" s="33">
        <f t="shared" si="4"/>
        <v>29.982116064159399</v>
      </c>
      <c r="H95" s="34">
        <f t="shared" si="5"/>
        <v>29982.1160641594</v>
      </c>
    </row>
    <row r="96" spans="6:8" x14ac:dyDescent="0.25">
      <c r="F96" s="22">
        <v>1210</v>
      </c>
      <c r="G96" s="33">
        <f t="shared" si="4"/>
        <v>30.334337353206109</v>
      </c>
      <c r="H96" s="34">
        <f t="shared" si="5"/>
        <v>30334.337353206109</v>
      </c>
    </row>
    <row r="97" spans="6:8" x14ac:dyDescent="0.25">
      <c r="F97" s="22">
        <v>1220</v>
      </c>
      <c r="G97" s="33">
        <f t="shared" si="4"/>
        <v>30.686843717675622</v>
      </c>
      <c r="H97" s="34">
        <f t="shared" si="5"/>
        <v>30686.843717675623</v>
      </c>
    </row>
    <row r="98" spans="6:8" x14ac:dyDescent="0.25">
      <c r="F98" s="22">
        <v>1230</v>
      </c>
      <c r="G98" s="33">
        <f t="shared" si="4"/>
        <v>31.039635157567929</v>
      </c>
      <c r="H98" s="34">
        <f t="shared" si="5"/>
        <v>31039.635157567929</v>
      </c>
    </row>
    <row r="99" spans="6:8" x14ac:dyDescent="0.25">
      <c r="F99" s="22">
        <v>1240</v>
      </c>
      <c r="G99" s="33">
        <f t="shared" si="4"/>
        <v>31.392711672883046</v>
      </c>
      <c r="H99" s="34">
        <f t="shared" si="5"/>
        <v>31392.711672883044</v>
      </c>
    </row>
    <row r="100" spans="6:8" x14ac:dyDescent="0.25">
      <c r="F100" s="22">
        <v>1250</v>
      </c>
      <c r="G100" s="33">
        <f t="shared" si="4"/>
        <v>31.74607326362095</v>
      </c>
      <c r="H100" s="34">
        <f t="shared" si="5"/>
        <v>31746.07326362095</v>
      </c>
    </row>
    <row r="101" spans="6:8" x14ac:dyDescent="0.25">
      <c r="F101" s="22">
        <v>1260</v>
      </c>
      <c r="G101" s="33">
        <f t="shared" si="4"/>
        <v>32.099719929781664</v>
      </c>
      <c r="H101" s="34">
        <f t="shared" si="5"/>
        <v>32099.719929781662</v>
      </c>
    </row>
    <row r="102" spans="6:8" x14ac:dyDescent="0.25">
      <c r="F102" s="22">
        <v>1270</v>
      </c>
      <c r="G102" s="33">
        <f t="shared" si="4"/>
        <v>32.453651671365172</v>
      </c>
      <c r="H102" s="34">
        <f t="shared" si="5"/>
        <v>32453.651671365173</v>
      </c>
    </row>
    <row r="103" spans="6:8" x14ac:dyDescent="0.25">
      <c r="F103" s="22">
        <v>1280</v>
      </c>
      <c r="G103" s="33">
        <f t="shared" si="4"/>
        <v>32.807868488371483</v>
      </c>
      <c r="H103" s="34">
        <f t="shared" si="5"/>
        <v>32807.868488371481</v>
      </c>
    </row>
    <row r="104" spans="6:8" x14ac:dyDescent="0.25">
      <c r="F104" s="22">
        <v>1290</v>
      </c>
      <c r="G104" s="33">
        <f t="shared" si="4"/>
        <v>33.162370380800596</v>
      </c>
      <c r="H104" s="34">
        <f t="shared" si="5"/>
        <v>33162.370380800596</v>
      </c>
    </row>
    <row r="105" spans="6:8" x14ac:dyDescent="0.25">
      <c r="F105" s="22">
        <v>1300</v>
      </c>
      <c r="G105" s="33">
        <f t="shared" si="4"/>
        <v>33.517157348652503</v>
      </c>
      <c r="H105" s="34">
        <f t="shared" si="5"/>
        <v>33517.157348652501</v>
      </c>
    </row>
    <row r="106" spans="6:8" x14ac:dyDescent="0.25">
      <c r="F106" s="22">
        <v>1310</v>
      </c>
      <c r="G106" s="33">
        <f t="shared" si="4"/>
        <v>33.872229391927213</v>
      </c>
      <c r="H106" s="34">
        <f t="shared" si="5"/>
        <v>33872.229391927212</v>
      </c>
    </row>
    <row r="107" spans="6:8" x14ac:dyDescent="0.25">
      <c r="F107" s="22">
        <v>1320</v>
      </c>
      <c r="G107" s="33">
        <f t="shared" si="4"/>
        <v>34.227586510624725</v>
      </c>
      <c r="H107" s="34">
        <f t="shared" si="5"/>
        <v>34227.586510624722</v>
      </c>
    </row>
    <row r="108" spans="6:8" x14ac:dyDescent="0.25">
      <c r="F108" s="22">
        <v>1330</v>
      </c>
      <c r="G108" s="33">
        <f t="shared" si="4"/>
        <v>34.583228704745032</v>
      </c>
      <c r="H108" s="34">
        <f t="shared" si="5"/>
        <v>34583.22870474503</v>
      </c>
    </row>
    <row r="109" spans="6:8" x14ac:dyDescent="0.25">
      <c r="F109" s="22">
        <v>1340</v>
      </c>
      <c r="G109" s="33">
        <f t="shared" si="4"/>
        <v>34.939155974288141</v>
      </c>
      <c r="H109" s="34">
        <f t="shared" si="5"/>
        <v>34939.155974288144</v>
      </c>
    </row>
    <row r="110" spans="6:8" x14ac:dyDescent="0.25">
      <c r="F110" s="22">
        <v>1350</v>
      </c>
      <c r="G110" s="33">
        <f t="shared" si="4"/>
        <v>35.295368319254052</v>
      </c>
      <c r="H110" s="34">
        <f t="shared" si="5"/>
        <v>35295.368319254056</v>
      </c>
    </row>
    <row r="111" spans="6:8" x14ac:dyDescent="0.25">
      <c r="F111" s="22">
        <v>1360</v>
      </c>
      <c r="G111" s="33">
        <f t="shared" si="4"/>
        <v>35.651865739642766</v>
      </c>
      <c r="H111" s="34">
        <f t="shared" si="5"/>
        <v>35651.865739642766</v>
      </c>
    </row>
    <row r="112" spans="6:8" x14ac:dyDescent="0.25">
      <c r="F112" s="22">
        <v>1370</v>
      </c>
      <c r="G112" s="33">
        <f t="shared" si="4"/>
        <v>36.008648235454274</v>
      </c>
      <c r="H112" s="34">
        <f t="shared" si="5"/>
        <v>36008.648235454275</v>
      </c>
    </row>
    <row r="113" spans="6:8" x14ac:dyDescent="0.25">
      <c r="F113" s="22">
        <v>1380</v>
      </c>
      <c r="G113" s="33">
        <f t="shared" si="4"/>
        <v>36.365715806688584</v>
      </c>
      <c r="H113" s="34">
        <f t="shared" si="5"/>
        <v>36365.715806688582</v>
      </c>
    </row>
    <row r="114" spans="6:8" x14ac:dyDescent="0.25">
      <c r="F114" s="22">
        <v>1390</v>
      </c>
      <c r="G114" s="33">
        <f t="shared" si="4"/>
        <v>36.723068453345697</v>
      </c>
      <c r="H114" s="34">
        <f t="shared" si="5"/>
        <v>36723.068453345695</v>
      </c>
    </row>
    <row r="115" spans="6:8" x14ac:dyDescent="0.25">
      <c r="F115" s="22">
        <v>1400</v>
      </c>
      <c r="G115" s="33">
        <f t="shared" si="4"/>
        <v>37.080706175425604</v>
      </c>
      <c r="H115" s="34">
        <f t="shared" si="5"/>
        <v>37080.706175425606</v>
      </c>
    </row>
    <row r="116" spans="6:8" x14ac:dyDescent="0.25">
      <c r="F116" s="22">
        <v>1410</v>
      </c>
      <c r="G116" s="33">
        <f t="shared" si="4"/>
        <v>37.438628972928313</v>
      </c>
      <c r="H116" s="34">
        <f t="shared" si="5"/>
        <v>37438.628972928316</v>
      </c>
    </row>
    <row r="117" spans="6:8" x14ac:dyDescent="0.25">
      <c r="F117" s="22">
        <v>1420</v>
      </c>
      <c r="G117" s="33">
        <f t="shared" si="4"/>
        <v>37.796836845853825</v>
      </c>
      <c r="H117" s="34">
        <f t="shared" si="5"/>
        <v>37796.836845853824</v>
      </c>
    </row>
    <row r="118" spans="6:8" x14ac:dyDescent="0.25">
      <c r="F118" s="22">
        <v>1430</v>
      </c>
      <c r="G118" s="33">
        <f t="shared" si="4"/>
        <v>38.155329794202132</v>
      </c>
      <c r="H118" s="34">
        <f t="shared" si="5"/>
        <v>38155.329794202131</v>
      </c>
    </row>
    <row r="119" spans="6:8" x14ac:dyDescent="0.25">
      <c r="F119" s="22">
        <v>1440</v>
      </c>
      <c r="G119" s="33">
        <f t="shared" si="4"/>
        <v>38.514107817973247</v>
      </c>
      <c r="H119" s="34">
        <f t="shared" si="5"/>
        <v>38514.10781797325</v>
      </c>
    </row>
    <row r="120" spans="6:8" x14ac:dyDescent="0.25">
      <c r="F120" s="22">
        <v>1450</v>
      </c>
      <c r="G120" s="33">
        <f t="shared" si="4"/>
        <v>38.873170917167151</v>
      </c>
      <c r="H120" s="34">
        <f t="shared" si="5"/>
        <v>38873.170917167154</v>
      </c>
    </row>
    <row r="121" spans="6:8" x14ac:dyDescent="0.25">
      <c r="F121" s="22">
        <v>1460</v>
      </c>
      <c r="G121" s="33">
        <f t="shared" si="4"/>
        <v>39.232519091783864</v>
      </c>
      <c r="H121" s="34">
        <f t="shared" si="5"/>
        <v>39232.519091783863</v>
      </c>
    </row>
    <row r="122" spans="6:8" x14ac:dyDescent="0.25">
      <c r="F122" s="22">
        <v>1470</v>
      </c>
      <c r="G122" s="33">
        <f t="shared" si="4"/>
        <v>39.592152341823372</v>
      </c>
      <c r="H122" s="34">
        <f t="shared" si="5"/>
        <v>39592.15234182337</v>
      </c>
    </row>
    <row r="123" spans="6:8" x14ac:dyDescent="0.25">
      <c r="F123" s="22">
        <v>1480</v>
      </c>
      <c r="G123" s="33">
        <f t="shared" si="4"/>
        <v>39.952070667285682</v>
      </c>
      <c r="H123" s="34">
        <f t="shared" si="5"/>
        <v>39952.070667285683</v>
      </c>
    </row>
    <row r="124" spans="6:8" x14ac:dyDescent="0.25">
      <c r="F124" s="22">
        <v>1490</v>
      </c>
      <c r="G124" s="33">
        <f t="shared" si="4"/>
        <v>40.312274068170794</v>
      </c>
      <c r="H124" s="34">
        <f t="shared" si="5"/>
        <v>40312.274068170795</v>
      </c>
    </row>
    <row r="125" spans="6:8" x14ac:dyDescent="0.25">
      <c r="F125" s="22">
        <v>1500</v>
      </c>
      <c r="G125" s="33">
        <f t="shared" si="4"/>
        <v>40.672762544478708</v>
      </c>
      <c r="H125" s="34">
        <f t="shared" si="5"/>
        <v>40672.762544478705</v>
      </c>
    </row>
    <row r="126" spans="6:8" x14ac:dyDescent="0.25">
      <c r="F126" s="22">
        <v>1510</v>
      </c>
      <c r="G126" s="33">
        <f t="shared" si="4"/>
        <v>41.033536096209417</v>
      </c>
      <c r="H126" s="34">
        <f t="shared" si="5"/>
        <v>41033.53609620942</v>
      </c>
    </row>
    <row r="127" spans="6:8" x14ac:dyDescent="0.25">
      <c r="F127" s="22">
        <v>1520</v>
      </c>
      <c r="G127" s="33">
        <f t="shared" si="4"/>
        <v>41.394594723362928</v>
      </c>
      <c r="H127" s="34">
        <f t="shared" si="5"/>
        <v>41394.594723362927</v>
      </c>
    </row>
    <row r="128" spans="6:8" x14ac:dyDescent="0.25">
      <c r="F128" s="22">
        <v>1530</v>
      </c>
      <c r="G128" s="33">
        <f t="shared" si="4"/>
        <v>41.755938425939235</v>
      </c>
      <c r="H128" s="34">
        <f t="shared" si="5"/>
        <v>41755.938425939232</v>
      </c>
    </row>
    <row r="129" spans="6:8" x14ac:dyDescent="0.25">
      <c r="F129" s="22">
        <v>1540</v>
      </c>
      <c r="G129" s="33">
        <f t="shared" si="4"/>
        <v>42.117567203938343</v>
      </c>
      <c r="H129" s="34">
        <f t="shared" si="5"/>
        <v>42117.567203938343</v>
      </c>
    </row>
    <row r="130" spans="6:8" x14ac:dyDescent="0.25">
      <c r="F130" s="22">
        <v>1550</v>
      </c>
      <c r="G130" s="33">
        <f t="shared" si="4"/>
        <v>42.479481057360253</v>
      </c>
      <c r="H130" s="34">
        <f t="shared" si="5"/>
        <v>42479.481057360252</v>
      </c>
    </row>
    <row r="131" spans="6:8" x14ac:dyDescent="0.25">
      <c r="F131" s="22">
        <v>1560</v>
      </c>
      <c r="G131" s="33">
        <f t="shared" si="4"/>
        <v>42.841679986204966</v>
      </c>
      <c r="H131" s="34">
        <f t="shared" si="5"/>
        <v>42841.679986204967</v>
      </c>
    </row>
    <row r="132" spans="6:8" x14ac:dyDescent="0.25">
      <c r="F132" s="22">
        <v>1570</v>
      </c>
      <c r="G132" s="33">
        <f t="shared" si="4"/>
        <v>43.204163990472473</v>
      </c>
      <c r="H132" s="34">
        <f t="shared" si="5"/>
        <v>43204.163990472473</v>
      </c>
    </row>
    <row r="133" spans="6:8" x14ac:dyDescent="0.25">
      <c r="F133" s="22">
        <v>1580</v>
      </c>
      <c r="G133" s="33">
        <f t="shared" ref="G133:G196" si="6" xml:space="preserve"> 0.000001425377114*F133^2 + 0.031786970059931*F133 - 10.2147910519178</f>
        <v>43.566933070162783</v>
      </c>
      <c r="H133" s="34">
        <f t="shared" ref="H133:H196" si="7">G133*1000</f>
        <v>43566.933070162784</v>
      </c>
    </row>
    <row r="134" spans="6:8" x14ac:dyDescent="0.25">
      <c r="F134" s="22">
        <v>1590</v>
      </c>
      <c r="G134" s="33">
        <f t="shared" si="6"/>
        <v>43.929987225275895</v>
      </c>
      <c r="H134" s="34">
        <f t="shared" si="7"/>
        <v>43929.987225275894</v>
      </c>
    </row>
    <row r="135" spans="6:8" x14ac:dyDescent="0.25">
      <c r="F135" s="22">
        <v>1600</v>
      </c>
      <c r="G135" s="33">
        <f t="shared" si="6"/>
        <v>44.293326455811808</v>
      </c>
      <c r="H135" s="34">
        <f t="shared" si="7"/>
        <v>44293.32645581181</v>
      </c>
    </row>
    <row r="136" spans="6:8" x14ac:dyDescent="0.25">
      <c r="F136" s="22">
        <v>1610</v>
      </c>
      <c r="G136" s="33">
        <f t="shared" si="6"/>
        <v>44.656950761770517</v>
      </c>
      <c r="H136" s="34">
        <f t="shared" si="7"/>
        <v>44656.950761770517</v>
      </c>
    </row>
    <row r="137" spans="6:8" x14ac:dyDescent="0.25">
      <c r="F137" s="22">
        <v>1620</v>
      </c>
      <c r="G137" s="33">
        <f t="shared" si="6"/>
        <v>45.020860143152028</v>
      </c>
      <c r="H137" s="34">
        <f t="shared" si="7"/>
        <v>45020.860143152029</v>
      </c>
    </row>
    <row r="138" spans="6:8" x14ac:dyDescent="0.25">
      <c r="F138" s="22">
        <v>1630</v>
      </c>
      <c r="G138" s="33">
        <f t="shared" si="6"/>
        <v>45.385054599956334</v>
      </c>
      <c r="H138" s="34">
        <f t="shared" si="7"/>
        <v>45385.054599956333</v>
      </c>
    </row>
    <row r="139" spans="6:8" x14ac:dyDescent="0.25">
      <c r="F139" s="22">
        <v>1640</v>
      </c>
      <c r="G139" s="33">
        <f t="shared" si="6"/>
        <v>45.749534132183449</v>
      </c>
      <c r="H139" s="34">
        <f t="shared" si="7"/>
        <v>45749.534132183449</v>
      </c>
    </row>
    <row r="140" spans="6:8" x14ac:dyDescent="0.25">
      <c r="F140" s="22">
        <v>1650</v>
      </c>
      <c r="G140" s="33">
        <f t="shared" si="6"/>
        <v>46.114298739833359</v>
      </c>
      <c r="H140" s="34">
        <f t="shared" si="7"/>
        <v>46114.298739833357</v>
      </c>
    </row>
    <row r="141" spans="6:8" x14ac:dyDescent="0.25">
      <c r="F141" s="22">
        <v>1660</v>
      </c>
      <c r="G141" s="33">
        <f t="shared" si="6"/>
        <v>46.479348422906064</v>
      </c>
      <c r="H141" s="34">
        <f t="shared" si="7"/>
        <v>46479.348422906063</v>
      </c>
    </row>
    <row r="142" spans="6:8" x14ac:dyDescent="0.25">
      <c r="F142" s="22">
        <v>1670</v>
      </c>
      <c r="G142" s="33">
        <f t="shared" si="6"/>
        <v>46.844683181401578</v>
      </c>
      <c r="H142" s="34">
        <f t="shared" si="7"/>
        <v>46844.683181401575</v>
      </c>
    </row>
    <row r="143" spans="6:8" x14ac:dyDescent="0.25">
      <c r="F143" s="22">
        <v>1680</v>
      </c>
      <c r="G143" s="33">
        <f t="shared" si="6"/>
        <v>47.210303015319887</v>
      </c>
      <c r="H143" s="34">
        <f t="shared" si="7"/>
        <v>47210.303015319885</v>
      </c>
    </row>
    <row r="144" spans="6:8" x14ac:dyDescent="0.25">
      <c r="F144" s="22">
        <v>1690</v>
      </c>
      <c r="G144" s="33">
        <f t="shared" si="6"/>
        <v>47.576207924660999</v>
      </c>
      <c r="H144" s="34">
        <f t="shared" si="7"/>
        <v>47576.207924661001</v>
      </c>
    </row>
    <row r="145" spans="6:8" x14ac:dyDescent="0.25">
      <c r="F145" s="22">
        <v>1700</v>
      </c>
      <c r="G145" s="33">
        <f t="shared" si="6"/>
        <v>47.942397909424905</v>
      </c>
      <c r="H145" s="34">
        <f t="shared" si="7"/>
        <v>47942.397909424908</v>
      </c>
    </row>
    <row r="146" spans="6:8" x14ac:dyDescent="0.25">
      <c r="F146" s="22">
        <v>1710</v>
      </c>
      <c r="G146" s="33">
        <f t="shared" si="6"/>
        <v>48.308872969611613</v>
      </c>
      <c r="H146" s="34">
        <f t="shared" si="7"/>
        <v>48308.872969611613</v>
      </c>
    </row>
    <row r="147" spans="6:8" x14ac:dyDescent="0.25">
      <c r="F147" s="22">
        <v>1720</v>
      </c>
      <c r="G147" s="33">
        <f t="shared" si="6"/>
        <v>48.675633105221124</v>
      </c>
      <c r="H147" s="34">
        <f t="shared" si="7"/>
        <v>48675.633105221124</v>
      </c>
    </row>
    <row r="148" spans="6:8" x14ac:dyDescent="0.25">
      <c r="F148" s="22">
        <v>1730</v>
      </c>
      <c r="G148" s="33">
        <f t="shared" si="6"/>
        <v>49.042678316253436</v>
      </c>
      <c r="H148" s="34">
        <f t="shared" si="7"/>
        <v>49042.678316253434</v>
      </c>
    </row>
    <row r="149" spans="6:8" x14ac:dyDescent="0.25">
      <c r="F149" s="22">
        <v>1740</v>
      </c>
      <c r="G149" s="33">
        <f t="shared" si="6"/>
        <v>49.410008602708544</v>
      </c>
      <c r="H149" s="34">
        <f t="shared" si="7"/>
        <v>49410.008602708542</v>
      </c>
    </row>
    <row r="150" spans="6:8" x14ac:dyDescent="0.25">
      <c r="F150" s="22">
        <v>1750</v>
      </c>
      <c r="G150" s="33">
        <f t="shared" si="6"/>
        <v>49.777623964586454</v>
      </c>
      <c r="H150" s="34">
        <f t="shared" si="7"/>
        <v>49777.623964586455</v>
      </c>
    </row>
    <row r="151" spans="6:8" x14ac:dyDescent="0.25">
      <c r="F151" s="22">
        <v>1760</v>
      </c>
      <c r="G151" s="33">
        <f t="shared" si="6"/>
        <v>50.145524401887165</v>
      </c>
      <c r="H151" s="34">
        <f t="shared" si="7"/>
        <v>50145.524401887167</v>
      </c>
    </row>
    <row r="152" spans="6:8" x14ac:dyDescent="0.25">
      <c r="F152" s="22">
        <v>1770</v>
      </c>
      <c r="G152" s="33">
        <f t="shared" si="6"/>
        <v>50.513709914610679</v>
      </c>
      <c r="H152" s="34">
        <f t="shared" si="7"/>
        <v>50513.709914610678</v>
      </c>
    </row>
    <row r="153" spans="6:8" x14ac:dyDescent="0.25">
      <c r="F153" s="22">
        <v>1780</v>
      </c>
      <c r="G153" s="33">
        <f t="shared" si="6"/>
        <v>50.882180502756988</v>
      </c>
      <c r="H153" s="34">
        <f t="shared" si="7"/>
        <v>50882.180502756986</v>
      </c>
    </row>
    <row r="154" spans="6:8" x14ac:dyDescent="0.25">
      <c r="F154" s="22">
        <v>1790</v>
      </c>
      <c r="G154" s="33">
        <f t="shared" si="6"/>
        <v>51.250936166326099</v>
      </c>
      <c r="H154" s="34">
        <f t="shared" si="7"/>
        <v>51250.936166326101</v>
      </c>
    </row>
    <row r="155" spans="6:8" x14ac:dyDescent="0.25">
      <c r="F155" s="22">
        <v>1800</v>
      </c>
      <c r="G155" s="33">
        <f t="shared" si="6"/>
        <v>51.619976905318005</v>
      </c>
      <c r="H155" s="34">
        <f t="shared" si="7"/>
        <v>51619.976905318006</v>
      </c>
    </row>
    <row r="156" spans="6:8" x14ac:dyDescent="0.25">
      <c r="F156" s="22">
        <v>1810</v>
      </c>
      <c r="G156" s="33">
        <f t="shared" si="6"/>
        <v>51.98930271973272</v>
      </c>
      <c r="H156" s="34">
        <f t="shared" si="7"/>
        <v>51989.302719732717</v>
      </c>
    </row>
    <row r="157" spans="6:8" x14ac:dyDescent="0.25">
      <c r="F157" s="22">
        <v>1820</v>
      </c>
      <c r="G157" s="33">
        <f t="shared" si="6"/>
        <v>52.35891360957023</v>
      </c>
      <c r="H157" s="34">
        <f t="shared" si="7"/>
        <v>52358.913609570227</v>
      </c>
    </row>
    <row r="158" spans="6:8" x14ac:dyDescent="0.25">
      <c r="F158" s="22">
        <v>1830</v>
      </c>
      <c r="G158" s="33">
        <f t="shared" si="6"/>
        <v>52.728809574830535</v>
      </c>
      <c r="H158" s="34">
        <f t="shared" si="7"/>
        <v>52728.809574830535</v>
      </c>
    </row>
    <row r="159" spans="6:8" x14ac:dyDescent="0.25">
      <c r="F159" s="22">
        <v>1840</v>
      </c>
      <c r="G159" s="33">
        <f t="shared" si="6"/>
        <v>53.09899061551365</v>
      </c>
      <c r="H159" s="34">
        <f t="shared" si="7"/>
        <v>53098.990615513649</v>
      </c>
    </row>
    <row r="160" spans="6:8" x14ac:dyDescent="0.25">
      <c r="F160" s="22">
        <v>1850</v>
      </c>
      <c r="G160" s="33">
        <f t="shared" si="6"/>
        <v>53.469456731619559</v>
      </c>
      <c r="H160" s="34">
        <f t="shared" si="7"/>
        <v>53469.456731619561</v>
      </c>
    </row>
    <row r="161" spans="6:8" x14ac:dyDescent="0.25">
      <c r="F161" s="22">
        <v>1860</v>
      </c>
      <c r="G161" s="33">
        <f t="shared" si="6"/>
        <v>53.84020792314827</v>
      </c>
      <c r="H161" s="34">
        <f t="shared" si="7"/>
        <v>53840.207923148271</v>
      </c>
    </row>
    <row r="162" spans="6:8" x14ac:dyDescent="0.25">
      <c r="F162" s="22">
        <v>1870</v>
      </c>
      <c r="G162" s="33">
        <f t="shared" si="6"/>
        <v>54.211244190099777</v>
      </c>
      <c r="H162" s="34">
        <f t="shared" si="7"/>
        <v>54211.24419009978</v>
      </c>
    </row>
    <row r="163" spans="6:8" x14ac:dyDescent="0.25">
      <c r="F163" s="22">
        <v>1880</v>
      </c>
      <c r="G163" s="33">
        <f t="shared" si="6"/>
        <v>54.582565532474092</v>
      </c>
      <c r="H163" s="34">
        <f t="shared" si="7"/>
        <v>54582.565532474095</v>
      </c>
    </row>
    <row r="164" spans="6:8" x14ac:dyDescent="0.25">
      <c r="F164" s="22">
        <v>1890</v>
      </c>
      <c r="G164" s="33">
        <f t="shared" si="6"/>
        <v>54.954171950271203</v>
      </c>
      <c r="H164" s="34">
        <f t="shared" si="7"/>
        <v>54954.1719502712</v>
      </c>
    </row>
    <row r="165" spans="6:8" x14ac:dyDescent="0.25">
      <c r="F165" s="22">
        <v>1900</v>
      </c>
      <c r="G165" s="33">
        <f t="shared" si="6"/>
        <v>55.326063443491108</v>
      </c>
      <c r="H165" s="34">
        <f t="shared" si="7"/>
        <v>55326.063443491112</v>
      </c>
    </row>
    <row r="166" spans="6:8" x14ac:dyDescent="0.25">
      <c r="F166" s="22">
        <v>1910</v>
      </c>
      <c r="G166" s="33">
        <f t="shared" si="6"/>
        <v>55.698240012133823</v>
      </c>
      <c r="H166" s="34">
        <f t="shared" si="7"/>
        <v>55698.240012133821</v>
      </c>
    </row>
    <row r="167" spans="6:8" x14ac:dyDescent="0.25">
      <c r="F167" s="22">
        <v>1920</v>
      </c>
      <c r="G167" s="33">
        <f t="shared" si="6"/>
        <v>56.070701656199319</v>
      </c>
      <c r="H167" s="34">
        <f t="shared" si="7"/>
        <v>56070.701656199315</v>
      </c>
    </row>
    <row r="168" spans="6:8" x14ac:dyDescent="0.25">
      <c r="F168" s="22">
        <v>1930</v>
      </c>
      <c r="G168" s="33">
        <f t="shared" si="6"/>
        <v>56.443448375687638</v>
      </c>
      <c r="H168" s="34">
        <f t="shared" si="7"/>
        <v>56443.448375687636</v>
      </c>
    </row>
    <row r="169" spans="6:8" x14ac:dyDescent="0.25">
      <c r="F169" s="22">
        <v>1940</v>
      </c>
      <c r="G169" s="33">
        <f t="shared" si="6"/>
        <v>56.816480170598737</v>
      </c>
      <c r="H169" s="34">
        <f t="shared" si="7"/>
        <v>56816.480170598734</v>
      </c>
    </row>
    <row r="170" spans="6:8" x14ac:dyDescent="0.25">
      <c r="F170" s="22">
        <v>1950</v>
      </c>
      <c r="G170" s="33">
        <f t="shared" si="6"/>
        <v>57.189797040932646</v>
      </c>
      <c r="H170" s="34">
        <f t="shared" si="7"/>
        <v>57189.797040932644</v>
      </c>
    </row>
    <row r="171" spans="6:8" x14ac:dyDescent="0.25">
      <c r="F171" s="22">
        <v>1960</v>
      </c>
      <c r="G171" s="33">
        <f t="shared" si="6"/>
        <v>57.563398986689364</v>
      </c>
      <c r="H171" s="34">
        <f t="shared" si="7"/>
        <v>57563.398986689361</v>
      </c>
    </row>
    <row r="172" spans="6:8" x14ac:dyDescent="0.25">
      <c r="F172" s="22">
        <v>1970</v>
      </c>
      <c r="G172" s="33">
        <f t="shared" si="6"/>
        <v>57.937286007868877</v>
      </c>
      <c r="H172" s="34">
        <f t="shared" si="7"/>
        <v>57937.286007868875</v>
      </c>
    </row>
    <row r="173" spans="6:8" x14ac:dyDescent="0.25">
      <c r="F173" s="22">
        <v>1980</v>
      </c>
      <c r="G173" s="33">
        <f t="shared" si="6"/>
        <v>58.311458104471185</v>
      </c>
      <c r="H173" s="34">
        <f t="shared" si="7"/>
        <v>58311.458104471189</v>
      </c>
    </row>
    <row r="174" spans="6:8" x14ac:dyDescent="0.25">
      <c r="F174" s="22">
        <v>1990</v>
      </c>
      <c r="G174" s="33">
        <f t="shared" si="6"/>
        <v>58.685915276496289</v>
      </c>
      <c r="H174" s="34">
        <f t="shared" si="7"/>
        <v>58685.915276496286</v>
      </c>
    </row>
    <row r="175" spans="6:8" x14ac:dyDescent="0.25">
      <c r="F175" s="22">
        <v>2000</v>
      </c>
      <c r="G175" s="33">
        <f t="shared" si="6"/>
        <v>59.060657523944201</v>
      </c>
      <c r="H175" s="34">
        <f t="shared" si="7"/>
        <v>59060.657523944203</v>
      </c>
    </row>
    <row r="176" spans="6:8" x14ac:dyDescent="0.25">
      <c r="F176" s="22">
        <v>2010</v>
      </c>
      <c r="G176" s="33">
        <f t="shared" si="6"/>
        <v>59.435684846814908</v>
      </c>
      <c r="H176" s="34">
        <f t="shared" si="7"/>
        <v>59435.684846814911</v>
      </c>
    </row>
    <row r="177" spans="6:8" x14ac:dyDescent="0.25">
      <c r="F177" s="22">
        <v>2020</v>
      </c>
      <c r="G177" s="33">
        <f t="shared" si="6"/>
        <v>59.810997245108425</v>
      </c>
      <c r="H177" s="34">
        <f t="shared" si="7"/>
        <v>59810.997245108425</v>
      </c>
    </row>
    <row r="178" spans="6:8" x14ac:dyDescent="0.25">
      <c r="F178" s="22">
        <v>2030</v>
      </c>
      <c r="G178" s="33">
        <f t="shared" si="6"/>
        <v>60.186594718824736</v>
      </c>
      <c r="H178" s="34">
        <f t="shared" si="7"/>
        <v>60186.594718824737</v>
      </c>
    </row>
    <row r="179" spans="6:8" x14ac:dyDescent="0.25">
      <c r="F179" s="22">
        <v>2040</v>
      </c>
      <c r="G179" s="33">
        <f t="shared" si="6"/>
        <v>60.562477267963843</v>
      </c>
      <c r="H179" s="34">
        <f t="shared" si="7"/>
        <v>60562.477267963841</v>
      </c>
    </row>
    <row r="180" spans="6:8" x14ac:dyDescent="0.25">
      <c r="F180" s="22">
        <v>2050</v>
      </c>
      <c r="G180" s="33">
        <f t="shared" si="6"/>
        <v>60.938644892525758</v>
      </c>
      <c r="H180" s="34">
        <f t="shared" si="7"/>
        <v>60938.644892525757</v>
      </c>
    </row>
    <row r="181" spans="6:8" x14ac:dyDescent="0.25">
      <c r="F181" s="22">
        <v>2060</v>
      </c>
      <c r="G181" s="33">
        <f t="shared" si="6"/>
        <v>61.315097592510469</v>
      </c>
      <c r="H181" s="34">
        <f t="shared" si="7"/>
        <v>61315.097592510472</v>
      </c>
    </row>
    <row r="182" spans="6:8" x14ac:dyDescent="0.25">
      <c r="F182" s="22">
        <v>2070</v>
      </c>
      <c r="G182" s="33">
        <f t="shared" si="6"/>
        <v>61.691835367917975</v>
      </c>
      <c r="H182" s="34">
        <f t="shared" si="7"/>
        <v>61691.835367917971</v>
      </c>
    </row>
    <row r="183" spans="6:8" x14ac:dyDescent="0.25">
      <c r="F183" s="22">
        <v>2080</v>
      </c>
      <c r="G183" s="33">
        <f t="shared" si="6"/>
        <v>62.068858218748275</v>
      </c>
      <c r="H183" s="34">
        <f t="shared" si="7"/>
        <v>62068.858218748275</v>
      </c>
    </row>
    <row r="184" spans="6:8" x14ac:dyDescent="0.25">
      <c r="F184" s="22">
        <v>2090</v>
      </c>
      <c r="G184" s="33">
        <f t="shared" si="6"/>
        <v>62.446166145001399</v>
      </c>
      <c r="H184" s="34">
        <f t="shared" si="7"/>
        <v>62446.1661450014</v>
      </c>
    </row>
    <row r="185" spans="6:8" x14ac:dyDescent="0.25">
      <c r="F185" s="22">
        <v>2100</v>
      </c>
      <c r="G185" s="33">
        <f t="shared" si="6"/>
        <v>62.823759146677304</v>
      </c>
      <c r="H185" s="34">
        <f t="shared" si="7"/>
        <v>62823.759146677301</v>
      </c>
    </row>
    <row r="186" spans="6:8" x14ac:dyDescent="0.25">
      <c r="F186" s="22">
        <v>2110</v>
      </c>
      <c r="G186" s="33">
        <f t="shared" si="6"/>
        <v>63.201637223776018</v>
      </c>
      <c r="H186" s="34">
        <f t="shared" si="7"/>
        <v>63201.637223776015</v>
      </c>
    </row>
    <row r="187" spans="6:8" x14ac:dyDescent="0.25">
      <c r="F187" s="22">
        <v>2120</v>
      </c>
      <c r="G187" s="33">
        <f t="shared" si="6"/>
        <v>63.579800376297527</v>
      </c>
      <c r="H187" s="34">
        <f t="shared" si="7"/>
        <v>63579.800376297528</v>
      </c>
    </row>
    <row r="188" spans="6:8" x14ac:dyDescent="0.25">
      <c r="F188" s="22">
        <v>2130</v>
      </c>
      <c r="G188" s="33">
        <f t="shared" si="6"/>
        <v>63.958248604241845</v>
      </c>
      <c r="H188" s="34">
        <f t="shared" si="7"/>
        <v>63958.248604241846</v>
      </c>
    </row>
    <row r="189" spans="6:8" x14ac:dyDescent="0.25">
      <c r="F189" s="22">
        <v>2140</v>
      </c>
      <c r="G189" s="33">
        <f t="shared" si="6"/>
        <v>64.336981907608944</v>
      </c>
      <c r="H189" s="34">
        <f t="shared" si="7"/>
        <v>64336.981907608941</v>
      </c>
    </row>
    <row r="190" spans="6:8" x14ac:dyDescent="0.25">
      <c r="F190" s="22">
        <v>2150</v>
      </c>
      <c r="G190" s="33">
        <f t="shared" si="6"/>
        <v>64.716000286398852</v>
      </c>
      <c r="H190" s="34">
        <f t="shared" si="7"/>
        <v>64716.000286398856</v>
      </c>
    </row>
    <row r="191" spans="6:8" x14ac:dyDescent="0.25">
      <c r="F191" s="22">
        <v>2160</v>
      </c>
      <c r="G191" s="33">
        <f t="shared" si="6"/>
        <v>65.095303740611556</v>
      </c>
      <c r="H191" s="34">
        <f t="shared" si="7"/>
        <v>65095.303740611555</v>
      </c>
    </row>
    <row r="192" spans="6:8" x14ac:dyDescent="0.25">
      <c r="F192" s="22">
        <v>2170</v>
      </c>
      <c r="G192" s="33">
        <f t="shared" si="6"/>
        <v>65.474892270247082</v>
      </c>
      <c r="H192" s="34">
        <f t="shared" si="7"/>
        <v>65474.892270247081</v>
      </c>
    </row>
    <row r="193" spans="6:8" x14ac:dyDescent="0.25">
      <c r="F193" s="22">
        <v>2180</v>
      </c>
      <c r="G193" s="33">
        <f t="shared" si="6"/>
        <v>65.854765875305389</v>
      </c>
      <c r="H193" s="34">
        <f t="shared" si="7"/>
        <v>65854.765875305384</v>
      </c>
    </row>
    <row r="194" spans="6:8" x14ac:dyDescent="0.25">
      <c r="F194" s="22">
        <v>2190</v>
      </c>
      <c r="G194" s="33">
        <f t="shared" si="6"/>
        <v>66.234924555786506</v>
      </c>
      <c r="H194" s="34">
        <f t="shared" si="7"/>
        <v>66234.924555786507</v>
      </c>
    </row>
    <row r="195" spans="6:8" x14ac:dyDescent="0.25">
      <c r="F195" s="22">
        <v>2200</v>
      </c>
      <c r="G195" s="33">
        <f t="shared" si="6"/>
        <v>66.615368311690403</v>
      </c>
      <c r="H195" s="34">
        <f t="shared" si="7"/>
        <v>66615.368311690399</v>
      </c>
    </row>
    <row r="196" spans="6:8" x14ac:dyDescent="0.25">
      <c r="F196" s="22">
        <v>2210</v>
      </c>
      <c r="G196" s="33">
        <f t="shared" si="6"/>
        <v>66.996097143017124</v>
      </c>
      <c r="H196" s="34">
        <f t="shared" si="7"/>
        <v>66996.097143017119</v>
      </c>
    </row>
    <row r="197" spans="6:8" x14ac:dyDescent="0.25">
      <c r="F197" s="22">
        <v>2220</v>
      </c>
      <c r="G197" s="33">
        <f t="shared" ref="G197:G260" si="8" xml:space="preserve"> 0.000001425377114*F197^2 + 0.031786970059931*F197 - 10.2147910519178</f>
        <v>67.377111049766626</v>
      </c>
      <c r="H197" s="34">
        <f t="shared" ref="H197:H260" si="9">G197*1000</f>
        <v>67377.111049766623</v>
      </c>
    </row>
    <row r="198" spans="6:8" x14ac:dyDescent="0.25">
      <c r="F198" s="22">
        <v>2230</v>
      </c>
      <c r="G198" s="33">
        <f t="shared" si="8"/>
        <v>67.758410031938936</v>
      </c>
      <c r="H198" s="34">
        <f t="shared" si="9"/>
        <v>67758.41003193894</v>
      </c>
    </row>
    <row r="199" spans="6:8" x14ac:dyDescent="0.25">
      <c r="F199" s="22">
        <v>2240</v>
      </c>
      <c r="G199" s="33">
        <f t="shared" si="8"/>
        <v>68.139994089534042</v>
      </c>
      <c r="H199" s="34">
        <f t="shared" si="9"/>
        <v>68139.994089534041</v>
      </c>
    </row>
    <row r="200" spans="6:8" x14ac:dyDescent="0.25">
      <c r="F200" s="22">
        <v>2250</v>
      </c>
      <c r="G200" s="33">
        <f t="shared" si="8"/>
        <v>68.521863222551957</v>
      </c>
      <c r="H200" s="34">
        <f t="shared" si="9"/>
        <v>68521.863222551954</v>
      </c>
    </row>
    <row r="201" spans="6:8" x14ac:dyDescent="0.25">
      <c r="F201" s="22">
        <v>2260</v>
      </c>
      <c r="G201" s="33">
        <f t="shared" si="8"/>
        <v>68.904017430992667</v>
      </c>
      <c r="H201" s="34">
        <f t="shared" si="9"/>
        <v>68904.017430992666</v>
      </c>
    </row>
    <row r="202" spans="6:8" x14ac:dyDescent="0.25">
      <c r="F202" s="22">
        <v>2270</v>
      </c>
      <c r="G202" s="33">
        <f t="shared" si="8"/>
        <v>69.286456714856186</v>
      </c>
      <c r="H202" s="34">
        <f t="shared" si="9"/>
        <v>69286.456714856191</v>
      </c>
    </row>
    <row r="203" spans="6:8" x14ac:dyDescent="0.25">
      <c r="F203" s="22">
        <v>2280</v>
      </c>
      <c r="G203" s="33">
        <f t="shared" si="8"/>
        <v>69.669181074142486</v>
      </c>
      <c r="H203" s="34">
        <f t="shared" si="9"/>
        <v>69669.181074142485</v>
      </c>
    </row>
    <row r="204" spans="6:8" x14ac:dyDescent="0.25">
      <c r="F204" s="22">
        <v>2290</v>
      </c>
      <c r="G204" s="33">
        <f t="shared" si="8"/>
        <v>70.052190508851595</v>
      </c>
      <c r="H204" s="34">
        <f t="shared" si="9"/>
        <v>70052.190508851592</v>
      </c>
    </row>
    <row r="205" spans="6:8" x14ac:dyDescent="0.25">
      <c r="F205" s="22">
        <v>2300</v>
      </c>
      <c r="G205" s="33">
        <f t="shared" si="8"/>
        <v>70.435485018983499</v>
      </c>
      <c r="H205" s="34">
        <f t="shared" si="9"/>
        <v>70435.485018983498</v>
      </c>
    </row>
    <row r="206" spans="6:8" x14ac:dyDescent="0.25">
      <c r="F206" s="22">
        <v>2310</v>
      </c>
      <c r="G206" s="33">
        <f t="shared" si="8"/>
        <v>70.819064604538227</v>
      </c>
      <c r="H206" s="34">
        <f t="shared" si="9"/>
        <v>70819.064604538231</v>
      </c>
    </row>
    <row r="207" spans="6:8" x14ac:dyDescent="0.25">
      <c r="F207" s="22">
        <v>2320</v>
      </c>
      <c r="G207" s="33">
        <f t="shared" si="8"/>
        <v>71.202929265515721</v>
      </c>
      <c r="H207" s="34">
        <f t="shared" si="9"/>
        <v>71202.929265515719</v>
      </c>
    </row>
    <row r="208" spans="6:8" x14ac:dyDescent="0.25">
      <c r="F208" s="22">
        <v>2330</v>
      </c>
      <c r="G208" s="33">
        <f t="shared" si="8"/>
        <v>71.587079001916038</v>
      </c>
      <c r="H208" s="34">
        <f t="shared" si="9"/>
        <v>71587.079001916034</v>
      </c>
    </row>
    <row r="209" spans="6:8" x14ac:dyDescent="0.25">
      <c r="F209" s="22">
        <v>2340</v>
      </c>
      <c r="G209" s="33">
        <f t="shared" si="8"/>
        <v>71.971513813739151</v>
      </c>
      <c r="H209" s="34">
        <f t="shared" si="9"/>
        <v>71971.513813739148</v>
      </c>
    </row>
    <row r="210" spans="6:8" x14ac:dyDescent="0.25">
      <c r="F210" s="22">
        <v>2350</v>
      </c>
      <c r="G210" s="33">
        <f t="shared" si="8"/>
        <v>72.356233700985058</v>
      </c>
      <c r="H210" s="34">
        <f t="shared" si="9"/>
        <v>72356.23370098506</v>
      </c>
    </row>
    <row r="211" spans="6:8" x14ac:dyDescent="0.25">
      <c r="F211" s="22">
        <v>2360</v>
      </c>
      <c r="G211" s="33">
        <f t="shared" si="8"/>
        <v>72.74123866365376</v>
      </c>
      <c r="H211" s="34">
        <f t="shared" si="9"/>
        <v>72741.238663653756</v>
      </c>
    </row>
    <row r="212" spans="6:8" x14ac:dyDescent="0.25">
      <c r="F212" s="22">
        <v>2370</v>
      </c>
      <c r="G212" s="33">
        <f t="shared" si="8"/>
        <v>73.126528701745286</v>
      </c>
      <c r="H212" s="34">
        <f t="shared" si="9"/>
        <v>73126.528701745279</v>
      </c>
    </row>
    <row r="213" spans="6:8" x14ac:dyDescent="0.25">
      <c r="F213" s="22">
        <v>2380</v>
      </c>
      <c r="G213" s="33">
        <f t="shared" si="8"/>
        <v>73.512103815259579</v>
      </c>
      <c r="H213" s="34">
        <f t="shared" si="9"/>
        <v>73512.103815259572</v>
      </c>
    </row>
    <row r="214" spans="6:8" x14ac:dyDescent="0.25">
      <c r="F214" s="22">
        <v>2390</v>
      </c>
      <c r="G214" s="33">
        <f t="shared" si="8"/>
        <v>73.897964004196709</v>
      </c>
      <c r="H214" s="34">
        <f t="shared" si="9"/>
        <v>73897.964004196707</v>
      </c>
    </row>
    <row r="215" spans="6:8" x14ac:dyDescent="0.25">
      <c r="F215" s="22">
        <v>2400</v>
      </c>
      <c r="G215" s="33">
        <f t="shared" si="8"/>
        <v>74.284109268556605</v>
      </c>
      <c r="H215" s="34">
        <f t="shared" si="9"/>
        <v>74284.109268556611</v>
      </c>
    </row>
    <row r="216" spans="6:8" x14ac:dyDescent="0.25">
      <c r="F216" s="22">
        <v>2410</v>
      </c>
      <c r="G216" s="33">
        <f t="shared" si="8"/>
        <v>74.670539608339325</v>
      </c>
      <c r="H216" s="34">
        <f t="shared" si="9"/>
        <v>74670.539608339328</v>
      </c>
    </row>
    <row r="217" spans="6:8" x14ac:dyDescent="0.25">
      <c r="F217" s="22">
        <v>2420</v>
      </c>
      <c r="G217" s="33">
        <f t="shared" si="8"/>
        <v>75.057255023544826</v>
      </c>
      <c r="H217" s="34">
        <f t="shared" si="9"/>
        <v>75057.255023544829</v>
      </c>
    </row>
    <row r="218" spans="6:8" x14ac:dyDescent="0.25">
      <c r="F218" s="22">
        <v>2430</v>
      </c>
      <c r="G218" s="33">
        <f t="shared" si="8"/>
        <v>75.444255514173136</v>
      </c>
      <c r="H218" s="34">
        <f t="shared" si="9"/>
        <v>75444.255514173143</v>
      </c>
    </row>
    <row r="219" spans="6:8" x14ac:dyDescent="0.25">
      <c r="F219" s="22">
        <v>2440</v>
      </c>
      <c r="G219" s="33">
        <f t="shared" si="8"/>
        <v>75.831541080224241</v>
      </c>
      <c r="H219" s="34">
        <f t="shared" si="9"/>
        <v>75831.54108022424</v>
      </c>
    </row>
    <row r="220" spans="6:8" x14ac:dyDescent="0.25">
      <c r="F220" s="22">
        <v>2450</v>
      </c>
      <c r="G220" s="33">
        <f t="shared" si="8"/>
        <v>76.219111721698155</v>
      </c>
      <c r="H220" s="34">
        <f t="shared" si="9"/>
        <v>76219.111721698151</v>
      </c>
    </row>
    <row r="221" spans="6:8" x14ac:dyDescent="0.25">
      <c r="F221" s="22">
        <v>2460</v>
      </c>
      <c r="G221" s="33">
        <f t="shared" si="8"/>
        <v>76.606967438594864</v>
      </c>
      <c r="H221" s="34">
        <f t="shared" si="9"/>
        <v>76606.96743859486</v>
      </c>
    </row>
    <row r="222" spans="6:8" x14ac:dyDescent="0.25">
      <c r="F222" s="22">
        <v>2470</v>
      </c>
      <c r="G222" s="33">
        <f t="shared" si="8"/>
        <v>76.995108230914383</v>
      </c>
      <c r="H222" s="34">
        <f t="shared" si="9"/>
        <v>76995.108230914382</v>
      </c>
    </row>
    <row r="223" spans="6:8" x14ac:dyDescent="0.25">
      <c r="F223" s="22">
        <v>2480</v>
      </c>
      <c r="G223" s="33">
        <f t="shared" si="8"/>
        <v>77.383534098656682</v>
      </c>
      <c r="H223" s="34">
        <f t="shared" si="9"/>
        <v>77383.534098656688</v>
      </c>
    </row>
    <row r="224" spans="6:8" x14ac:dyDescent="0.25">
      <c r="F224" s="22">
        <v>2490</v>
      </c>
      <c r="G224" s="33">
        <f t="shared" si="8"/>
        <v>77.772245041821805</v>
      </c>
      <c r="H224" s="34">
        <f t="shared" si="9"/>
        <v>77772.245041821807</v>
      </c>
    </row>
    <row r="225" spans="6:8" x14ac:dyDescent="0.25">
      <c r="F225" s="22">
        <v>2500</v>
      </c>
      <c r="G225" s="33">
        <f t="shared" si="8"/>
        <v>78.161241060409708</v>
      </c>
      <c r="H225" s="34">
        <f t="shared" si="9"/>
        <v>78161.241060409709</v>
      </c>
    </row>
    <row r="226" spans="6:8" x14ac:dyDescent="0.25">
      <c r="F226" s="22">
        <v>2510</v>
      </c>
      <c r="G226" s="33">
        <f t="shared" si="8"/>
        <v>78.55052215442042</v>
      </c>
      <c r="H226" s="34">
        <f t="shared" si="9"/>
        <v>78550.522154420425</v>
      </c>
    </row>
    <row r="227" spans="6:8" x14ac:dyDescent="0.25">
      <c r="F227" s="22">
        <v>2520</v>
      </c>
      <c r="G227" s="33">
        <f t="shared" si="8"/>
        <v>78.940088323853928</v>
      </c>
      <c r="H227" s="34">
        <f t="shared" si="9"/>
        <v>78940.088323853925</v>
      </c>
    </row>
    <row r="228" spans="6:8" x14ac:dyDescent="0.25">
      <c r="F228" s="22">
        <v>2530</v>
      </c>
      <c r="G228" s="33">
        <f t="shared" si="8"/>
        <v>79.329939568710245</v>
      </c>
      <c r="H228" s="34">
        <f t="shared" si="9"/>
        <v>79329.939568710251</v>
      </c>
    </row>
    <row r="229" spans="6:8" x14ac:dyDescent="0.25">
      <c r="F229" s="22">
        <v>2540</v>
      </c>
      <c r="G229" s="33">
        <f t="shared" si="8"/>
        <v>79.720075888989342</v>
      </c>
      <c r="H229" s="34">
        <f t="shared" si="9"/>
        <v>79720.075888989348</v>
      </c>
    </row>
    <row r="230" spans="6:8" x14ac:dyDescent="0.25">
      <c r="F230" s="22">
        <v>2550</v>
      </c>
      <c r="G230" s="33">
        <f t="shared" si="8"/>
        <v>80.110497284691263</v>
      </c>
      <c r="H230" s="34">
        <f t="shared" si="9"/>
        <v>80110.497284691257</v>
      </c>
    </row>
    <row r="231" spans="6:8" x14ac:dyDescent="0.25">
      <c r="F231" s="22">
        <v>2560</v>
      </c>
      <c r="G231" s="33">
        <f t="shared" si="8"/>
        <v>80.501203755815965</v>
      </c>
      <c r="H231" s="34">
        <f t="shared" si="9"/>
        <v>80501.203755815965</v>
      </c>
    </row>
    <row r="232" spans="6:8" x14ac:dyDescent="0.25">
      <c r="F232" s="22">
        <v>2570</v>
      </c>
      <c r="G232" s="33">
        <f t="shared" si="8"/>
        <v>80.892195302363476</v>
      </c>
      <c r="H232" s="34">
        <f t="shared" si="9"/>
        <v>80892.195302363471</v>
      </c>
    </row>
    <row r="233" spans="6:8" x14ac:dyDescent="0.25">
      <c r="F233" s="22">
        <v>2580</v>
      </c>
      <c r="G233" s="33">
        <f t="shared" si="8"/>
        <v>81.283471924333782</v>
      </c>
      <c r="H233" s="34">
        <f t="shared" si="9"/>
        <v>81283.471924333775</v>
      </c>
    </row>
    <row r="234" spans="6:8" x14ac:dyDescent="0.25">
      <c r="F234" s="22">
        <v>2590</v>
      </c>
      <c r="G234" s="33">
        <f t="shared" si="8"/>
        <v>81.675033621726882</v>
      </c>
      <c r="H234" s="34">
        <f t="shared" si="9"/>
        <v>81675.033621726878</v>
      </c>
    </row>
    <row r="235" spans="6:8" x14ac:dyDescent="0.25">
      <c r="F235" s="22">
        <v>2600</v>
      </c>
      <c r="G235" s="33">
        <f t="shared" si="8"/>
        <v>82.066880394542807</v>
      </c>
      <c r="H235" s="34">
        <f t="shared" si="9"/>
        <v>82066.880394542808</v>
      </c>
    </row>
    <row r="236" spans="6:8" x14ac:dyDescent="0.25">
      <c r="F236" s="22">
        <v>2610</v>
      </c>
      <c r="G236" s="33">
        <f t="shared" si="8"/>
        <v>82.459012242781512</v>
      </c>
      <c r="H236" s="34">
        <f t="shared" si="9"/>
        <v>82459.012242781508</v>
      </c>
    </row>
    <row r="237" spans="6:8" x14ac:dyDescent="0.25">
      <c r="F237" s="22">
        <v>2620</v>
      </c>
      <c r="G237" s="33">
        <f t="shared" si="8"/>
        <v>82.851429166443026</v>
      </c>
      <c r="H237" s="34">
        <f t="shared" si="9"/>
        <v>82851.42916644302</v>
      </c>
    </row>
    <row r="238" spans="6:8" x14ac:dyDescent="0.25">
      <c r="F238" s="22">
        <v>2630</v>
      </c>
      <c r="G238" s="33">
        <f t="shared" si="8"/>
        <v>83.244131165527335</v>
      </c>
      <c r="H238" s="34">
        <f t="shared" si="9"/>
        <v>83244.131165527331</v>
      </c>
    </row>
    <row r="239" spans="6:8" x14ac:dyDescent="0.25">
      <c r="F239" s="22">
        <v>2640</v>
      </c>
      <c r="G239" s="33">
        <f t="shared" si="8"/>
        <v>83.63711824003444</v>
      </c>
      <c r="H239" s="34">
        <f t="shared" si="9"/>
        <v>83637.118240034441</v>
      </c>
    </row>
    <row r="240" spans="6:8" x14ac:dyDescent="0.25">
      <c r="F240" s="22">
        <v>2650</v>
      </c>
      <c r="G240" s="33">
        <f t="shared" si="8"/>
        <v>84.030390389964353</v>
      </c>
      <c r="H240" s="34">
        <f t="shared" si="9"/>
        <v>84030.390389964348</v>
      </c>
    </row>
    <row r="241" spans="6:8" x14ac:dyDescent="0.25">
      <c r="F241" s="22">
        <v>2660</v>
      </c>
      <c r="G241" s="33">
        <f t="shared" si="8"/>
        <v>84.423947615317061</v>
      </c>
      <c r="H241" s="34">
        <f t="shared" si="9"/>
        <v>84423.947615317054</v>
      </c>
    </row>
    <row r="242" spans="6:8" x14ac:dyDescent="0.25">
      <c r="F242" s="22">
        <v>2670</v>
      </c>
      <c r="G242" s="33">
        <f t="shared" si="8"/>
        <v>84.817789916092565</v>
      </c>
      <c r="H242" s="34">
        <f t="shared" si="9"/>
        <v>84817.789916092559</v>
      </c>
    </row>
    <row r="243" spans="6:8" x14ac:dyDescent="0.25">
      <c r="F243" s="22">
        <v>2680</v>
      </c>
      <c r="G243" s="33">
        <f t="shared" si="8"/>
        <v>85.211917292290892</v>
      </c>
      <c r="H243" s="34">
        <f t="shared" si="9"/>
        <v>85211.917292290891</v>
      </c>
    </row>
    <row r="244" spans="6:8" x14ac:dyDescent="0.25">
      <c r="F244" s="22">
        <v>2690</v>
      </c>
      <c r="G244" s="33">
        <f t="shared" si="8"/>
        <v>85.606329743911985</v>
      </c>
      <c r="H244" s="34">
        <f t="shared" si="9"/>
        <v>85606.329743911978</v>
      </c>
    </row>
    <row r="245" spans="6:8" x14ac:dyDescent="0.25">
      <c r="F245" s="22">
        <v>2700</v>
      </c>
      <c r="G245" s="33">
        <f t="shared" si="8"/>
        <v>86.001027270955902</v>
      </c>
      <c r="H245" s="34">
        <f t="shared" si="9"/>
        <v>86001.027270955907</v>
      </c>
    </row>
    <row r="246" spans="6:8" x14ac:dyDescent="0.25">
      <c r="F246" s="22">
        <v>2710</v>
      </c>
      <c r="G246" s="33">
        <f t="shared" si="8"/>
        <v>86.396009873422614</v>
      </c>
      <c r="H246" s="34">
        <f t="shared" si="9"/>
        <v>86396.009873422619</v>
      </c>
    </row>
    <row r="247" spans="6:8" x14ac:dyDescent="0.25">
      <c r="F247" s="22">
        <v>2720</v>
      </c>
      <c r="G247" s="33">
        <f t="shared" si="8"/>
        <v>86.79127755131212</v>
      </c>
      <c r="H247" s="34">
        <f t="shared" si="9"/>
        <v>86791.277551312116</v>
      </c>
    </row>
    <row r="248" spans="6:8" x14ac:dyDescent="0.25">
      <c r="F248" s="22">
        <v>2730</v>
      </c>
      <c r="G248" s="33">
        <f t="shared" si="8"/>
        <v>87.186830304624422</v>
      </c>
      <c r="H248" s="34">
        <f t="shared" si="9"/>
        <v>87186.830304624425</v>
      </c>
    </row>
    <row r="249" spans="6:8" x14ac:dyDescent="0.25">
      <c r="F249" s="22">
        <v>2740</v>
      </c>
      <c r="G249" s="33">
        <f t="shared" si="8"/>
        <v>87.582668133359547</v>
      </c>
      <c r="H249" s="34">
        <f t="shared" si="9"/>
        <v>87582.668133359548</v>
      </c>
    </row>
    <row r="250" spans="6:8" x14ac:dyDescent="0.25">
      <c r="F250" s="22">
        <v>2750</v>
      </c>
      <c r="G250" s="33">
        <f t="shared" si="8"/>
        <v>87.978791037517453</v>
      </c>
      <c r="H250" s="34">
        <f t="shared" si="9"/>
        <v>87978.791037517454</v>
      </c>
    </row>
    <row r="251" spans="6:8" x14ac:dyDescent="0.25">
      <c r="F251" s="22">
        <v>2760</v>
      </c>
      <c r="G251" s="33">
        <f t="shared" si="8"/>
        <v>88.375199017098168</v>
      </c>
      <c r="H251" s="34">
        <f t="shared" si="9"/>
        <v>88375.199017098173</v>
      </c>
    </row>
    <row r="252" spans="6:8" x14ac:dyDescent="0.25">
      <c r="F252" s="22">
        <v>2770</v>
      </c>
      <c r="G252" s="33">
        <f t="shared" si="8"/>
        <v>88.771892072101664</v>
      </c>
      <c r="H252" s="34">
        <f t="shared" si="9"/>
        <v>88771.892072101662</v>
      </c>
    </row>
    <row r="253" spans="6:8" x14ac:dyDescent="0.25">
      <c r="F253" s="22">
        <v>2780</v>
      </c>
      <c r="G253" s="33">
        <f t="shared" si="8"/>
        <v>89.168870202527984</v>
      </c>
      <c r="H253" s="34">
        <f t="shared" si="9"/>
        <v>89168.870202527978</v>
      </c>
    </row>
    <row r="254" spans="6:8" x14ac:dyDescent="0.25">
      <c r="F254" s="22">
        <v>2790</v>
      </c>
      <c r="G254" s="33">
        <f t="shared" si="8"/>
        <v>89.566133408377098</v>
      </c>
      <c r="H254" s="34">
        <f t="shared" si="9"/>
        <v>89566.133408377093</v>
      </c>
    </row>
    <row r="255" spans="6:8" x14ac:dyDescent="0.25">
      <c r="F255" s="22">
        <v>2800</v>
      </c>
      <c r="G255" s="33">
        <f t="shared" si="8"/>
        <v>89.963681689649007</v>
      </c>
      <c r="H255" s="34">
        <f t="shared" si="9"/>
        <v>89963.681689649005</v>
      </c>
    </row>
    <row r="256" spans="6:8" x14ac:dyDescent="0.25">
      <c r="F256" s="22">
        <v>2810</v>
      </c>
      <c r="G256" s="33">
        <f t="shared" si="8"/>
        <v>90.361515046343712</v>
      </c>
      <c r="H256" s="34">
        <f t="shared" si="9"/>
        <v>90361.515046343717</v>
      </c>
    </row>
    <row r="257" spans="6:8" x14ac:dyDescent="0.25">
      <c r="F257" s="22">
        <v>2820</v>
      </c>
      <c r="G257" s="33">
        <f t="shared" si="8"/>
        <v>90.759633478461225</v>
      </c>
      <c r="H257" s="34">
        <f t="shared" si="9"/>
        <v>90759.633478461226</v>
      </c>
    </row>
    <row r="258" spans="6:8" x14ac:dyDescent="0.25">
      <c r="F258" s="22">
        <v>2830</v>
      </c>
      <c r="G258" s="33">
        <f t="shared" si="8"/>
        <v>91.158036986001534</v>
      </c>
      <c r="H258" s="34">
        <f t="shared" si="9"/>
        <v>91158.036986001534</v>
      </c>
    </row>
    <row r="259" spans="6:8" x14ac:dyDescent="0.25">
      <c r="F259" s="22">
        <v>2840</v>
      </c>
      <c r="G259" s="33">
        <f t="shared" si="8"/>
        <v>91.556725568964652</v>
      </c>
      <c r="H259" s="34">
        <f t="shared" si="9"/>
        <v>91556.725568964655</v>
      </c>
    </row>
    <row r="260" spans="6:8" x14ac:dyDescent="0.25">
      <c r="F260" s="22">
        <v>2850</v>
      </c>
      <c r="G260" s="33">
        <f t="shared" si="8"/>
        <v>91.95569922735055</v>
      </c>
      <c r="H260" s="34">
        <f t="shared" si="9"/>
        <v>91955.699227350546</v>
      </c>
    </row>
    <row r="261" spans="6:8" x14ac:dyDescent="0.25">
      <c r="F261" s="22">
        <v>2860</v>
      </c>
      <c r="G261" s="33">
        <f t="shared" ref="G261:G324" si="10" xml:space="preserve"> 0.000001425377114*F261^2 + 0.031786970059931*F261 - 10.2147910519178</f>
        <v>92.354957961159272</v>
      </c>
      <c r="H261" s="34">
        <f t="shared" ref="H261:H324" si="11">G261*1000</f>
        <v>92354.957961159278</v>
      </c>
    </row>
    <row r="262" spans="6:8" x14ac:dyDescent="0.25">
      <c r="F262" s="22">
        <v>2870</v>
      </c>
      <c r="G262" s="33">
        <f t="shared" si="10"/>
        <v>92.754501770390775</v>
      </c>
      <c r="H262" s="34">
        <f t="shared" si="11"/>
        <v>92754.50177039078</v>
      </c>
    </row>
    <row r="263" spans="6:8" x14ac:dyDescent="0.25">
      <c r="F263" s="22">
        <v>2880</v>
      </c>
      <c r="G263" s="33">
        <f t="shared" si="10"/>
        <v>93.154330655045086</v>
      </c>
      <c r="H263" s="34">
        <f t="shared" si="11"/>
        <v>93154.33065504508</v>
      </c>
    </row>
    <row r="264" spans="6:8" x14ac:dyDescent="0.25">
      <c r="F264" s="22">
        <v>2890</v>
      </c>
      <c r="G264" s="33">
        <f t="shared" si="10"/>
        <v>93.554444615122193</v>
      </c>
      <c r="H264" s="34">
        <f t="shared" si="11"/>
        <v>93554.444615122193</v>
      </c>
    </row>
    <row r="265" spans="6:8" x14ac:dyDescent="0.25">
      <c r="F265" s="22">
        <v>2900</v>
      </c>
      <c r="G265" s="33">
        <f t="shared" si="10"/>
        <v>93.954843650622109</v>
      </c>
      <c r="H265" s="34">
        <f t="shared" si="11"/>
        <v>93954.843650622104</v>
      </c>
    </row>
    <row r="266" spans="6:8" x14ac:dyDescent="0.25">
      <c r="F266" s="22">
        <v>2910</v>
      </c>
      <c r="G266" s="33">
        <f t="shared" si="10"/>
        <v>94.355527761544806</v>
      </c>
      <c r="H266" s="34">
        <f t="shared" si="11"/>
        <v>94355.527761544799</v>
      </c>
    </row>
    <row r="267" spans="6:8" x14ac:dyDescent="0.25">
      <c r="F267" s="22">
        <v>2920</v>
      </c>
      <c r="G267" s="33">
        <f t="shared" si="10"/>
        <v>94.756496947890327</v>
      </c>
      <c r="H267" s="34">
        <f t="shared" si="11"/>
        <v>94756.496947890322</v>
      </c>
    </row>
    <row r="268" spans="6:8" x14ac:dyDescent="0.25">
      <c r="F268" s="22">
        <v>2930</v>
      </c>
      <c r="G268" s="33">
        <f t="shared" si="10"/>
        <v>95.157751209658628</v>
      </c>
      <c r="H268" s="34">
        <f t="shared" si="11"/>
        <v>95157.751209658629</v>
      </c>
    </row>
    <row r="269" spans="6:8" x14ac:dyDescent="0.25">
      <c r="F269" s="22">
        <v>2940</v>
      </c>
      <c r="G269" s="33">
        <f t="shared" si="10"/>
        <v>95.559290546849752</v>
      </c>
      <c r="H269" s="34">
        <f t="shared" si="11"/>
        <v>95559.290546849748</v>
      </c>
    </row>
    <row r="270" spans="6:8" x14ac:dyDescent="0.25">
      <c r="F270" s="22">
        <v>2950</v>
      </c>
      <c r="G270" s="33">
        <f t="shared" si="10"/>
        <v>95.961114959463657</v>
      </c>
      <c r="H270" s="34">
        <f t="shared" si="11"/>
        <v>95961.114959463652</v>
      </c>
    </row>
    <row r="271" spans="6:8" x14ac:dyDescent="0.25">
      <c r="F271" s="22">
        <v>2960</v>
      </c>
      <c r="G271" s="33">
        <f t="shared" si="10"/>
        <v>96.363224447500372</v>
      </c>
      <c r="H271" s="34">
        <f t="shared" si="11"/>
        <v>96363.224447500368</v>
      </c>
    </row>
    <row r="272" spans="6:8" x14ac:dyDescent="0.25">
      <c r="F272" s="22">
        <v>2970</v>
      </c>
      <c r="G272" s="33">
        <f t="shared" si="10"/>
        <v>96.765619010959867</v>
      </c>
      <c r="H272" s="34">
        <f t="shared" si="11"/>
        <v>96765.619010959868</v>
      </c>
    </row>
    <row r="273" spans="6:8" x14ac:dyDescent="0.25">
      <c r="F273" s="22">
        <v>2980</v>
      </c>
      <c r="G273" s="33">
        <f t="shared" si="10"/>
        <v>97.168298649842185</v>
      </c>
      <c r="H273" s="34">
        <f t="shared" si="11"/>
        <v>97168.298649842181</v>
      </c>
    </row>
    <row r="274" spans="6:8" x14ac:dyDescent="0.25">
      <c r="F274" s="22">
        <v>2990</v>
      </c>
      <c r="G274" s="33">
        <f t="shared" si="10"/>
        <v>97.571263364147299</v>
      </c>
      <c r="H274" s="34">
        <f t="shared" si="11"/>
        <v>97571.263364147293</v>
      </c>
    </row>
    <row r="275" spans="6:8" x14ac:dyDescent="0.25">
      <c r="F275" s="22">
        <v>3000</v>
      </c>
      <c r="G275" s="33">
        <f t="shared" si="10"/>
        <v>97.974513153875208</v>
      </c>
      <c r="H275" s="34">
        <f t="shared" si="11"/>
        <v>97974.513153875203</v>
      </c>
    </row>
    <row r="276" spans="6:8" x14ac:dyDescent="0.25">
      <c r="F276" s="22">
        <v>3010</v>
      </c>
      <c r="G276" s="33">
        <f t="shared" si="10"/>
        <v>98.378048019025911</v>
      </c>
      <c r="H276" s="34">
        <f t="shared" si="11"/>
        <v>98378.048019025911</v>
      </c>
    </row>
    <row r="277" spans="6:8" x14ac:dyDescent="0.25">
      <c r="F277" s="22">
        <v>3020</v>
      </c>
      <c r="G277" s="33">
        <f t="shared" si="10"/>
        <v>98.781867959599424</v>
      </c>
      <c r="H277" s="34">
        <f t="shared" si="11"/>
        <v>98781.867959599418</v>
      </c>
    </row>
    <row r="278" spans="6:8" x14ac:dyDescent="0.25">
      <c r="F278" s="22">
        <v>3030</v>
      </c>
      <c r="G278" s="33">
        <f t="shared" si="10"/>
        <v>99.185972975595732</v>
      </c>
      <c r="H278" s="34">
        <f t="shared" si="11"/>
        <v>99185.972975595738</v>
      </c>
    </row>
    <row r="279" spans="6:8" x14ac:dyDescent="0.25">
      <c r="F279" s="22">
        <v>3040</v>
      </c>
      <c r="G279" s="33">
        <f t="shared" si="10"/>
        <v>99.590363067014849</v>
      </c>
      <c r="H279" s="34">
        <f t="shared" si="11"/>
        <v>99590.363067014856</v>
      </c>
    </row>
    <row r="280" spans="6:8" x14ac:dyDescent="0.25">
      <c r="F280" s="22">
        <v>3050</v>
      </c>
      <c r="G280" s="33">
        <f t="shared" si="10"/>
        <v>99.995038233856747</v>
      </c>
      <c r="H280" s="34">
        <f t="shared" si="11"/>
        <v>99995.038233856743</v>
      </c>
    </row>
    <row r="281" spans="6:8" x14ac:dyDescent="0.25">
      <c r="F281" s="22">
        <v>3060</v>
      </c>
      <c r="G281" s="33">
        <f t="shared" si="10"/>
        <v>100.39999847612147</v>
      </c>
      <c r="H281" s="34">
        <f t="shared" si="11"/>
        <v>100399.99847612147</v>
      </c>
    </row>
    <row r="282" spans="6:8" x14ac:dyDescent="0.25">
      <c r="F282" s="22">
        <v>3070</v>
      </c>
      <c r="G282" s="33">
        <f t="shared" si="10"/>
        <v>100.80524379380897</v>
      </c>
      <c r="H282" s="34">
        <f t="shared" si="11"/>
        <v>100805.24379380897</v>
      </c>
    </row>
    <row r="283" spans="6:8" x14ac:dyDescent="0.25">
      <c r="F283" s="22">
        <v>3080</v>
      </c>
      <c r="G283" s="33">
        <f t="shared" si="10"/>
        <v>101.21077418691929</v>
      </c>
      <c r="H283" s="34">
        <f t="shared" si="11"/>
        <v>101210.7741869193</v>
      </c>
    </row>
    <row r="284" spans="6:8" x14ac:dyDescent="0.25">
      <c r="F284" s="22">
        <v>3090</v>
      </c>
      <c r="G284" s="33">
        <f t="shared" si="10"/>
        <v>101.61658965545239</v>
      </c>
      <c r="H284" s="34">
        <f t="shared" si="11"/>
        <v>101616.58965545239</v>
      </c>
    </row>
    <row r="285" spans="6:8" x14ac:dyDescent="0.25">
      <c r="F285" s="22">
        <v>3100</v>
      </c>
      <c r="G285" s="33">
        <f t="shared" si="10"/>
        <v>102.0226901994083</v>
      </c>
      <c r="H285" s="34">
        <f t="shared" si="11"/>
        <v>102022.6901994083</v>
      </c>
    </row>
    <row r="286" spans="6:8" x14ac:dyDescent="0.25">
      <c r="F286" s="22">
        <v>3110</v>
      </c>
      <c r="G286" s="33">
        <f t="shared" si="10"/>
        <v>102.42907581878701</v>
      </c>
      <c r="H286" s="34">
        <f t="shared" si="11"/>
        <v>102429.07581878701</v>
      </c>
    </row>
    <row r="287" spans="6:8" x14ac:dyDescent="0.25">
      <c r="F287" s="22">
        <v>3120</v>
      </c>
      <c r="G287" s="33">
        <f t="shared" si="10"/>
        <v>102.83574651358853</v>
      </c>
      <c r="H287" s="34">
        <f t="shared" si="11"/>
        <v>102835.74651358853</v>
      </c>
    </row>
    <row r="288" spans="6:8" x14ac:dyDescent="0.25">
      <c r="F288" s="22">
        <v>3130</v>
      </c>
      <c r="G288" s="33">
        <f t="shared" si="10"/>
        <v>103.24270228381283</v>
      </c>
      <c r="H288" s="34">
        <f t="shared" si="11"/>
        <v>103242.70228381283</v>
      </c>
    </row>
    <row r="289" spans="6:8" x14ac:dyDescent="0.25">
      <c r="F289" s="22">
        <v>3140</v>
      </c>
      <c r="G289" s="33">
        <f t="shared" si="10"/>
        <v>103.64994312945996</v>
      </c>
      <c r="H289" s="34">
        <f t="shared" si="11"/>
        <v>103649.94312945995</v>
      </c>
    </row>
    <row r="290" spans="6:8" x14ac:dyDescent="0.25">
      <c r="F290" s="22">
        <v>3150</v>
      </c>
      <c r="G290" s="33">
        <f t="shared" si="10"/>
        <v>104.05746905052986</v>
      </c>
      <c r="H290" s="34">
        <f t="shared" si="11"/>
        <v>104057.46905052986</v>
      </c>
    </row>
    <row r="291" spans="6:8" x14ac:dyDescent="0.25">
      <c r="F291" s="22">
        <v>3160</v>
      </c>
      <c r="G291" s="33">
        <f t="shared" si="10"/>
        <v>104.46528004702257</v>
      </c>
      <c r="H291" s="34">
        <f t="shared" si="11"/>
        <v>104465.28004702258</v>
      </c>
    </row>
    <row r="292" spans="6:8" x14ac:dyDescent="0.25">
      <c r="F292" s="22">
        <v>3170</v>
      </c>
      <c r="G292" s="33">
        <f t="shared" si="10"/>
        <v>104.87337611893807</v>
      </c>
      <c r="H292" s="34">
        <f t="shared" si="11"/>
        <v>104873.37611893807</v>
      </c>
    </row>
    <row r="293" spans="6:8" x14ac:dyDescent="0.25">
      <c r="F293" s="22">
        <v>3180</v>
      </c>
      <c r="G293" s="33">
        <f t="shared" si="10"/>
        <v>105.28175726627639</v>
      </c>
      <c r="H293" s="34">
        <f t="shared" si="11"/>
        <v>105281.75726627639</v>
      </c>
    </row>
    <row r="294" spans="6:8" x14ac:dyDescent="0.25">
      <c r="F294" s="22">
        <v>3190</v>
      </c>
      <c r="G294" s="33">
        <f t="shared" si="10"/>
        <v>105.6904234890375</v>
      </c>
      <c r="H294" s="34">
        <f t="shared" si="11"/>
        <v>105690.42348903749</v>
      </c>
    </row>
    <row r="295" spans="6:8" x14ac:dyDescent="0.25">
      <c r="F295" s="22">
        <v>3200</v>
      </c>
      <c r="G295" s="33">
        <f t="shared" si="10"/>
        <v>106.09937478722141</v>
      </c>
      <c r="H295" s="34">
        <f t="shared" si="11"/>
        <v>106099.3747872214</v>
      </c>
    </row>
    <row r="296" spans="6:8" x14ac:dyDescent="0.25">
      <c r="F296" s="22">
        <v>3210</v>
      </c>
      <c r="G296" s="33">
        <f t="shared" si="10"/>
        <v>106.50861116082811</v>
      </c>
      <c r="H296" s="34">
        <f t="shared" si="11"/>
        <v>106508.61116082811</v>
      </c>
    </row>
    <row r="297" spans="6:8" x14ac:dyDescent="0.25">
      <c r="F297" s="22">
        <v>3220</v>
      </c>
      <c r="G297" s="33">
        <f t="shared" si="10"/>
        <v>106.91813260985764</v>
      </c>
      <c r="H297" s="34">
        <f t="shared" si="11"/>
        <v>106918.13260985764</v>
      </c>
    </row>
    <row r="298" spans="6:8" x14ac:dyDescent="0.25">
      <c r="F298" s="22">
        <v>3230</v>
      </c>
      <c r="G298" s="33">
        <f t="shared" si="10"/>
        <v>107.32793913430993</v>
      </c>
      <c r="H298" s="34">
        <f t="shared" si="11"/>
        <v>107327.93913430993</v>
      </c>
    </row>
    <row r="299" spans="6:8" x14ac:dyDescent="0.25">
      <c r="F299" s="22">
        <v>3240</v>
      </c>
      <c r="G299" s="33">
        <f t="shared" si="10"/>
        <v>107.73803073418505</v>
      </c>
      <c r="H299" s="34">
        <f t="shared" si="11"/>
        <v>107738.03073418504</v>
      </c>
    </row>
    <row r="300" spans="6:8" x14ac:dyDescent="0.25">
      <c r="F300" s="22">
        <v>3250</v>
      </c>
      <c r="G300" s="33">
        <f t="shared" si="10"/>
        <v>108.14840740948296</v>
      </c>
      <c r="H300" s="34">
        <f t="shared" si="11"/>
        <v>108148.40740948296</v>
      </c>
    </row>
    <row r="301" spans="6:8" x14ac:dyDescent="0.25">
      <c r="F301" s="22">
        <v>3260</v>
      </c>
      <c r="G301" s="33">
        <f t="shared" si="10"/>
        <v>108.55906916020368</v>
      </c>
      <c r="H301" s="34">
        <f t="shared" si="11"/>
        <v>108559.06916020368</v>
      </c>
    </row>
    <row r="302" spans="6:8" x14ac:dyDescent="0.25">
      <c r="F302" s="22">
        <v>3270</v>
      </c>
      <c r="G302" s="33">
        <f t="shared" si="10"/>
        <v>108.97001598634718</v>
      </c>
      <c r="H302" s="34">
        <f t="shared" si="11"/>
        <v>108970.01598634718</v>
      </c>
    </row>
    <row r="303" spans="6:8" x14ac:dyDescent="0.25">
      <c r="F303" s="22">
        <v>3280</v>
      </c>
      <c r="G303" s="33">
        <f t="shared" si="10"/>
        <v>109.38124788791349</v>
      </c>
      <c r="H303" s="34">
        <f t="shared" si="11"/>
        <v>109381.24788791349</v>
      </c>
    </row>
    <row r="304" spans="6:8" x14ac:dyDescent="0.25">
      <c r="F304" s="22">
        <v>3290</v>
      </c>
      <c r="G304" s="33">
        <f t="shared" si="10"/>
        <v>109.79276486490259</v>
      </c>
      <c r="H304" s="34">
        <f t="shared" si="11"/>
        <v>109792.76486490259</v>
      </c>
    </row>
    <row r="305" spans="6:8" x14ac:dyDescent="0.25">
      <c r="F305" s="22">
        <v>3300</v>
      </c>
      <c r="G305" s="33">
        <f t="shared" si="10"/>
        <v>110.20456691731451</v>
      </c>
      <c r="H305" s="34">
        <f t="shared" si="11"/>
        <v>110204.56691731451</v>
      </c>
    </row>
    <row r="306" spans="6:8" x14ac:dyDescent="0.25">
      <c r="F306" s="22">
        <v>3310</v>
      </c>
      <c r="G306" s="33">
        <f t="shared" si="10"/>
        <v>110.61665404514922</v>
      </c>
      <c r="H306" s="34">
        <f t="shared" si="11"/>
        <v>110616.65404514922</v>
      </c>
    </row>
    <row r="307" spans="6:8" x14ac:dyDescent="0.25">
      <c r="F307" s="22">
        <v>3320</v>
      </c>
      <c r="G307" s="33">
        <f t="shared" si="10"/>
        <v>111.02902624840674</v>
      </c>
      <c r="H307" s="34">
        <f t="shared" si="11"/>
        <v>111029.02624840674</v>
      </c>
    </row>
    <row r="308" spans="6:8" x14ac:dyDescent="0.25">
      <c r="F308" s="22">
        <v>3330</v>
      </c>
      <c r="G308" s="33">
        <f t="shared" si="10"/>
        <v>111.44168352708704</v>
      </c>
      <c r="H308" s="34">
        <f t="shared" si="11"/>
        <v>111441.68352708704</v>
      </c>
    </row>
    <row r="309" spans="6:8" x14ac:dyDescent="0.25">
      <c r="F309" s="22">
        <v>3340</v>
      </c>
      <c r="G309" s="33">
        <f t="shared" si="10"/>
        <v>111.85462588119016</v>
      </c>
      <c r="H309" s="34">
        <f t="shared" si="11"/>
        <v>111854.62588119016</v>
      </c>
    </row>
    <row r="310" spans="6:8" x14ac:dyDescent="0.25">
      <c r="F310" s="22">
        <v>3350</v>
      </c>
      <c r="G310" s="33">
        <f t="shared" si="10"/>
        <v>112.26785331071605</v>
      </c>
      <c r="H310" s="34">
        <f t="shared" si="11"/>
        <v>112267.85331071605</v>
      </c>
    </row>
    <row r="311" spans="6:8" x14ac:dyDescent="0.25">
      <c r="F311" s="22">
        <v>3360</v>
      </c>
      <c r="G311" s="33">
        <f t="shared" si="10"/>
        <v>112.68136581566478</v>
      </c>
      <c r="H311" s="34">
        <f t="shared" si="11"/>
        <v>112681.36581566477</v>
      </c>
    </row>
    <row r="312" spans="6:8" x14ac:dyDescent="0.25">
      <c r="F312" s="22">
        <v>3370</v>
      </c>
      <c r="G312" s="33">
        <f t="shared" si="10"/>
        <v>113.09516339603627</v>
      </c>
      <c r="H312" s="34">
        <f t="shared" si="11"/>
        <v>113095.16339603627</v>
      </c>
    </row>
    <row r="313" spans="6:8" x14ac:dyDescent="0.25">
      <c r="F313" s="22">
        <v>3380</v>
      </c>
      <c r="G313" s="33">
        <f t="shared" si="10"/>
        <v>113.50924605183059</v>
      </c>
      <c r="H313" s="34">
        <f t="shared" si="11"/>
        <v>113509.24605183059</v>
      </c>
    </row>
    <row r="314" spans="6:8" x14ac:dyDescent="0.25">
      <c r="F314" s="22">
        <v>3390</v>
      </c>
      <c r="G314" s="33">
        <f t="shared" si="10"/>
        <v>113.9236137830477</v>
      </c>
      <c r="H314" s="34">
        <f t="shared" si="11"/>
        <v>113923.61378304769</v>
      </c>
    </row>
    <row r="315" spans="6:8" x14ac:dyDescent="0.25">
      <c r="F315" s="22">
        <v>3400</v>
      </c>
      <c r="G315" s="33">
        <f t="shared" si="10"/>
        <v>114.33826658968762</v>
      </c>
      <c r="H315" s="34">
        <f t="shared" si="11"/>
        <v>114338.26658968761</v>
      </c>
    </row>
    <row r="316" spans="6:8" x14ac:dyDescent="0.25">
      <c r="F316" s="22">
        <v>3410</v>
      </c>
      <c r="G316" s="33">
        <f t="shared" si="10"/>
        <v>114.75320447175032</v>
      </c>
      <c r="H316" s="34">
        <f t="shared" si="11"/>
        <v>114753.20447175032</v>
      </c>
    </row>
    <row r="317" spans="6:8" x14ac:dyDescent="0.25">
      <c r="F317" s="22">
        <v>3420</v>
      </c>
      <c r="G317" s="33">
        <f t="shared" si="10"/>
        <v>115.16842742923583</v>
      </c>
      <c r="H317" s="34">
        <f t="shared" si="11"/>
        <v>115168.42742923583</v>
      </c>
    </row>
    <row r="318" spans="6:8" x14ac:dyDescent="0.25">
      <c r="F318" s="22">
        <v>3430</v>
      </c>
      <c r="G318" s="33">
        <f t="shared" si="10"/>
        <v>115.58393546214414</v>
      </c>
      <c r="H318" s="34">
        <f t="shared" si="11"/>
        <v>115583.93546214415</v>
      </c>
    </row>
    <row r="319" spans="6:8" x14ac:dyDescent="0.25">
      <c r="F319" s="22">
        <v>3440</v>
      </c>
      <c r="G319" s="33">
        <f t="shared" si="10"/>
        <v>115.99972857047526</v>
      </c>
      <c r="H319" s="34">
        <f t="shared" si="11"/>
        <v>115999.72857047526</v>
      </c>
    </row>
    <row r="320" spans="6:8" x14ac:dyDescent="0.25">
      <c r="F320" s="22">
        <v>3450</v>
      </c>
      <c r="G320" s="33">
        <f t="shared" si="10"/>
        <v>116.41580675422915</v>
      </c>
      <c r="H320" s="34">
        <f t="shared" si="11"/>
        <v>116415.80675422915</v>
      </c>
    </row>
    <row r="321" spans="6:8" x14ac:dyDescent="0.25">
      <c r="F321" s="22">
        <v>3460</v>
      </c>
      <c r="G321" s="33">
        <f t="shared" si="10"/>
        <v>116.83217001340587</v>
      </c>
      <c r="H321" s="34">
        <f t="shared" si="11"/>
        <v>116832.17001340588</v>
      </c>
    </row>
    <row r="322" spans="6:8" x14ac:dyDescent="0.25">
      <c r="F322" s="22">
        <v>3470</v>
      </c>
      <c r="G322" s="33">
        <f t="shared" si="10"/>
        <v>117.24881834800537</v>
      </c>
      <c r="H322" s="34">
        <f t="shared" si="11"/>
        <v>117248.81834800537</v>
      </c>
    </row>
    <row r="323" spans="6:8" x14ac:dyDescent="0.25">
      <c r="F323" s="22">
        <v>3480</v>
      </c>
      <c r="G323" s="33">
        <f t="shared" si="10"/>
        <v>117.6657517580277</v>
      </c>
      <c r="H323" s="34">
        <f t="shared" si="11"/>
        <v>117665.75175802769</v>
      </c>
    </row>
    <row r="324" spans="6:8" x14ac:dyDescent="0.25">
      <c r="F324" s="22">
        <v>3490</v>
      </c>
      <c r="G324" s="33">
        <f t="shared" si="10"/>
        <v>118.08297024347279</v>
      </c>
      <c r="H324" s="34">
        <f t="shared" si="11"/>
        <v>118082.97024347278</v>
      </c>
    </row>
    <row r="325" spans="6:8" x14ac:dyDescent="0.25">
      <c r="F325" s="22">
        <v>3500</v>
      </c>
      <c r="G325" s="33">
        <f t="shared" ref="G325" si="12" xml:space="preserve"> 0.000001425377114*F325^2 + 0.031786970059931*F325 - 10.2147910519178</f>
        <v>118.5004738043407</v>
      </c>
      <c r="H325" s="34">
        <f t="shared" ref="H325" si="13">G325*1000</f>
        <v>118500.4738043407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AC62A-928B-4933-BE4B-F58CD4EDB4F4}">
  <dimension ref="B3:Z56"/>
  <sheetViews>
    <sheetView workbookViewId="0">
      <selection activeCell="F4" sqref="F4"/>
    </sheetView>
  </sheetViews>
  <sheetFormatPr defaultRowHeight="15" x14ac:dyDescent="0.25"/>
  <cols>
    <col min="6" max="6" width="12" bestFit="1" customWidth="1"/>
    <col min="10" max="10" width="12" bestFit="1" customWidth="1"/>
    <col min="11" max="11" width="15" bestFit="1" customWidth="1"/>
    <col min="20" max="20" width="10.7109375" bestFit="1" customWidth="1"/>
    <col min="21" max="22" width="12" bestFit="1" customWidth="1"/>
    <col min="23" max="23" width="9.85546875" bestFit="1" customWidth="1"/>
    <col min="24" max="24" width="10.7109375" bestFit="1" customWidth="1"/>
    <col min="25" max="25" width="12" bestFit="1" customWidth="1"/>
    <col min="26" max="26" width="11" bestFit="1" customWidth="1"/>
  </cols>
  <sheetData>
    <row r="3" spans="2:26" x14ac:dyDescent="0.25">
      <c r="B3" s="2" t="s">
        <v>22</v>
      </c>
      <c r="C3" s="2" t="s">
        <v>23</v>
      </c>
      <c r="D3" s="2" t="s">
        <v>33</v>
      </c>
      <c r="E3" s="2" t="s">
        <v>34</v>
      </c>
      <c r="F3" s="2" t="s">
        <v>36</v>
      </c>
      <c r="G3" s="2" t="s">
        <v>35</v>
      </c>
      <c r="H3" s="2" t="s">
        <v>31</v>
      </c>
      <c r="I3" s="2" t="s">
        <v>32</v>
      </c>
      <c r="J3" s="2" t="s">
        <v>30</v>
      </c>
      <c r="K3" s="2" t="s">
        <v>59</v>
      </c>
      <c r="L3" s="1"/>
      <c r="M3" s="1"/>
      <c r="N3" s="46" t="s">
        <v>25</v>
      </c>
      <c r="O3" s="46"/>
      <c r="P3" s="9"/>
      <c r="T3" s="41" t="s">
        <v>51</v>
      </c>
      <c r="U3" s="41"/>
      <c r="V3" s="41"/>
      <c r="W3" s="41"/>
      <c r="X3" s="41"/>
    </row>
    <row r="4" spans="2:26" x14ac:dyDescent="0.25">
      <c r="B4" s="6">
        <v>1</v>
      </c>
      <c r="C4" s="17">
        <f>((D4*$X$5)+(E4*$X$6)+(G4*$X$7)+(F4*$X$8))-(B4*$X$4)</f>
        <v>5065.0000000000009</v>
      </c>
      <c r="D4" s="13">
        <f>8*B4</f>
        <v>8</v>
      </c>
      <c r="E4" s="13">
        <f>9*B4</f>
        <v>9</v>
      </c>
      <c r="F4" s="13">
        <f>12.5*(1-B4)</f>
        <v>0</v>
      </c>
      <c r="G4" s="14">
        <f>47</f>
        <v>47</v>
      </c>
      <c r="H4" s="15">
        <f>(F4*J4)/($F$20*10^-6)</f>
        <v>0</v>
      </c>
      <c r="I4" s="15">
        <f>(G4*J4)/($F$20*10^-6)</f>
        <v>0.12756303223597212</v>
      </c>
      <c r="J4" s="16">
        <f>$F$25/(B4+(12.5*4.76))</f>
        <v>1.0856428275401881E-7</v>
      </c>
      <c r="K4" s="3">
        <v>2496.895</v>
      </c>
      <c r="L4" s="1"/>
      <c r="M4" s="1"/>
      <c r="N4" s="1" t="s">
        <v>26</v>
      </c>
      <c r="O4" s="1">
        <f>((($U$21-$Y$21)*($V$19-$Z$18))/($V$18-$Z$18))+$Y$21</f>
        <v>2496.8946718732618</v>
      </c>
      <c r="T4" s="42" t="s">
        <v>8</v>
      </c>
      <c r="U4" s="42"/>
      <c r="V4" s="42"/>
      <c r="W4" s="42"/>
      <c r="X4" s="4">
        <v>259.2</v>
      </c>
    </row>
    <row r="5" spans="2:26" x14ac:dyDescent="0.25">
      <c r="B5" s="6">
        <v>0.99</v>
      </c>
      <c r="C5" s="3">
        <f>((D5*$X$5)+(E5*$X$6)+(G5*$X$7)+(F5*$X$8))-(B5*$X$4)</f>
        <v>5014.3500000000004</v>
      </c>
      <c r="D5" s="13">
        <f t="shared" ref="D5:D16" si="0">8*B5</f>
        <v>7.92</v>
      </c>
      <c r="E5" s="13">
        <f t="shared" ref="E5:E16" si="1">9*B5</f>
        <v>8.91</v>
      </c>
      <c r="F5" s="13">
        <f t="shared" ref="F5:F16" si="2">12.5*(1-B5)</f>
        <v>0.12500000000000011</v>
      </c>
      <c r="G5" s="14">
        <f>47</f>
        <v>47</v>
      </c>
      <c r="H5" s="15">
        <f t="shared" ref="H5:H16" si="3">(F5*J5)/($F$20*10^-6)</f>
        <v>3.3931946946903129E-4</v>
      </c>
      <c r="I5" s="15">
        <f t="shared" ref="I5:I16" si="4">(G5*J5)/($F$20*10^-6)</f>
        <v>0.12758412052035564</v>
      </c>
      <c r="J5" s="16">
        <f>$F$25/(B5+(12.5*4.76))</f>
        <v>1.0858223023008991E-7</v>
      </c>
      <c r="K5" s="3">
        <v>2411.0610000000001</v>
      </c>
      <c r="L5" s="1"/>
      <c r="M5" s="1"/>
      <c r="N5" s="1"/>
      <c r="O5" s="1"/>
      <c r="T5" s="43" t="s">
        <v>10</v>
      </c>
      <c r="U5" s="44"/>
      <c r="V5" s="44"/>
      <c r="W5" s="45"/>
      <c r="X5" s="4">
        <v>393.5</v>
      </c>
    </row>
    <row r="6" spans="2:26" x14ac:dyDescent="0.25">
      <c r="B6" s="6">
        <v>0.98</v>
      </c>
      <c r="C6" s="3">
        <f t="shared" ref="C6:C16" si="5">((D6*$X$5)+(E6*$X$6)+(G6*$X$7)+(F6*$X$8))-(B6*$X$4)</f>
        <v>4963.7000000000007</v>
      </c>
      <c r="D6" s="13">
        <f t="shared" si="0"/>
        <v>7.84</v>
      </c>
      <c r="E6" s="13">
        <f t="shared" si="1"/>
        <v>8.82</v>
      </c>
      <c r="F6" s="13">
        <f t="shared" si="2"/>
        <v>0.25000000000000022</v>
      </c>
      <c r="G6" s="14">
        <f>47</f>
        <v>47</v>
      </c>
      <c r="H6" s="15">
        <f t="shared" si="3"/>
        <v>6.7875114775733144E-4</v>
      </c>
      <c r="I6" s="15">
        <f t="shared" si="4"/>
        <v>0.12760521577837822</v>
      </c>
      <c r="J6" s="16">
        <f t="shared" ref="J6:J16" si="6">$F$25/(B6+(12.5*4.76))</f>
        <v>1.0860018364117293E-7</v>
      </c>
      <c r="K6" s="3">
        <v>2394.9929999999999</v>
      </c>
      <c r="L6" s="1"/>
      <c r="M6" s="1"/>
      <c r="N6" s="1"/>
      <c r="O6" s="1"/>
      <c r="T6" s="43" t="s">
        <v>12</v>
      </c>
      <c r="U6" s="44"/>
      <c r="V6" s="44"/>
      <c r="W6" s="45"/>
      <c r="X6" s="4">
        <v>241.8</v>
      </c>
    </row>
    <row r="7" spans="2:26" x14ac:dyDescent="0.25">
      <c r="B7" s="6">
        <v>0.97</v>
      </c>
      <c r="C7" s="3">
        <f>((D7*$X$5)+(E7*$X$6)+(G7*$X$7)+(F7*$X$8))-(B7*$X$4)</f>
        <v>4913.05</v>
      </c>
      <c r="D7" s="13">
        <f t="shared" si="0"/>
        <v>7.76</v>
      </c>
      <c r="E7" s="13">
        <f t="shared" si="1"/>
        <v>8.73</v>
      </c>
      <c r="F7" s="13">
        <f t="shared" si="2"/>
        <v>0.37500000000000033</v>
      </c>
      <c r="G7" s="14">
        <f>47</f>
        <v>47</v>
      </c>
      <c r="H7" s="15">
        <f t="shared" si="3"/>
        <v>1.0182950905332415E-3</v>
      </c>
      <c r="I7" s="15">
        <f t="shared" si="4"/>
        <v>0.12762631801349947</v>
      </c>
      <c r="J7" s="16">
        <f t="shared" si="6"/>
        <v>1.0861814299021231E-7</v>
      </c>
      <c r="K7" s="3">
        <v>2378.924</v>
      </c>
      <c r="L7" s="1"/>
      <c r="M7" s="1"/>
      <c r="N7" s="1"/>
      <c r="O7" s="1"/>
      <c r="T7" s="43" t="s">
        <v>11</v>
      </c>
      <c r="U7" s="44"/>
      <c r="V7" s="44"/>
      <c r="W7" s="45"/>
      <c r="X7" s="4">
        <v>0</v>
      </c>
    </row>
    <row r="8" spans="2:26" x14ac:dyDescent="0.25">
      <c r="B8" s="6">
        <v>0.96</v>
      </c>
      <c r="C8" s="3">
        <f>((D8*$X$5)+(E8*$X$6)+(G8*$X$7)+(F8*$X$8))-(B8*$X$4)</f>
        <v>4862.3999999999996</v>
      </c>
      <c r="D8" s="13">
        <f t="shared" si="0"/>
        <v>7.68</v>
      </c>
      <c r="E8" s="13">
        <f t="shared" si="1"/>
        <v>8.64</v>
      </c>
      <c r="F8" s="13">
        <f t="shared" si="2"/>
        <v>0.50000000000000044</v>
      </c>
      <c r="G8" s="14">
        <f>47</f>
        <v>47</v>
      </c>
      <c r="H8" s="15">
        <f t="shared" si="3"/>
        <v>1.357951353501932E-3</v>
      </c>
      <c r="I8" s="15">
        <f t="shared" si="4"/>
        <v>0.12764742722918151</v>
      </c>
      <c r="J8" s="16">
        <f t="shared" si="6"/>
        <v>1.0863610828015446E-7</v>
      </c>
      <c r="K8" s="3">
        <v>2362.6909999999998</v>
      </c>
      <c r="L8" s="1"/>
      <c r="M8" s="1"/>
      <c r="N8" s="1"/>
      <c r="O8" s="1"/>
      <c r="T8" s="42" t="s">
        <v>24</v>
      </c>
      <c r="U8" s="42"/>
      <c r="V8" s="42"/>
      <c r="W8" s="42"/>
      <c r="X8" s="4">
        <v>0</v>
      </c>
    </row>
    <row r="9" spans="2:26" x14ac:dyDescent="0.25">
      <c r="B9" s="6">
        <v>0.95</v>
      </c>
      <c r="C9" s="3">
        <f t="shared" si="5"/>
        <v>4811.75</v>
      </c>
      <c r="D9" s="13">
        <f t="shared" si="0"/>
        <v>7.6</v>
      </c>
      <c r="E9" s="13">
        <f t="shared" si="1"/>
        <v>8.5499999999999989</v>
      </c>
      <c r="F9" s="13">
        <f t="shared" si="2"/>
        <v>0.62500000000000056</v>
      </c>
      <c r="G9" s="14">
        <f>47</f>
        <v>47</v>
      </c>
      <c r="H9" s="15">
        <f t="shared" si="3"/>
        <v>1.6977199924054344E-3</v>
      </c>
      <c r="I9" s="15">
        <f t="shared" si="4"/>
        <v>0.12766854342888853</v>
      </c>
      <c r="J9" s="16">
        <f t="shared" si="6"/>
        <v>1.0865407951394769E-7</v>
      </c>
      <c r="K9" s="3">
        <v>2346.4549999999999</v>
      </c>
      <c r="L9" s="1"/>
      <c r="M9" s="1"/>
      <c r="N9" s="1"/>
      <c r="O9" s="1"/>
      <c r="T9" s="28"/>
      <c r="U9" s="28"/>
      <c r="V9" s="28"/>
      <c r="W9" s="28"/>
      <c r="X9" s="10"/>
    </row>
    <row r="10" spans="2:26" x14ac:dyDescent="0.25">
      <c r="B10" s="6">
        <v>0.9</v>
      </c>
      <c r="C10" s="3">
        <f t="shared" si="5"/>
        <v>4558.5000000000009</v>
      </c>
      <c r="D10" s="13">
        <f t="shared" si="0"/>
        <v>7.2</v>
      </c>
      <c r="E10" s="13">
        <f t="shared" si="1"/>
        <v>8.1</v>
      </c>
      <c r="F10" s="13">
        <f t="shared" si="2"/>
        <v>1.2499999999999998</v>
      </c>
      <c r="G10" s="14">
        <f>47</f>
        <v>47</v>
      </c>
      <c r="H10" s="15">
        <f t="shared" si="3"/>
        <v>3.3982507795002788E-3</v>
      </c>
      <c r="I10" s="15">
        <f t="shared" si="4"/>
        <v>0.12777422930921048</v>
      </c>
      <c r="J10" s="16">
        <f t="shared" si="6"/>
        <v>1.0874402494400892E-7</v>
      </c>
      <c r="K10" s="3">
        <v>2263.8409999999999</v>
      </c>
      <c r="L10" s="1"/>
      <c r="M10" s="1"/>
      <c r="N10" s="1"/>
      <c r="O10" s="1"/>
      <c r="T10" s="27"/>
      <c r="U10" s="27"/>
      <c r="V10" s="27"/>
      <c r="W10" s="27"/>
      <c r="X10" s="10"/>
    </row>
    <row r="11" spans="2:26" x14ac:dyDescent="0.25">
      <c r="B11" s="6">
        <v>0.85</v>
      </c>
      <c r="C11" s="3">
        <f t="shared" si="5"/>
        <v>4305.25</v>
      </c>
      <c r="D11" s="13">
        <f t="shared" si="0"/>
        <v>6.8</v>
      </c>
      <c r="E11" s="13">
        <f t="shared" si="1"/>
        <v>7.6499999999999995</v>
      </c>
      <c r="F11" s="13">
        <f t="shared" si="2"/>
        <v>1.8750000000000002</v>
      </c>
      <c r="G11" s="14">
        <f>47</f>
        <v>47</v>
      </c>
      <c r="H11" s="15">
        <f t="shared" si="3"/>
        <v>5.1015993475182321E-3</v>
      </c>
      <c r="I11" s="15">
        <f t="shared" si="4"/>
        <v>0.12788009031112366</v>
      </c>
      <c r="J11" s="16">
        <f t="shared" si="6"/>
        <v>1.0883411941372226E-7</v>
      </c>
      <c r="K11" s="3">
        <v>2179.047</v>
      </c>
      <c r="L11" s="1"/>
      <c r="M11" s="1"/>
      <c r="N11" s="1"/>
      <c r="O11" s="1"/>
      <c r="T11" s="38" t="s">
        <v>57</v>
      </c>
      <c r="U11" s="38"/>
      <c r="V11" s="38"/>
      <c r="X11" s="38" t="s">
        <v>58</v>
      </c>
      <c r="Y11" s="38"/>
      <c r="Z11" s="38"/>
    </row>
    <row r="12" spans="2:26" x14ac:dyDescent="0.25">
      <c r="B12" s="6">
        <v>0.8</v>
      </c>
      <c r="C12" s="3">
        <f t="shared" si="5"/>
        <v>4052.0000000000005</v>
      </c>
      <c r="D12" s="13">
        <f t="shared" si="0"/>
        <v>6.4</v>
      </c>
      <c r="E12" s="13">
        <f t="shared" si="1"/>
        <v>7.2</v>
      </c>
      <c r="F12" s="13">
        <f t="shared" si="2"/>
        <v>2.4999999999999996</v>
      </c>
      <c r="G12" s="14">
        <f>47</f>
        <v>47</v>
      </c>
      <c r="H12" s="15">
        <f t="shared" si="3"/>
        <v>6.8077727058645709E-3</v>
      </c>
      <c r="I12" s="15">
        <f t="shared" si="4"/>
        <v>0.12798612687025396</v>
      </c>
      <c r="J12" s="16">
        <f t="shared" si="6"/>
        <v>1.0892436329383315E-7</v>
      </c>
      <c r="K12" s="3">
        <v>2091.9989999999998</v>
      </c>
      <c r="L12" s="1"/>
      <c r="M12" s="1"/>
      <c r="N12" s="1"/>
      <c r="O12" s="1"/>
      <c r="T12" s="22" t="s">
        <v>55</v>
      </c>
      <c r="U12" s="35" t="s">
        <v>23</v>
      </c>
      <c r="V12" s="35" t="s">
        <v>54</v>
      </c>
      <c r="X12" s="22" t="s">
        <v>55</v>
      </c>
      <c r="Y12" s="35" t="s">
        <v>23</v>
      </c>
      <c r="Z12" s="35" t="s">
        <v>54</v>
      </c>
    </row>
    <row r="13" spans="2:26" x14ac:dyDescent="0.25">
      <c r="B13" s="6">
        <v>0.75</v>
      </c>
      <c r="C13" s="3">
        <f t="shared" si="5"/>
        <v>3798.75</v>
      </c>
      <c r="D13" s="13">
        <f t="shared" si="0"/>
        <v>6</v>
      </c>
      <c r="E13" s="13">
        <f t="shared" si="1"/>
        <v>6.75</v>
      </c>
      <c r="F13" s="13">
        <f t="shared" si="2"/>
        <v>3.125</v>
      </c>
      <c r="G13" s="14">
        <f>47</f>
        <v>47</v>
      </c>
      <c r="H13" s="15">
        <f t="shared" si="3"/>
        <v>8.5167778872123189E-3</v>
      </c>
      <c r="I13" s="15">
        <f t="shared" si="4"/>
        <v>0.12809233942367326</v>
      </c>
      <c r="J13" s="16">
        <f t="shared" si="6"/>
        <v>1.0901475695631766E-7</v>
      </c>
      <c r="K13" s="3">
        <v>2002.682</v>
      </c>
      <c r="L13" s="1"/>
      <c r="M13" s="1"/>
      <c r="N13" s="1"/>
      <c r="O13" s="1"/>
      <c r="T13" s="22" t="s">
        <v>10</v>
      </c>
      <c r="U13" s="4">
        <f>VLOOKUP($U$21,'CO2'!$F$4:$G$325,2,FALSE)</f>
        <v>115.67192648982945</v>
      </c>
      <c r="V13" s="4">
        <f>VLOOKUP($U$20,B4:K16,3,FALSE)</f>
        <v>8</v>
      </c>
      <c r="X13" s="22" t="s">
        <v>10</v>
      </c>
      <c r="Y13" s="4">
        <f>VLOOKUP($Y$21,'CO2'!$F$4:$G$325,2,FALSE)</f>
        <v>115.06019778898079</v>
      </c>
      <c r="Z13" s="4">
        <f>VLOOKUP($Y$20,B4:K16,3,FALSE)</f>
        <v>8</v>
      </c>
    </row>
    <row r="14" spans="2:26" x14ac:dyDescent="0.25">
      <c r="B14" s="6">
        <v>0.7</v>
      </c>
      <c r="C14" s="3">
        <f t="shared" si="5"/>
        <v>3545.4999999999995</v>
      </c>
      <c r="D14" s="13">
        <f t="shared" si="0"/>
        <v>5.6</v>
      </c>
      <c r="E14" s="13">
        <f t="shared" si="1"/>
        <v>6.3</v>
      </c>
      <c r="F14" s="13">
        <f t="shared" si="2"/>
        <v>3.7500000000000004</v>
      </c>
      <c r="G14" s="14">
        <f>47</f>
        <v>47</v>
      </c>
      <c r="H14" s="15">
        <f t="shared" si="3"/>
        <v>1.0228621947598847E-2</v>
      </c>
      <c r="I14" s="15">
        <f t="shared" si="4"/>
        <v>0.12819872840990554</v>
      </c>
      <c r="J14" s="16">
        <f t="shared" si="6"/>
        <v>1.0910530077438768E-7</v>
      </c>
      <c r="K14" s="3">
        <v>1910.9390000000001</v>
      </c>
      <c r="L14" s="1"/>
      <c r="M14" s="1"/>
      <c r="N14" s="1"/>
      <c r="O14" s="1"/>
      <c r="T14" s="22" t="s">
        <v>52</v>
      </c>
      <c r="U14" s="4">
        <f>VLOOKUP($U$21,H2O!$F$4:$G$325,2,FALSE)</f>
        <v>93.676108729103078</v>
      </c>
      <c r="V14" s="4">
        <f>VLOOKUP($U$20,B4:K16,4,FALSE)</f>
        <v>9</v>
      </c>
      <c r="X14" s="22" t="s">
        <v>52</v>
      </c>
      <c r="Y14" s="4">
        <f>VLOOKUP($Y$21,H2O!$F$4:$G$325,2,FALSE)</f>
        <v>93.146735023614298</v>
      </c>
      <c r="Z14" s="4">
        <f>VLOOKUP($Y$20,B4:K16,4,FALSE)</f>
        <v>9</v>
      </c>
    </row>
    <row r="15" spans="2:26" x14ac:dyDescent="0.25">
      <c r="B15" s="6">
        <v>0.65</v>
      </c>
      <c r="C15" s="3">
        <f t="shared" si="5"/>
        <v>3292.2500000000005</v>
      </c>
      <c r="D15" s="13">
        <f t="shared" si="0"/>
        <v>5.2</v>
      </c>
      <c r="E15" s="13">
        <f t="shared" si="1"/>
        <v>5.8500000000000005</v>
      </c>
      <c r="F15" s="13">
        <f t="shared" si="2"/>
        <v>4.375</v>
      </c>
      <c r="G15" s="14">
        <f>47</f>
        <v>47</v>
      </c>
      <c r="H15" s="15">
        <f t="shared" si="3"/>
        <v>1.1943311966523009E-2</v>
      </c>
      <c r="I15" s="15">
        <f t="shared" si="4"/>
        <v>0.12830529426893289</v>
      </c>
      <c r="J15" s="16">
        <f t="shared" si="6"/>
        <v>1.0919599512249607E-7</v>
      </c>
      <c r="K15" s="3">
        <v>1816.684</v>
      </c>
      <c r="L15" s="1"/>
      <c r="M15" s="1"/>
      <c r="N15" s="1"/>
      <c r="O15" s="1"/>
      <c r="T15" s="22" t="s">
        <v>11</v>
      </c>
      <c r="U15" s="4">
        <f>VLOOKUP($U$21,'N2'!$F$4:$G$325,2,FALSE)</f>
        <v>70.706333537315231</v>
      </c>
      <c r="V15" s="4">
        <f>VLOOKUP($U$20,B4:K16,6,FALSE)</f>
        <v>47</v>
      </c>
      <c r="X15" s="22" t="s">
        <v>11</v>
      </c>
      <c r="Y15" s="4">
        <f>VLOOKUP($Y$21,'N2'!$F$4:$G$325,2,FALSE)</f>
        <v>70.342436430671484</v>
      </c>
      <c r="Z15" s="4">
        <f>VLOOKUP($Y$20,B4:K16,6,FALSE)</f>
        <v>47</v>
      </c>
    </row>
    <row r="16" spans="2:26" x14ac:dyDescent="0.25">
      <c r="B16" s="6">
        <v>0.6</v>
      </c>
      <c r="C16" s="3">
        <f t="shared" si="5"/>
        <v>3039</v>
      </c>
      <c r="D16" s="13">
        <f t="shared" si="0"/>
        <v>4.8</v>
      </c>
      <c r="E16" s="13">
        <f t="shared" si="1"/>
        <v>5.3999999999999995</v>
      </c>
      <c r="F16" s="13">
        <f t="shared" si="2"/>
        <v>5</v>
      </c>
      <c r="G16" s="14">
        <f>47</f>
        <v>47</v>
      </c>
      <c r="H16" s="15">
        <f t="shared" si="3"/>
        <v>1.3660855047042716E-2</v>
      </c>
      <c r="I16" s="15">
        <f t="shared" si="4"/>
        <v>0.12841203744220156</v>
      </c>
      <c r="J16" s="16">
        <f t="shared" si="6"/>
        <v>1.0928684037634173E-7</v>
      </c>
      <c r="K16" s="3">
        <v>1719.826</v>
      </c>
      <c r="L16" s="1"/>
      <c r="M16" s="1"/>
      <c r="N16" s="1"/>
      <c r="O16" s="1"/>
      <c r="T16" s="22" t="s">
        <v>24</v>
      </c>
      <c r="U16" s="4">
        <f>VLOOKUP($U$21,'O2'!$F$4:$G$325,2,FALSE)</f>
        <v>74.670539608339325</v>
      </c>
      <c r="V16" s="4">
        <f>VLOOKUP($U$20,B4:K16,5,FALSE)</f>
        <v>0</v>
      </c>
      <c r="X16" s="22" t="s">
        <v>24</v>
      </c>
      <c r="Y16" s="4">
        <f>VLOOKUP($Y$21,'O2'!$F$4:$G$325,2,FALSE)</f>
        <v>74.284109268556605</v>
      </c>
      <c r="Z16" s="4">
        <f>VLOOKUP($Y$20,B4:K16,5,FALSE)</f>
        <v>0</v>
      </c>
    </row>
    <row r="17" spans="2:26" x14ac:dyDescent="0.25">
      <c r="B17" s="1"/>
      <c r="C17" s="1"/>
      <c r="D17" s="1"/>
      <c r="E17" s="1"/>
      <c r="F17" s="1"/>
      <c r="G17" s="1"/>
      <c r="H17" s="11"/>
      <c r="I17" s="11"/>
      <c r="J17" s="11"/>
      <c r="K17" s="1"/>
      <c r="L17" s="1"/>
      <c r="M17" s="1"/>
      <c r="N17" s="1"/>
      <c r="O17" s="1"/>
      <c r="T17" s="20"/>
      <c r="U17" s="20"/>
      <c r="V17" s="20"/>
      <c r="X17" s="20"/>
      <c r="Y17" s="20"/>
      <c r="Z17" s="20"/>
    </row>
    <row r="18" spans="2:26" x14ac:dyDescent="0.25">
      <c r="B18" s="1"/>
      <c r="C18" s="1"/>
      <c r="D18" s="1"/>
      <c r="E18" s="1"/>
      <c r="F18" s="1"/>
      <c r="G18" s="1"/>
      <c r="H18" s="11"/>
      <c r="I18" s="11"/>
      <c r="J18" s="11"/>
      <c r="K18" s="1"/>
      <c r="L18" s="1"/>
      <c r="M18" s="1"/>
      <c r="N18" s="1"/>
      <c r="O18" s="1"/>
      <c r="T18" s="39" t="s">
        <v>53</v>
      </c>
      <c r="U18" s="39"/>
      <c r="V18" s="26">
        <f>(U13*V13)+(U14*V14)+(U15*V15)+(U16*V16)</f>
        <v>5091.6580667343796</v>
      </c>
      <c r="X18" s="39" t="s">
        <v>53</v>
      </c>
      <c r="Y18" s="39"/>
      <c r="Z18" s="26">
        <f>(Y13*Z13)+(Y14*Z14)+(Y15*Z15)+(Y16*Z16)</f>
        <v>5064.8967097659352</v>
      </c>
    </row>
    <row r="19" spans="2:26" x14ac:dyDescent="0.25">
      <c r="B19" s="41" t="s">
        <v>43</v>
      </c>
      <c r="C19" s="41"/>
      <c r="D19" s="41"/>
      <c r="E19" s="41"/>
      <c r="F19" s="3">
        <v>400</v>
      </c>
      <c r="G19" s="1"/>
      <c r="H19" s="11"/>
      <c r="I19" s="11"/>
      <c r="J19" s="11"/>
      <c r="K19" s="1"/>
      <c r="L19" s="1"/>
      <c r="M19" s="1"/>
      <c r="N19" s="1"/>
      <c r="O19" s="1"/>
      <c r="T19" s="39" t="s">
        <v>56</v>
      </c>
      <c r="U19" s="40"/>
      <c r="V19" s="26">
        <f>(8*$U$20*$X$5)+(9*$U$20*$X$6)+((12.5*(1-$U$20))*$X$8)+(47*$X$7)</f>
        <v>5324.2000000000007</v>
      </c>
      <c r="X19" s="39" t="s">
        <v>56</v>
      </c>
      <c r="Y19" s="40"/>
      <c r="Z19" s="26">
        <f>(8*$Y$20*$X$5)+(9*$Y$20*$X$6)+((12.5*(1-$Y$20))*$X$8)+(47*$X$7)</f>
        <v>5324.2000000000007</v>
      </c>
    </row>
    <row r="20" spans="2:26" x14ac:dyDescent="0.25">
      <c r="B20" s="41" t="s">
        <v>44</v>
      </c>
      <c r="C20" s="41"/>
      <c r="D20" s="41"/>
      <c r="E20" s="41"/>
      <c r="F20" s="3">
        <v>40</v>
      </c>
      <c r="G20" s="1"/>
      <c r="H20" s="11"/>
      <c r="I20" s="11"/>
      <c r="J20" s="11"/>
      <c r="K20" s="1"/>
      <c r="L20" s="1"/>
      <c r="M20" s="1"/>
      <c r="N20" s="1"/>
      <c r="O20" s="1"/>
      <c r="T20" s="22" t="s">
        <v>22</v>
      </c>
      <c r="U20" s="26">
        <v>1</v>
      </c>
      <c r="X20" s="22" t="s">
        <v>22</v>
      </c>
      <c r="Y20" s="26">
        <v>1</v>
      </c>
    </row>
    <row r="21" spans="2:26" x14ac:dyDescent="0.25">
      <c r="B21" s="41" t="s">
        <v>40</v>
      </c>
      <c r="C21" s="41"/>
      <c r="D21" s="41"/>
      <c r="E21" s="41"/>
      <c r="F21" s="3">
        <v>0.4</v>
      </c>
      <c r="G21" s="1"/>
      <c r="H21" s="11"/>
      <c r="I21" s="11"/>
      <c r="J21" s="11"/>
      <c r="K21" s="1"/>
      <c r="L21" s="1"/>
      <c r="M21" s="1"/>
      <c r="N21" s="1"/>
      <c r="O21" s="1"/>
      <c r="T21" s="19" t="s">
        <v>26</v>
      </c>
      <c r="U21" s="4">
        <v>2410</v>
      </c>
      <c r="X21" s="19" t="s">
        <v>26</v>
      </c>
      <c r="Y21" s="4">
        <v>2400</v>
      </c>
    </row>
    <row r="22" spans="2:26" x14ac:dyDescent="0.25">
      <c r="B22" s="41" t="s">
        <v>41</v>
      </c>
      <c r="C22" s="41"/>
      <c r="D22" s="41"/>
      <c r="E22" s="41"/>
      <c r="F22" s="3">
        <v>293</v>
      </c>
      <c r="G22" s="1"/>
      <c r="H22" s="11"/>
      <c r="I22" s="11"/>
      <c r="J22" s="11"/>
      <c r="K22" s="1"/>
      <c r="L22" s="1"/>
      <c r="M22" s="1"/>
      <c r="N22" s="1"/>
      <c r="O22" s="1"/>
    </row>
    <row r="23" spans="2:26" x14ac:dyDescent="0.25">
      <c r="B23" s="41" t="s">
        <v>42</v>
      </c>
      <c r="C23" s="41"/>
      <c r="D23" s="41"/>
      <c r="E23" s="41"/>
      <c r="F23" s="3">
        <v>8314</v>
      </c>
      <c r="G23" s="1"/>
      <c r="H23" s="11"/>
      <c r="I23" s="11"/>
      <c r="J23" s="11"/>
      <c r="K23" s="1"/>
      <c r="L23" s="1"/>
      <c r="M23" s="1"/>
      <c r="N23" s="1"/>
      <c r="O23" s="1"/>
    </row>
    <row r="24" spans="2:26" x14ac:dyDescent="0.25">
      <c r="B24" s="41" t="s">
        <v>46</v>
      </c>
      <c r="C24" s="41"/>
      <c r="D24" s="41"/>
      <c r="E24" s="41"/>
      <c r="F24" s="3">
        <f>1*10^5</f>
        <v>100000</v>
      </c>
      <c r="G24" s="1"/>
      <c r="H24" s="11"/>
      <c r="I24" s="11"/>
      <c r="J24" s="11"/>
      <c r="K24" s="1"/>
      <c r="L24" s="1"/>
      <c r="M24" s="1"/>
      <c r="N24" s="1"/>
      <c r="O24" s="1"/>
    </row>
    <row r="25" spans="2:26" x14ac:dyDescent="0.25">
      <c r="B25" s="41" t="s">
        <v>45</v>
      </c>
      <c r="C25" s="41"/>
      <c r="D25" s="41"/>
      <c r="E25" s="41"/>
      <c r="F25" s="3">
        <f>((F24)*((F19*F21)*10^-6))/(F23*F22)</f>
        <v>6.5681391066181384E-6</v>
      </c>
      <c r="G25" s="1"/>
      <c r="H25" s="11"/>
      <c r="I25" s="11"/>
      <c r="J25" s="11"/>
      <c r="K25" s="1"/>
      <c r="L25" s="1"/>
      <c r="M25" s="1"/>
      <c r="N25" s="1"/>
      <c r="O25" s="1"/>
    </row>
    <row r="26" spans="2:26" x14ac:dyDescent="0.25">
      <c r="B26" s="41" t="s">
        <v>47</v>
      </c>
      <c r="C26" s="41"/>
      <c r="D26" s="41"/>
      <c r="E26" s="41"/>
      <c r="F26" s="3">
        <v>1800</v>
      </c>
      <c r="G26" s="1"/>
      <c r="H26" s="11"/>
      <c r="I26" s="11"/>
      <c r="J26" s="11"/>
      <c r="K26" s="1"/>
      <c r="L26" s="1"/>
      <c r="M26" s="1"/>
      <c r="N26" s="1"/>
      <c r="O26" s="1"/>
    </row>
    <row r="27" spans="2:26" x14ac:dyDescent="0.25">
      <c r="B27" s="41" t="s">
        <v>48</v>
      </c>
      <c r="C27" s="41"/>
      <c r="D27" s="41"/>
      <c r="E27" s="41"/>
      <c r="F27" s="17">
        <v>1.17</v>
      </c>
      <c r="G27" s="1"/>
      <c r="H27" s="11"/>
      <c r="I27" s="11"/>
      <c r="J27" s="11"/>
      <c r="K27" s="1"/>
      <c r="L27" s="1"/>
      <c r="M27" s="1"/>
      <c r="N27" s="1"/>
      <c r="O27" s="1"/>
    </row>
    <row r="28" spans="2:26" x14ac:dyDescent="0.25">
      <c r="B28" s="1"/>
      <c r="C28" s="1"/>
      <c r="D28" s="1"/>
      <c r="E28" s="1"/>
      <c r="F28" s="1"/>
      <c r="G28" s="1"/>
      <c r="H28" s="11"/>
      <c r="I28" s="11"/>
      <c r="J28" s="11"/>
      <c r="K28" s="1"/>
      <c r="L28" s="1"/>
      <c r="M28" s="1"/>
      <c r="N28" s="1"/>
      <c r="O28" s="1"/>
    </row>
    <row r="29" spans="2:26" x14ac:dyDescent="0.25">
      <c r="B29" s="1"/>
      <c r="C29" s="1"/>
      <c r="D29" s="1"/>
      <c r="E29" s="1"/>
      <c r="F29" s="1"/>
      <c r="G29" s="1"/>
      <c r="H29" s="11"/>
      <c r="I29" s="11"/>
      <c r="J29" s="11"/>
      <c r="K29" s="1"/>
      <c r="L29" s="1"/>
      <c r="M29" s="1"/>
      <c r="N29" s="1"/>
      <c r="O29" s="1"/>
    </row>
    <row r="30" spans="2:26" x14ac:dyDescent="0.25">
      <c r="B30" s="1"/>
      <c r="C30" s="1"/>
      <c r="D30" s="1"/>
      <c r="E30" s="1"/>
      <c r="F30" s="1"/>
      <c r="G30" s="1"/>
      <c r="H30" s="11"/>
      <c r="I30" s="11"/>
      <c r="J30" s="11"/>
      <c r="K30" s="1"/>
      <c r="L30" s="1"/>
      <c r="M30" s="1"/>
      <c r="N30" s="1"/>
      <c r="O30" s="1"/>
    </row>
    <row r="31" spans="2:26" x14ac:dyDescent="0.25">
      <c r="B31" s="1"/>
      <c r="C31" s="1"/>
      <c r="D31" s="1"/>
      <c r="E31" s="1"/>
      <c r="F31" s="1"/>
      <c r="G31" s="1"/>
      <c r="H31" s="11"/>
      <c r="I31" s="11"/>
      <c r="J31" s="11"/>
      <c r="K31" s="1"/>
      <c r="L31" s="1"/>
      <c r="M31" s="1"/>
      <c r="N31" s="1"/>
      <c r="O31" s="1"/>
    </row>
    <row r="32" spans="2:26" x14ac:dyDescent="0.25">
      <c r="B32" s="1"/>
      <c r="C32" s="1"/>
      <c r="D32" s="1"/>
      <c r="E32" s="1"/>
      <c r="F32" s="1"/>
      <c r="G32" s="1"/>
      <c r="H32" s="11"/>
      <c r="I32" s="11"/>
      <c r="J32" s="11"/>
      <c r="K32" s="1"/>
      <c r="L32" s="1"/>
      <c r="M32" s="1"/>
      <c r="N32" s="1"/>
      <c r="O32" s="1"/>
    </row>
    <row r="33" spans="2:15" x14ac:dyDescent="0.25">
      <c r="B33" s="1"/>
      <c r="C33" s="1"/>
      <c r="D33" s="1"/>
      <c r="E33" s="1"/>
      <c r="F33" s="1"/>
      <c r="G33" s="1"/>
      <c r="H33" s="11"/>
      <c r="I33" s="11"/>
      <c r="J33" s="11"/>
      <c r="K33" s="1"/>
      <c r="L33" s="1"/>
      <c r="M33" s="1"/>
      <c r="N33" s="1"/>
      <c r="O33" s="1"/>
    </row>
    <row r="34" spans="2:15" x14ac:dyDescent="0.25">
      <c r="B34" s="1"/>
      <c r="C34" s="1"/>
      <c r="D34" s="1"/>
      <c r="E34" s="1"/>
      <c r="F34" s="1"/>
      <c r="G34" s="1"/>
      <c r="H34" s="11"/>
      <c r="I34" s="11"/>
      <c r="J34" s="11"/>
      <c r="K34" s="1"/>
      <c r="L34" s="1"/>
      <c r="M34" s="1"/>
      <c r="N34" s="1"/>
      <c r="O34" s="1"/>
    </row>
    <row r="35" spans="2:15" x14ac:dyDescent="0.25">
      <c r="B35" s="1"/>
      <c r="C35" s="1"/>
      <c r="D35" s="1"/>
      <c r="E35" s="1"/>
      <c r="F35" s="1"/>
      <c r="G35" s="1"/>
      <c r="H35" s="11"/>
      <c r="I35" s="11"/>
      <c r="J35" s="11"/>
      <c r="K35" s="1"/>
      <c r="L35" s="1"/>
      <c r="M35" s="1"/>
      <c r="N35" s="1"/>
      <c r="O35" s="1"/>
    </row>
    <row r="36" spans="2:15" x14ac:dyDescent="0.25">
      <c r="B36" s="1"/>
      <c r="C36" s="1"/>
      <c r="D36" s="1"/>
      <c r="E36" s="1"/>
      <c r="F36" s="1"/>
      <c r="G36" s="1"/>
      <c r="H36" s="11"/>
      <c r="I36" s="11"/>
      <c r="J36" s="11"/>
      <c r="K36" s="1"/>
      <c r="L36" s="1"/>
      <c r="M36" s="1"/>
      <c r="N36" s="1"/>
      <c r="O36" s="1"/>
    </row>
    <row r="37" spans="2:15" x14ac:dyDescent="0.25">
      <c r="B37" s="1"/>
      <c r="C37" s="1"/>
      <c r="D37" s="1"/>
      <c r="E37" s="1"/>
      <c r="F37" s="1"/>
      <c r="G37" s="1"/>
      <c r="H37" s="11"/>
      <c r="I37" s="11"/>
      <c r="J37" s="11"/>
      <c r="K37" s="1"/>
      <c r="L37" s="1"/>
      <c r="M37" s="1"/>
      <c r="N37" s="1"/>
      <c r="O37" s="1"/>
    </row>
    <row r="38" spans="2:15" x14ac:dyDescent="0.25">
      <c r="B38" s="1"/>
      <c r="C38" s="1"/>
      <c r="D38" s="1"/>
      <c r="E38" s="1"/>
      <c r="F38" s="1"/>
      <c r="G38" s="1"/>
      <c r="H38" s="11"/>
      <c r="I38" s="11"/>
      <c r="J38" s="11"/>
      <c r="K38" s="1"/>
      <c r="L38" s="1"/>
      <c r="M38" s="1"/>
      <c r="N38" s="1"/>
      <c r="O38" s="1"/>
    </row>
    <row r="39" spans="2:15" x14ac:dyDescent="0.25">
      <c r="B39" s="1"/>
      <c r="C39" s="1"/>
      <c r="D39" s="1"/>
      <c r="E39" s="1"/>
      <c r="F39" s="1"/>
      <c r="G39" s="1"/>
      <c r="H39" s="11"/>
      <c r="I39" s="11"/>
      <c r="J39" s="11"/>
      <c r="K39" s="1"/>
      <c r="L39" s="1"/>
      <c r="M39" s="1"/>
      <c r="N39" s="1"/>
      <c r="O39" s="1"/>
    </row>
    <row r="40" spans="2:15" x14ac:dyDescent="0.25">
      <c r="B40" s="1"/>
      <c r="C40" s="1"/>
      <c r="D40" s="1"/>
      <c r="E40" s="1"/>
      <c r="F40" s="1"/>
      <c r="G40" s="1"/>
      <c r="H40" s="11"/>
      <c r="I40" s="11"/>
      <c r="J40" s="11"/>
      <c r="K40" s="1"/>
      <c r="L40" s="1"/>
      <c r="M40" s="1"/>
      <c r="N40" s="1"/>
      <c r="O40" s="1"/>
    </row>
    <row r="41" spans="2:15" x14ac:dyDescent="0.25">
      <c r="B41" s="1"/>
      <c r="C41" s="1"/>
      <c r="D41" s="1"/>
      <c r="E41" s="1"/>
      <c r="F41" s="1"/>
      <c r="G41" s="1"/>
      <c r="H41" s="11"/>
      <c r="I41" s="11"/>
      <c r="J41" s="11"/>
      <c r="K41" s="1"/>
      <c r="L41" s="1"/>
      <c r="M41" s="1"/>
      <c r="N41" s="1"/>
      <c r="O41" s="1"/>
    </row>
    <row r="42" spans="2:15" x14ac:dyDescent="0.25">
      <c r="B42" s="1"/>
      <c r="C42" s="1"/>
      <c r="D42" s="1"/>
      <c r="E42" s="1"/>
      <c r="F42" s="1"/>
      <c r="G42" s="1"/>
      <c r="H42" s="11"/>
      <c r="I42" s="11"/>
      <c r="J42" s="11"/>
      <c r="K42" s="1"/>
      <c r="L42" s="1"/>
      <c r="M42" s="1"/>
      <c r="N42" s="1"/>
      <c r="O42" s="1"/>
    </row>
    <row r="43" spans="2:15" x14ac:dyDescent="0.25">
      <c r="B43" s="1"/>
      <c r="C43" s="1"/>
      <c r="D43" s="1"/>
      <c r="E43" s="1"/>
      <c r="F43" s="1"/>
      <c r="G43" s="1"/>
      <c r="H43" s="11"/>
      <c r="I43" s="11"/>
      <c r="J43" s="11"/>
      <c r="K43" s="1"/>
      <c r="L43" s="1"/>
      <c r="M43" s="1"/>
      <c r="N43" s="1"/>
      <c r="O43" s="1"/>
    </row>
    <row r="44" spans="2:15" x14ac:dyDescent="0.25">
      <c r="B44" s="1"/>
      <c r="C44" s="1"/>
      <c r="D44" s="1"/>
      <c r="E44" s="1"/>
      <c r="F44" s="1"/>
      <c r="G44" s="1"/>
      <c r="H44" s="11"/>
      <c r="I44" s="11"/>
      <c r="J44" s="11"/>
      <c r="K44" s="1"/>
      <c r="L44" s="1"/>
      <c r="M44" s="1"/>
      <c r="N44" s="1"/>
      <c r="O44" s="1"/>
    </row>
    <row r="45" spans="2:15" x14ac:dyDescent="0.25">
      <c r="B45" s="1"/>
      <c r="C45" s="1"/>
      <c r="D45" s="1"/>
      <c r="E45" s="1"/>
      <c r="F45" s="1"/>
      <c r="G45" s="1"/>
      <c r="H45" s="11"/>
      <c r="I45" s="11"/>
      <c r="J45" s="11"/>
      <c r="K45" s="1"/>
      <c r="L45" s="1"/>
      <c r="M45" s="1"/>
      <c r="N45" s="1"/>
      <c r="O45" s="1"/>
    </row>
    <row r="46" spans="2:15" x14ac:dyDescent="0.25">
      <c r="B46" s="1"/>
      <c r="C46" s="1"/>
      <c r="D46" s="1"/>
      <c r="E46" s="1"/>
      <c r="F46" s="1"/>
      <c r="G46" s="1"/>
      <c r="H46" s="11"/>
      <c r="I46" s="11"/>
      <c r="J46" s="11"/>
      <c r="K46" s="1"/>
      <c r="L46" s="1"/>
      <c r="M46" s="1"/>
      <c r="N46" s="1"/>
      <c r="O46" s="1"/>
    </row>
    <row r="47" spans="2:15" x14ac:dyDescent="0.25">
      <c r="B47" s="1"/>
      <c r="C47" s="1"/>
      <c r="D47" s="1"/>
      <c r="E47" s="1"/>
      <c r="F47" s="1"/>
      <c r="G47" s="1"/>
      <c r="H47" s="11"/>
      <c r="I47" s="11"/>
      <c r="J47" s="11"/>
      <c r="K47" s="1"/>
      <c r="L47" s="1"/>
      <c r="M47" s="1"/>
      <c r="N47" s="1"/>
      <c r="O47" s="1"/>
    </row>
    <row r="48" spans="2:15" x14ac:dyDescent="0.25">
      <c r="B48" s="1"/>
      <c r="C48" s="1"/>
      <c r="D48" s="1"/>
      <c r="E48" s="1"/>
      <c r="F48" s="1"/>
      <c r="G48" s="1"/>
      <c r="H48" s="11"/>
      <c r="I48" s="11"/>
      <c r="J48" s="11"/>
      <c r="K48" s="1"/>
      <c r="L48" s="1"/>
      <c r="M48" s="1"/>
      <c r="N48" s="1"/>
      <c r="O48" s="1"/>
    </row>
    <row r="49" spans="2:15" x14ac:dyDescent="0.25">
      <c r="B49" s="1"/>
      <c r="C49" s="1"/>
      <c r="D49" s="1"/>
      <c r="E49" s="1"/>
      <c r="F49" s="1"/>
      <c r="G49" s="1"/>
      <c r="H49" s="11"/>
      <c r="I49" s="11"/>
      <c r="J49" s="11"/>
      <c r="K49" s="1"/>
      <c r="L49" s="1"/>
      <c r="M49" s="1"/>
      <c r="N49" s="1"/>
      <c r="O49" s="1"/>
    </row>
    <row r="50" spans="2:15" x14ac:dyDescent="0.25">
      <c r="B50" s="1"/>
      <c r="C50" s="1"/>
      <c r="D50" s="1"/>
      <c r="E50" s="1"/>
      <c r="F50" s="1"/>
      <c r="G50" s="1"/>
      <c r="H50" s="11"/>
      <c r="I50" s="11"/>
      <c r="J50" s="11"/>
      <c r="K50" s="1"/>
      <c r="L50" s="1"/>
      <c r="M50" s="1"/>
      <c r="N50" s="1"/>
      <c r="O50" s="1"/>
    </row>
    <row r="51" spans="2:15" x14ac:dyDescent="0.25">
      <c r="B51" s="1"/>
      <c r="C51" s="1"/>
      <c r="D51" s="1"/>
      <c r="E51" s="1"/>
      <c r="F51" s="1"/>
      <c r="G51" s="1"/>
      <c r="H51" s="11"/>
      <c r="I51" s="11"/>
      <c r="J51" s="11"/>
      <c r="K51" s="1"/>
      <c r="L51" s="1"/>
      <c r="M51" s="1"/>
      <c r="N51" s="1"/>
      <c r="O51" s="1"/>
    </row>
    <row r="52" spans="2:15" x14ac:dyDescent="0.25">
      <c r="B52" s="1"/>
      <c r="C52" s="1"/>
      <c r="D52" s="1"/>
      <c r="E52" s="1"/>
      <c r="F52" s="1"/>
      <c r="G52" s="1"/>
      <c r="H52" s="11"/>
      <c r="I52" s="11"/>
      <c r="J52" s="11"/>
      <c r="K52" s="1"/>
      <c r="L52" s="1"/>
      <c r="M52" s="1"/>
      <c r="N52" s="1"/>
      <c r="O52" s="1"/>
    </row>
    <row r="53" spans="2:15" x14ac:dyDescent="0.25">
      <c r="B53" s="1"/>
      <c r="C53" s="1"/>
      <c r="D53" s="1"/>
      <c r="E53" s="1"/>
      <c r="F53" s="1"/>
      <c r="G53" s="1"/>
      <c r="H53" s="11"/>
      <c r="I53" s="11"/>
      <c r="J53" s="11"/>
      <c r="K53" s="1"/>
      <c r="L53" s="1"/>
      <c r="M53" s="1"/>
      <c r="N53" s="1"/>
      <c r="O53" s="1"/>
    </row>
    <row r="54" spans="2:15" x14ac:dyDescent="0.25">
      <c r="B54" s="1"/>
      <c r="C54" s="1"/>
      <c r="D54" s="1"/>
      <c r="E54" s="1"/>
      <c r="F54" s="1"/>
      <c r="G54" s="1"/>
      <c r="H54" s="11"/>
      <c r="I54" s="11"/>
      <c r="J54" s="11"/>
      <c r="K54" s="1"/>
      <c r="L54" s="1"/>
      <c r="M54" s="1"/>
      <c r="N54" s="1"/>
      <c r="O54" s="1"/>
    </row>
    <row r="55" spans="2:15" x14ac:dyDescent="0.25">
      <c r="B55" s="1"/>
      <c r="C55" s="1"/>
      <c r="D55" s="1"/>
      <c r="E55" s="1"/>
      <c r="F55" s="1"/>
      <c r="G55" s="1"/>
      <c r="H55" s="11"/>
      <c r="I55" s="11"/>
      <c r="J55" s="11"/>
      <c r="K55" s="1"/>
      <c r="L55" s="1"/>
      <c r="M55" s="1"/>
      <c r="N55" s="1"/>
      <c r="O55" s="1"/>
    </row>
    <row r="56" spans="2:15" x14ac:dyDescent="0.25">
      <c r="B56" s="1"/>
      <c r="C56" s="1"/>
      <c r="D56" s="1"/>
      <c r="E56" s="1"/>
      <c r="F56" s="1"/>
      <c r="G56" s="1"/>
      <c r="H56" s="11"/>
      <c r="I56" s="11"/>
      <c r="J56" s="11"/>
      <c r="K56" s="1"/>
      <c r="L56" s="1"/>
      <c r="M56" s="1"/>
      <c r="N56" s="1"/>
      <c r="O56" s="1"/>
    </row>
  </sheetData>
  <mergeCells count="22">
    <mergeCell ref="B22:E22"/>
    <mergeCell ref="B27:E27"/>
    <mergeCell ref="T11:V11"/>
    <mergeCell ref="T18:U18"/>
    <mergeCell ref="T3:X3"/>
    <mergeCell ref="B23:E23"/>
    <mergeCell ref="B24:E24"/>
    <mergeCell ref="B25:E25"/>
    <mergeCell ref="B26:E26"/>
    <mergeCell ref="T4:W4"/>
    <mergeCell ref="T5:W5"/>
    <mergeCell ref="T6:W6"/>
    <mergeCell ref="T7:W7"/>
    <mergeCell ref="T8:W8"/>
    <mergeCell ref="N3:O3"/>
    <mergeCell ref="B19:E19"/>
    <mergeCell ref="X11:Z11"/>
    <mergeCell ref="X18:Y18"/>
    <mergeCell ref="T19:U19"/>
    <mergeCell ref="X19:Y19"/>
    <mergeCell ref="B21:E21"/>
    <mergeCell ref="B20:E20"/>
  </mergeCells>
  <dataValidations count="1">
    <dataValidation type="list" allowBlank="1" showInputMessage="1" showErrorMessage="1" sqref="U20 Y20" xr:uid="{77AF79EB-248C-4853-B7C5-35741C4DB5CA}">
      <formula1>$B$4:$B$16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7E5CD3C-8746-470E-8919-6F05882465FA}">
          <x14:formula1>
            <xm:f>'O2'!$F$4:$F$325</xm:f>
          </x14:formula1>
          <xm:sqref>U21 Y21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05A92-ACD5-4BC1-B48C-0663A769FAED}">
  <dimension ref="B2:AE23"/>
  <sheetViews>
    <sheetView topLeftCell="B13" zoomScaleNormal="100" workbookViewId="0">
      <selection activeCell="B22" sqref="B22:C22"/>
    </sheetView>
  </sheetViews>
  <sheetFormatPr defaultRowHeight="15" x14ac:dyDescent="0.25"/>
  <cols>
    <col min="3" max="3" width="13.5703125" bestFit="1" customWidth="1"/>
    <col min="5" max="5" width="15.85546875" bestFit="1" customWidth="1"/>
    <col min="7" max="7" width="16.28515625" bestFit="1" customWidth="1"/>
    <col min="9" max="9" width="16.28515625" bestFit="1" customWidth="1"/>
    <col min="11" max="11" width="16.28515625" bestFit="1" customWidth="1"/>
    <col min="12" max="12" width="17.85546875" bestFit="1" customWidth="1"/>
    <col min="13" max="13" width="16.28515625" bestFit="1" customWidth="1"/>
    <col min="15" max="15" width="16.28515625" bestFit="1" customWidth="1"/>
    <col min="17" max="17" width="16.28515625" bestFit="1" customWidth="1"/>
    <col min="19" max="19" width="16.28515625" bestFit="1" customWidth="1"/>
    <col min="21" max="21" width="16.28515625" bestFit="1" customWidth="1"/>
    <col min="23" max="23" width="16.28515625" bestFit="1" customWidth="1"/>
    <col min="25" max="25" width="16.28515625" bestFit="1" customWidth="1"/>
    <col min="27" max="27" width="16.28515625" bestFit="1" customWidth="1"/>
    <col min="28" max="28" width="14.7109375" bestFit="1" customWidth="1"/>
    <col min="29" max="29" width="16.28515625" bestFit="1" customWidth="1"/>
  </cols>
  <sheetData>
    <row r="2" spans="2:31" x14ac:dyDescent="0.25">
      <c r="B2" s="20"/>
      <c r="C2" s="23" t="s">
        <v>22</v>
      </c>
      <c r="D2" s="40">
        <v>1</v>
      </c>
      <c r="E2" s="40"/>
      <c r="F2" s="40">
        <v>0.99</v>
      </c>
      <c r="G2" s="40"/>
      <c r="H2" s="40">
        <v>0.98</v>
      </c>
      <c r="I2" s="40"/>
      <c r="J2" s="40">
        <v>0.97</v>
      </c>
      <c r="K2" s="40"/>
      <c r="L2" s="40">
        <v>0.96</v>
      </c>
      <c r="M2" s="40"/>
      <c r="N2" s="40">
        <v>0.95</v>
      </c>
      <c r="O2" s="40"/>
      <c r="P2" s="40">
        <v>0.9</v>
      </c>
      <c r="Q2" s="40"/>
      <c r="R2" s="40">
        <v>0.85</v>
      </c>
      <c r="S2" s="40"/>
      <c r="T2" s="40">
        <v>0.8</v>
      </c>
      <c r="U2" s="40"/>
      <c r="V2" s="40">
        <v>0.75</v>
      </c>
      <c r="W2" s="40"/>
      <c r="X2" s="40">
        <v>0.7</v>
      </c>
      <c r="Y2" s="40"/>
      <c r="Z2" s="40">
        <v>0.65</v>
      </c>
      <c r="AA2" s="40"/>
      <c r="AB2" s="40">
        <v>0.6</v>
      </c>
      <c r="AC2" s="40"/>
      <c r="AD2" s="46"/>
      <c r="AE2" s="46"/>
    </row>
    <row r="3" spans="2:31" x14ac:dyDescent="0.25">
      <c r="B3" s="25" t="s">
        <v>37</v>
      </c>
      <c r="C3" s="25" t="s">
        <v>38</v>
      </c>
      <c r="D3" s="25" t="s">
        <v>27</v>
      </c>
      <c r="E3" s="25" t="s">
        <v>39</v>
      </c>
      <c r="F3" s="25" t="s">
        <v>27</v>
      </c>
      <c r="G3" s="25" t="s">
        <v>39</v>
      </c>
      <c r="H3" s="25" t="s">
        <v>27</v>
      </c>
      <c r="I3" s="25" t="s">
        <v>39</v>
      </c>
      <c r="J3" s="25" t="s">
        <v>27</v>
      </c>
      <c r="K3" s="25" t="s">
        <v>39</v>
      </c>
      <c r="L3" s="25" t="s">
        <v>27</v>
      </c>
      <c r="M3" s="25" t="s">
        <v>39</v>
      </c>
      <c r="N3" s="25" t="s">
        <v>27</v>
      </c>
      <c r="O3" s="25" t="s">
        <v>39</v>
      </c>
      <c r="P3" s="25" t="s">
        <v>27</v>
      </c>
      <c r="Q3" s="25" t="s">
        <v>39</v>
      </c>
      <c r="R3" s="25" t="s">
        <v>27</v>
      </c>
      <c r="S3" s="25" t="s">
        <v>39</v>
      </c>
      <c r="T3" s="25" t="s">
        <v>27</v>
      </c>
      <c r="U3" s="25" t="s">
        <v>39</v>
      </c>
      <c r="V3" s="25" t="s">
        <v>27</v>
      </c>
      <c r="W3" s="25" t="s">
        <v>39</v>
      </c>
      <c r="X3" s="25" t="s">
        <v>27</v>
      </c>
      <c r="Y3" s="25" t="s">
        <v>39</v>
      </c>
      <c r="Z3" s="25" t="s">
        <v>27</v>
      </c>
      <c r="AA3" s="25" t="s">
        <v>39</v>
      </c>
      <c r="AB3" s="25" t="s">
        <v>27</v>
      </c>
      <c r="AC3" s="25" t="s">
        <v>39</v>
      </c>
      <c r="AD3" s="11"/>
      <c r="AE3" s="11"/>
    </row>
    <row r="4" spans="2:31" x14ac:dyDescent="0.25">
      <c r="B4" s="24">
        <v>0</v>
      </c>
      <c r="C4" s="26">
        <v>10</v>
      </c>
      <c r="D4" s="26">
        <f>'Goal Seek'!K4</f>
        <v>2496.895</v>
      </c>
      <c r="E4" s="30">
        <f>(((4.7*10^13)*'Goal Seek'!$I$4*('Goal Seek'!$H$4^0.5)*EXP(-67837/'Part 2a'!D4))/('Goal Seek'!$F$26*6))*('Goal Seek'!$F$20*10^-6)</f>
        <v>0</v>
      </c>
      <c r="F4" s="26">
        <f>'Goal Seek'!K5</f>
        <v>2411.0610000000001</v>
      </c>
      <c r="G4" s="30">
        <f>(((4.7*10^13)*'Goal Seek'!$I$5*('Goal Seek'!$H$5^0.5)*EXP(-67837/'Part 2a'!F4))/('Goal Seek'!$F$26*6))*('Goal Seek'!$F$20*10^-6)</f>
        <v>2.4696525361644766E-10</v>
      </c>
      <c r="H4" s="26">
        <f>'Goal Seek'!K6</f>
        <v>2394.9929999999999</v>
      </c>
      <c r="I4" s="30">
        <f>(((4.7*10^13)*'Goal Seek'!$I$6*('Goal Seek'!$H$6^0.5)*EXP(-67837/'Part 2a'!H4))/('Goal Seek'!$F$26*6))*('Goal Seek'!$F$20*10^-6)</f>
        <v>2.8925441019341381E-10</v>
      </c>
      <c r="J4" s="26">
        <f>'Goal Seek'!K7</f>
        <v>2378.924</v>
      </c>
      <c r="K4" s="30">
        <f>(((4.7*10^13)*'Goal Seek'!$I$7*('Goal Seek'!$H$7^0.5)*EXP(-67837/'Part 2a'!J4))/('Goal Seek'!$F$26*6))*('Goal Seek'!$F$20*10^-6)</f>
        <v>2.9264570156126866E-10</v>
      </c>
      <c r="L4" s="26">
        <f>'Goal Seek'!K8</f>
        <v>2362.6909999999998</v>
      </c>
      <c r="M4" s="30">
        <f>(((4.7*10^13)*'Goal Seek'!$I$8*('Goal Seek'!$H$8^0.5)*EXP(-67837/'Part 2a'!L4))/('Goal Seek'!$F$26*6))*('Goal Seek'!$F$20*10^-6)</f>
        <v>2.7786410473815421E-10</v>
      </c>
      <c r="N4" s="26">
        <f>'Goal Seek'!K9</f>
        <v>2346.4549999999999</v>
      </c>
      <c r="O4" s="30">
        <f>(((4.7*10^13)*'Goal Seek'!$I$9*('Goal Seek'!$H$9^0.5)*EXP(-67837/'Part 2a'!N4))/('Goal Seek'!$F$26*6))*('Goal Seek'!$F$20*10^-6)</f>
        <v>2.5475051582857399E-10</v>
      </c>
      <c r="P4" s="26">
        <f>'Goal Seek'!K10</f>
        <v>2263.8409999999999</v>
      </c>
      <c r="Q4" s="30">
        <f>(((4.7*10^13)*'Goal Seek'!$I$10*('Goal Seek'!$H$10^0.5)*EXP(-67837/'Part 2a'!P4))/('Goal Seek'!$F$26*6))*('Goal Seek'!$F$20*10^-6)</f>
        <v>1.2559670206636171E-10</v>
      </c>
      <c r="R4" s="26">
        <f>'Goal Seek'!K11</f>
        <v>2179.047</v>
      </c>
      <c r="S4" s="30">
        <f>(((4.7*10^13)*'Goal Seek'!$I$11*('Goal Seek'!$H$11^0.5)*EXP(-67837/'Part 2a'!R4))/('Goal Seek'!$F$26*6))*('Goal Seek'!$F$20*10^-6)</f>
        <v>4.799012419538633E-11</v>
      </c>
      <c r="T4" s="26">
        <f>'Goal Seek'!K12</f>
        <v>2091.9989999999998</v>
      </c>
      <c r="U4" s="30">
        <f>(((4.7*10^13)*'Goal Seek'!$I$12*('Goal Seek'!$H$12^0.5)*EXP(-67837/'Part 2a'!T4))/('Goal Seek'!$F$26*6))*('Goal Seek'!$F$20*10^-6)</f>
        <v>1.5190937445940958E-11</v>
      </c>
      <c r="V4" s="26">
        <f>'Goal Seek'!K13</f>
        <v>2002.682</v>
      </c>
      <c r="W4" s="30">
        <f>(((4.7*10^13)*'Goal Seek'!$I$13*('Goal Seek'!$H$13^0.5)*EXP(-67837/'Part 2a'!V4))/('Goal Seek'!$F$26*6))*('Goal Seek'!$F$20*10^-6)</f>
        <v>4.0040992242772722E-12</v>
      </c>
      <c r="X4" s="26">
        <f>'Goal Seek'!K14</f>
        <v>1910.9390000000001</v>
      </c>
      <c r="Y4" s="30">
        <f>(((4.7*10^13)*'Goal Seek'!$I$14*('Goal Seek'!$H$14^0.5)*EXP(-67837/'Part 2a'!X4))/('Goal Seek'!$F$26*6))*('Goal Seek'!$F$20*10^-6)</f>
        <v>8.637251307499041E-13</v>
      </c>
      <c r="Z4" s="26">
        <f>'Goal Seek'!K15</f>
        <v>1816.684</v>
      </c>
      <c r="AA4" s="30">
        <f>(((4.7*10^13)*'Goal Seek'!$I$15*('Goal Seek'!$H$15^0.5)*EXP(-67837/'Part 2a'!Z4))/('Goal Seek'!$F$26*6))*('Goal Seek'!$F$20*10^-6)</f>
        <v>1.480820232980106E-13</v>
      </c>
      <c r="AB4" s="26">
        <f>'Goal Seek'!K16</f>
        <v>1719.826</v>
      </c>
      <c r="AC4" s="30">
        <f>(((4.7*10^13)*'Goal Seek'!$I$16*('Goal Seek'!$H$16^0.5)*EXP(-67837/'Part 2a'!AB4))/('Goal Seek'!$F$26*6))*('Goal Seek'!$F$20*10^-6)</f>
        <v>1.9351781494309377E-14</v>
      </c>
    </row>
    <row r="5" spans="2:31" x14ac:dyDescent="0.25">
      <c r="B5" s="21">
        <v>1</v>
      </c>
      <c r="C5" s="26">
        <v>12</v>
      </c>
      <c r="D5" s="26">
        <f>(((D4^'Goal Seek'!$F$27)*(($C5*10^5)^('Goal Seek'!$F$27-1)))/(($C4*10^5)^('Goal Seek'!$F$27-1)))^(1/'Goal Seek'!$F$27)</f>
        <v>2563.924586859815</v>
      </c>
      <c r="E5" s="30">
        <f>(((4.7*10^13)*'Goal Seek'!$I$4*('Goal Seek'!$H$4^0.5)*EXP(-67837/'Part 2a'!D5))/('Goal Seek'!$F$26*6))*('Goal Seek'!$F$20*10^-6)</f>
        <v>0</v>
      </c>
      <c r="F5" s="26">
        <f>(((F4^'Goal Seek'!$F$27)*(($C5*10^5)^('Goal Seek'!$F$27-1)))/(($C4*10^5)^('Goal Seek'!$F$27-1)))^(1/'Goal Seek'!$F$27)</f>
        <v>2475.7863579841428</v>
      </c>
      <c r="G5" s="30">
        <f>(((4.7*10^13)*'Goal Seek'!$I$5*('Goal Seek'!$H$5^0.5)*EXP(-67837/'Part 2a'!F5))/('Goal Seek'!$F$26*6))*('Goal Seek'!$F$20*10^-6)</f>
        <v>5.1533151315327001E-10</v>
      </c>
      <c r="H5" s="26">
        <f>(((H4^'Goal Seek'!$F$27)*(($C5*10^5)^('Goal Seek'!$F$27-1)))/(($C4*10^5)^('Goal Seek'!$F$27-1)))^(1/'Goal Seek'!$F$27)</f>
        <v>2459.2870096888928</v>
      </c>
      <c r="I5" s="30">
        <f>(((4.7*10^13)*'Goal Seek'!$I$6*('Goal Seek'!$H$6^0.5)*EXP(-67837/'Part 2a'!H5))/('Goal Seek'!$F$26*6))*('Goal Seek'!$F$20*10^-6)</f>
        <v>6.0656036669956375E-10</v>
      </c>
      <c r="J5" s="26">
        <f>(((J4^'Goal Seek'!$F$27)*(($C5*10^5)^('Goal Seek'!$F$27-1)))/(($C4*10^5)^('Goal Seek'!$F$27-1)))^(1/'Goal Seek'!$F$27)</f>
        <v>2442.7866345484676</v>
      </c>
      <c r="K5" s="30">
        <f>(((4.7*10^13)*'Goal Seek'!$I$7*('Goal Seek'!$H$7^0.5)*EXP(-67837/'Part 2a'!J5))/('Goal Seek'!$F$26*6))*('Goal Seek'!$F$20*10^-6)</f>
        <v>6.1674902589358219E-10</v>
      </c>
      <c r="L5" s="26">
        <f>(((L4^'Goal Seek'!$F$27)*(($C5*10^5)^('Goal Seek'!$F$27-1)))/(($C4*10^5)^('Goal Seek'!$F$27-1)))^(1/'Goal Seek'!$F$27)</f>
        <v>2426.1178567991069</v>
      </c>
      <c r="M5" s="30">
        <f>(((4.7*10^13)*'Goal Seek'!$I$8*('Goal Seek'!$H$8^0.5)*EXP(-67837/'Part 2a'!L5))/('Goal Seek'!$F$26*6))*('Goal Seek'!$F$20*10^-6)</f>
        <v>5.8860402056449197E-10</v>
      </c>
      <c r="N5" s="26">
        <f>(((N4^'Goal Seek'!$F$27)*(($C5*10^5)^('Goal Seek'!$F$27-1)))/(($C4*10^5)^('Goal Seek'!$F$27-1)))^(1/'Goal Seek'!$F$27)</f>
        <v>2409.4459985142157</v>
      </c>
      <c r="O5" s="30">
        <f>(((4.7*10^13)*'Goal Seek'!$I$9*('Goal Seek'!$H$9^0.5)*EXP(-67837/'Part 2a'!N5))/('Goal Seek'!$F$26*6))*('Goal Seek'!$F$20*10^-6)</f>
        <v>5.424522332109732E-10</v>
      </c>
      <c r="P5" s="26">
        <f>(((P4^'Goal Seek'!$F$27)*(($C5*10^5)^('Goal Seek'!$F$27-1)))/(($C4*10^5)^('Goal Seek'!$F$27-1)))^(1/'Goal Seek'!$F$27)</f>
        <v>2324.6142111067225</v>
      </c>
      <c r="Q5" s="30">
        <f>(((4.7*10^13)*'Goal Seek'!$I$10*('Goal Seek'!$H$10^0.5)*EXP(-67837/'Part 2a'!P5))/('Goal Seek'!$F$26*6))*('Goal Seek'!$F$20*10^-6)</f>
        <v>2.7491808588208997E-10</v>
      </c>
      <c r="R5" s="26">
        <f>(((R4^'Goal Seek'!$F$27)*(($C5*10^5)^('Goal Seek'!$F$27-1)))/(($C4*10^5)^('Goal Seek'!$F$27-1)))^(1/'Goal Seek'!$F$27)</f>
        <v>2237.543901214558</v>
      </c>
      <c r="S5" s="30">
        <f>(((4.7*10^13)*'Goal Seek'!$I$11*('Goal Seek'!$H$11^0.5)*EXP(-67837/'Part 2a'!R5))/('Goal Seek'!$F$26*6))*('Goal Seek'!$F$20*10^-6)</f>
        <v>1.0829695460241467E-10</v>
      </c>
      <c r="T5" s="26">
        <f>(((T4^'Goal Seek'!$F$27)*(($C5*10^5)^('Goal Seek'!$F$27-1)))/(($C4*10^5)^('Goal Seek'!$F$27-1)))^(1/'Goal Seek'!$F$27)</f>
        <v>2148.15908229467</v>
      </c>
      <c r="U5" s="30">
        <f>(((4.7*10^13)*'Goal Seek'!$I$12*('Goal Seek'!$H$12^0.5)*EXP(-67837/'Part 2a'!T5))/('Goal Seek'!$F$26*6))*('Goal Seek'!$F$20*10^-6)</f>
        <v>3.5461457765637451E-11</v>
      </c>
      <c r="V5" s="26">
        <f>(((V4^'Goal Seek'!$F$27)*(($C5*10^5)^('Goal Seek'!$F$27-1)))/(($C4*10^5)^('Goal Seek'!$F$27-1)))^(1/'Goal Seek'!$F$27)</f>
        <v>2056.44435166941</v>
      </c>
      <c r="W5" s="30">
        <f>(((4.7*10^13)*'Goal Seek'!$I$13*('Goal Seek'!$H$13^0.5)*EXP(-67837/'Part 2a'!V5))/('Goal Seek'!$F$26*6))*('Goal Seek'!$F$20*10^-6)</f>
        <v>9.7072637773627874E-12</v>
      </c>
      <c r="X5" s="26">
        <f>(((X4^'Goal Seek'!$F$27)*(($C5*10^5)^('Goal Seek'!$F$27-1)))/(($C4*10^5)^('Goal Seek'!$F$27-1)))^(1/'Goal Seek'!$F$27)</f>
        <v>1962.2384946460747</v>
      </c>
      <c r="Y5" s="30">
        <f>(((4.7*10^13)*'Goal Seek'!$I$14*('Goal Seek'!$H$14^0.5)*EXP(-67837/'Part 2a'!X5))/('Goal Seek'!$F$26*6))*('Goal Seek'!$F$20*10^-6)</f>
        <v>2.1849000769438124E-12</v>
      </c>
      <c r="Z5" s="26">
        <f>(((Z4^'Goal Seek'!$F$27)*(($C5*10^5)^('Goal Seek'!$F$27-1)))/(($C4*10^5)^('Goal Seek'!$F$27-1)))^(1/'Goal Seek'!$F$27)</f>
        <v>1865.4532025394892</v>
      </c>
      <c r="AA5" s="30">
        <f>(((4.7*10^13)*'Goal Seek'!$I$15*('Goal Seek'!$H$15^0.5)*EXP(-67837/'Part 2a'!Z5))/('Goal Seek'!$F$26*6))*('Goal Seek'!$F$20*10^-6)</f>
        <v>3.9307019655963247E-13</v>
      </c>
      <c r="AB5" s="26">
        <f>(((AB4^'Goal Seek'!$F$27)*(($C5*10^5)^('Goal Seek'!$F$27-1)))/(($C4*10^5)^('Goal Seek'!$F$27-1)))^(1/'Goal Seek'!$F$27)</f>
        <v>1765.995032438597</v>
      </c>
      <c r="AC5" s="30">
        <f>(((4.7*10^13)*'Goal Seek'!$I$16*('Goal Seek'!$H$16^0.5)*EXP(-67837/'Part 2a'!AB5))/('Goal Seek'!$F$26*6))*('Goal Seek'!$F$20*10^-6)</f>
        <v>5.4270766069750412E-14</v>
      </c>
    </row>
    <row r="6" spans="2:31" x14ac:dyDescent="0.25">
      <c r="B6" s="21">
        <v>2</v>
      </c>
      <c r="C6" s="26">
        <v>14</v>
      </c>
      <c r="D6" s="26">
        <f>(((D5^'Goal Seek'!$F$27)*(($C6*10^5)^('Goal Seek'!$F$27-1)))/(($C5*10^5)^('Goal Seek'!$F$27-1)))^(1/'Goal Seek'!$F$27)</f>
        <v>2621.9992212907209</v>
      </c>
      <c r="E6" s="30">
        <f>(((4.7*10^13)*'Goal Seek'!$I$4*('Goal Seek'!$H$4^0.5)*EXP(-67837/'Part 2a'!D6))/('Goal Seek'!$F$26*6))*('Goal Seek'!$F$20*10^-6)</f>
        <v>0</v>
      </c>
      <c r="F6" s="26">
        <f>(((F5^'Goal Seek'!$F$27)*(($C6*10^5)^('Goal Seek'!$F$27-1)))/(($C5*10^5)^('Goal Seek'!$F$27-1)))^(1/'Goal Seek'!$F$27)</f>
        <v>2531.8646016289927</v>
      </c>
      <c r="G6" s="30">
        <f>(((4.7*10^13)*'Goal Seek'!$I$5*('Goal Seek'!$H$5^0.5)*EXP(-67837/'Part 2a'!F6))/('Goal Seek'!$F$26*6))*('Goal Seek'!$F$20*10^-6)</f>
        <v>9.4548383681311967E-10</v>
      </c>
      <c r="H6" s="26">
        <f>(((H5^'Goal Seek'!$F$27)*(($C6*10^5)^('Goal Seek'!$F$27-1)))/(($C5*10^5)^('Goal Seek'!$F$27-1)))^(1/'Goal Seek'!$F$27)</f>
        <v>2514.9915318812873</v>
      </c>
      <c r="I6" s="30">
        <f>(((4.7*10^13)*'Goal Seek'!$I$6*('Goal Seek'!$H$6^0.5)*EXP(-67837/'Part 2a'!H6))/('Goal Seek'!$F$26*6))*('Goal Seek'!$F$20*10^-6)</f>
        <v>1.1174026847623712E-9</v>
      </c>
      <c r="J6" s="26">
        <f>(((J5^'Goal Seek'!$F$27)*(($C6*10^5)^('Goal Seek'!$F$27-1)))/(($C5*10^5)^('Goal Seek'!$F$27-1)))^(1/'Goal Seek'!$F$27)</f>
        <v>2498.1174120296623</v>
      </c>
      <c r="K6" s="30">
        <f>(((4.7*10^13)*'Goal Seek'!$I$7*('Goal Seek'!$H$7^0.5)*EXP(-67837/'Part 2a'!J6))/('Goal Seek'!$F$26*6))*('Goal Seek'!$F$20*10^-6)</f>
        <v>1.1408706960595699E-9</v>
      </c>
      <c r="L6" s="26">
        <f>(((L5^'Goal Seek'!$F$27)*(($C6*10^5)^('Goal Seek'!$F$27-1)))/(($C5*10^5)^('Goal Seek'!$F$27-1)))^(1/'Goal Seek'!$F$27)</f>
        <v>2481.0710751355568</v>
      </c>
      <c r="M6" s="30">
        <f>(((4.7*10^13)*'Goal Seek'!$I$8*('Goal Seek'!$H$8^0.5)*EXP(-67837/'Part 2a'!L6))/('Goal Seek'!$F$26*6))*('Goal Seek'!$F$20*10^-6)</f>
        <v>1.0934186940505114E-9</v>
      </c>
      <c r="N6" s="26">
        <f>(((N5^'Goal Seek'!$F$27)*(($C6*10^5)^('Goal Seek'!$F$27-1)))/(($C5*10^5)^('Goal Seek'!$F$27-1)))^(1/'Goal Seek'!$F$27)</f>
        <v>2464.0215879296957</v>
      </c>
      <c r="O6" s="30">
        <f>(((4.7*10^13)*'Goal Seek'!$I$9*('Goal Seek'!$H$9^0.5)*EXP(-67837/'Part 2a'!N6))/('Goal Seek'!$F$26*6))*('Goal Seek'!$F$20*10^-6)</f>
        <v>1.012012389523844E-9</v>
      </c>
      <c r="P6" s="26">
        <f>(((P5^'Goal Seek'!$F$27)*(($C6*10^5)^('Goal Seek'!$F$27-1)))/(($C5*10^5)^('Goal Seek'!$F$27-1)))^(1/'Goal Seek'!$F$27)</f>
        <v>2377.2683028825863</v>
      </c>
      <c r="Q6" s="30">
        <f>(((4.7*10^13)*'Goal Seek'!$I$10*('Goal Seek'!$H$10^0.5)*EXP(-67837/'Part 2a'!P6))/('Goal Seek'!$F$26*6))*('Goal Seek'!$F$20*10^-6)</f>
        <v>5.2469966840632533E-10</v>
      </c>
      <c r="R6" s="26">
        <f>(((R5^'Goal Seek'!$F$27)*(($C6*10^5)^('Goal Seek'!$F$27-1)))/(($C5*10^5)^('Goal Seek'!$F$27-1)))^(1/'Goal Seek'!$F$27)</f>
        <v>2288.2257912951404</v>
      </c>
      <c r="S6" s="30">
        <f>(((4.7*10^13)*'Goal Seek'!$I$11*('Goal Seek'!$H$11^0.5)*EXP(-67837/'Part 2a'!R6))/('Goal Seek'!$F$26*6))*('Goal Seek'!$F$20*10^-6)</f>
        <v>2.1195662144374643E-10</v>
      </c>
      <c r="T6" s="26">
        <f>(((T5^'Goal Seek'!$F$27)*(($C6*10^5)^('Goal Seek'!$F$27-1)))/(($C5*10^5)^('Goal Seek'!$F$27-1)))^(1/'Goal Seek'!$F$27)</f>
        <v>2196.8163454774708</v>
      </c>
      <c r="U6" s="30">
        <f>(((4.7*10^13)*'Goal Seek'!$I$12*('Goal Seek'!$H$12^0.5)*EXP(-67837/'Part 2a'!T6))/('Goal Seek'!$F$26*6))*('Goal Seek'!$F$20*10^-6)</f>
        <v>7.1371047911294966E-11</v>
      </c>
      <c r="V6" s="26">
        <f>(((V5^'Goal Seek'!$F$27)*(($C6*10^5)^('Goal Seek'!$F$27-1)))/(($C5*10^5)^('Goal Seek'!$F$27-1)))^(1/'Goal Seek'!$F$27)</f>
        <v>2103.0242138708063</v>
      </c>
      <c r="W6" s="30">
        <f>(((4.7*10^13)*'Goal Seek'!$I$13*('Goal Seek'!$H$13^0.5)*EXP(-67837/'Part 2a'!V6))/('Goal Seek'!$F$26*6))*('Goal Seek'!$F$20*10^-6)</f>
        <v>2.0156255894935514E-11</v>
      </c>
      <c r="X6" s="26">
        <f>(((X5^'Goal Seek'!$F$27)*(($C6*10^5)^('Goal Seek'!$F$27-1)))/(($C5*10^5)^('Goal Seek'!$F$27-1)))^(1/'Goal Seek'!$F$27)</f>
        <v>2006.6845301600872</v>
      </c>
      <c r="Y6" s="30">
        <f>(((4.7*10^13)*'Goal Seek'!$I$14*('Goal Seek'!$H$14^0.5)*EXP(-67837/'Part 2a'!X6))/('Goal Seek'!$F$26*6))*('Goal Seek'!$F$20*10^-6)</f>
        <v>4.6987097106882403E-12</v>
      </c>
      <c r="Z6" s="26">
        <f>(((Z5^'Goal Seek'!$F$27)*(($C6*10^5)^('Goal Seek'!$F$27-1)))/(($C5*10^5)^('Goal Seek'!$F$27-1)))^(1/'Goal Seek'!$F$27)</f>
        <v>1907.7069854084025</v>
      </c>
      <c r="AA6" s="30">
        <f>(((4.7*10^13)*'Goal Seek'!$I$15*('Goal Seek'!$H$15^0.5)*EXP(-67837/'Part 2a'!Z6))/('Goal Seek'!$F$26*6))*('Goal Seek'!$F$20*10^-6)</f>
        <v>8.7957056197923829E-13</v>
      </c>
      <c r="AB6" s="26">
        <f>(((AB5^'Goal Seek'!$F$27)*(($C6*10^5)^('Goal Seek'!$F$27-1)))/(($C5*10^5)^('Goal Seek'!$F$27-1)))^(1/'Goal Seek'!$F$27)</f>
        <v>1805.9960201592528</v>
      </c>
      <c r="AC6" s="30">
        <f>(((4.7*10^13)*'Goal Seek'!$I$16*('Goal Seek'!$H$16^0.5)*EXP(-67837/'Part 2a'!AB6))/('Goal Seek'!$F$26*6))*('Goal Seek'!$F$20*10^-6)</f>
        <v>1.2707694364604505E-13</v>
      </c>
    </row>
    <row r="7" spans="2:31" x14ac:dyDescent="0.25">
      <c r="B7" s="21">
        <v>3</v>
      </c>
      <c r="C7" s="26">
        <v>16</v>
      </c>
      <c r="D7" s="26">
        <f>(((D6^'Goal Seek'!$F$27)*(($C7*10^5)^('Goal Seek'!$F$27-1)))/(($C6*10^5)^('Goal Seek'!$F$27-1)))^(1/'Goal Seek'!$F$27)</f>
        <v>2673.3679595320455</v>
      </c>
      <c r="E7" s="30">
        <f>(((4.7*10^13)*'Goal Seek'!$I$4*('Goal Seek'!$H$4^0.5)*EXP(-67837/'Part 2a'!D7))/('Goal Seek'!$F$26*6))*('Goal Seek'!$F$20*10^-6)</f>
        <v>0</v>
      </c>
      <c r="F7" s="26">
        <f>(((F6^'Goal Seek'!$F$27)*(($C7*10^5)^('Goal Seek'!$F$27-1)))/(($C6*10^5)^('Goal Seek'!$F$27-1)))^(1/'Goal Seek'!$F$27)</f>
        <v>2581.4674729523254</v>
      </c>
      <c r="G7" s="30">
        <f>(((4.7*10^13)*'Goal Seek'!$I$5*('Goal Seek'!$H$5^0.5)*EXP(-67837/'Part 2a'!F7))/('Goal Seek'!$F$26*6))*('Goal Seek'!$F$20*10^-6)</f>
        <v>1.5821338004963789E-9</v>
      </c>
      <c r="H7" s="26">
        <f>(((H6^'Goal Seek'!$F$27)*(($C7*10^5)^('Goal Seek'!$F$27-1)))/(($C6*10^5)^('Goal Seek'!$F$27-1)))^(1/'Goal Seek'!$F$27)</f>
        <v>2564.2638354850851</v>
      </c>
      <c r="I7" s="30">
        <f>(((4.7*10^13)*'Goal Seek'!$I$6*('Goal Seek'!$H$6^0.5)*EXP(-67837/'Part 2a'!H7))/('Goal Seek'!$F$26*6))*('Goal Seek'!$F$20*10^-6)</f>
        <v>1.8762852693384769E-9</v>
      </c>
      <c r="J7" s="26">
        <f>(((J6^'Goal Seek'!$F$27)*(($C7*10^5)^('Goal Seek'!$F$27-1)))/(($C6*10^5)^('Goal Seek'!$F$27-1)))^(1/'Goal Seek'!$F$27)</f>
        <v>2547.0591273408809</v>
      </c>
      <c r="K7" s="30">
        <f>(((4.7*10^13)*'Goal Seek'!$I$7*('Goal Seek'!$H$7^0.5)*EXP(-67837/'Part 2a'!J7))/('Goal Seek'!$F$26*6))*('Goal Seek'!$F$20*10^-6)</f>
        <v>1.9224099300628588E-9</v>
      </c>
      <c r="L7" s="26">
        <f>(((L6^'Goal Seek'!$F$27)*(($C7*10^5)^('Goal Seek'!$F$27-1)))/(($C6*10^5)^('Goal Seek'!$F$27-1)))^(1/'Goal Seek'!$F$27)</f>
        <v>2529.6788281744848</v>
      </c>
      <c r="M7" s="30">
        <f>(((4.7*10^13)*'Goal Seek'!$I$8*('Goal Seek'!$H$8^0.5)*EXP(-67837/'Part 2a'!L7))/('Goal Seek'!$F$26*6))*('Goal Seek'!$F$20*10^-6)</f>
        <v>1.8490685177337434E-9</v>
      </c>
      <c r="N7" s="26">
        <f>(((N6^'Goal Seek'!$F$27)*(($C7*10^5)^('Goal Seek'!$F$27-1)))/(($C6*10^5)^('Goal Seek'!$F$27-1)))^(1/'Goal Seek'!$F$27)</f>
        <v>2512.295316977194</v>
      </c>
      <c r="O7" s="30">
        <f>(((4.7*10^13)*'Goal Seek'!$I$9*('Goal Seek'!$H$9^0.5)*EXP(-67837/'Part 2a'!N7))/('Goal Seek'!$F$26*6))*('Goal Seek'!$F$20*10^-6)</f>
        <v>1.7176358993443591E-9</v>
      </c>
      <c r="P7" s="26">
        <f>(((P6^'Goal Seek'!$F$27)*(($C7*10^5)^('Goal Seek'!$F$27-1)))/(($C6*10^5)^('Goal Seek'!$F$27-1)))^(1/'Goal Seek'!$F$27)</f>
        <v>2423.8424102234953</v>
      </c>
      <c r="Q7" s="30">
        <f>(((4.7*10^13)*'Goal Seek'!$I$10*('Goal Seek'!$H$10^0.5)*EXP(-67837/'Part 2a'!P7))/('Goal Seek'!$F$26*6))*('Goal Seek'!$F$20*10^-6)</f>
        <v>9.0790441461294033E-10</v>
      </c>
      <c r="R7" s="26">
        <f>(((R6^'Goal Seek'!$F$27)*(($C7*10^5)^('Goal Seek'!$F$27-1)))/(($C6*10^5)^('Goal Seek'!$F$27-1)))^(1/'Goal Seek'!$F$27)</f>
        <v>2333.0554276869589</v>
      </c>
      <c r="S7" s="30">
        <f>(((4.7*10^13)*'Goal Seek'!$I$11*('Goal Seek'!$H$11^0.5)*EXP(-67837/'Part 2a'!R7))/('Goal Seek'!$F$26*6))*('Goal Seek'!$F$20*10^-6)</f>
        <v>3.746646635922702E-10</v>
      </c>
      <c r="T7" s="26">
        <f>(((T6^'Goal Seek'!$F$27)*(($C7*10^5)^('Goal Seek'!$F$27-1)))/(($C6*10^5)^('Goal Seek'!$F$27-1)))^(1/'Goal Seek'!$F$27)</f>
        <v>2239.8551392722093</v>
      </c>
      <c r="U7" s="30">
        <f>(((4.7*10^13)*'Goal Seek'!$I$12*('Goal Seek'!$H$12^0.5)*EXP(-67837/'Part 2a'!T7))/('Goal Seek'!$F$26*6))*('Goal Seek'!$F$20*10^-6)</f>
        <v>1.2918495772895927E-10</v>
      </c>
      <c r="V7" s="26">
        <f>(((V6^'Goal Seek'!$F$27)*(($C7*10^5)^('Goal Seek'!$F$27-1)))/(($C6*10^5)^('Goal Seek'!$F$27-1)))^(1/'Goal Seek'!$F$27)</f>
        <v>2144.2254848247762</v>
      </c>
      <c r="W7" s="30">
        <f>(((4.7*10^13)*'Goal Seek'!$I$13*('Goal Seek'!$H$13^0.5)*EXP(-67837/'Part 2a'!V7))/('Goal Seek'!$F$26*6))*('Goal Seek'!$F$20*10^-6)</f>
        <v>3.7462121582650477E-11</v>
      </c>
      <c r="X7" s="26">
        <f>(((X6^'Goal Seek'!$F$27)*(($C7*10^5)^('Goal Seek'!$F$27-1)))/(($C6*10^5)^('Goal Seek'!$F$27-1)))^(1/'Goal Seek'!$F$27)</f>
        <v>2045.9983680612161</v>
      </c>
      <c r="Y7" s="30">
        <f>(((4.7*10^13)*'Goal Seek'!$I$14*('Goal Seek'!$H$14^0.5)*EXP(-67837/'Part 2a'!X7))/('Goal Seek'!$F$26*6))*('Goal Seek'!$F$20*10^-6)</f>
        <v>8.9967241815752906E-12</v>
      </c>
      <c r="Z7" s="26">
        <f>(((Z6^'Goal Seek'!$F$27)*(($C7*10^5)^('Goal Seek'!$F$27-1)))/(($C6*10^5)^('Goal Seek'!$F$27-1)))^(1/'Goal Seek'!$F$27)</f>
        <v>1945.0817107625737</v>
      </c>
      <c r="AA7" s="30">
        <f>(((4.7*10^13)*'Goal Seek'!$I$15*('Goal Seek'!$H$15^0.5)*EXP(-67837/'Part 2a'!Z7))/('Goal Seek'!$F$26*6))*('Goal Seek'!$F$20*10^-6)</f>
        <v>1.7418588898458214E-12</v>
      </c>
      <c r="AB7" s="26">
        <f>(((AB6^'Goal Seek'!$F$27)*(($C7*10^5)^('Goal Seek'!$F$27-1)))/(($C6*10^5)^('Goal Seek'!$F$27-1)))^(1/'Goal Seek'!$F$27)</f>
        <v>1841.3780813250708</v>
      </c>
      <c r="AC7" s="30">
        <f>(((4.7*10^13)*'Goal Seek'!$I$16*('Goal Seek'!$H$16^0.5)*EXP(-67837/'Part 2a'!AB7))/('Goal Seek'!$F$26*6))*('Goal Seek'!$F$20*10^-6)</f>
        <v>2.6152976369338212E-13</v>
      </c>
    </row>
    <row r="8" spans="2:31" x14ac:dyDescent="0.25">
      <c r="B8" s="21">
        <v>4</v>
      </c>
      <c r="C8" s="26">
        <v>18</v>
      </c>
      <c r="D8" s="26">
        <f>(((D7^'Goal Seek'!$F$27)*(($C8*10^5)^('Goal Seek'!$F$27-1)))/(($C7*10^5)^('Goal Seek'!$F$27-1)))^(1/'Goal Seek'!$F$27)</f>
        <v>2719.5131082950998</v>
      </c>
      <c r="E8" s="30">
        <f>(((4.7*10^13)*'Goal Seek'!$I$4*('Goal Seek'!$H$4^0.5)*EXP(-67837/'Part 2a'!D8))/('Goal Seek'!$F$26*6))*('Goal Seek'!$F$20*10^-6)</f>
        <v>0</v>
      </c>
      <c r="F8" s="26">
        <f>(((F7^'Goal Seek'!$F$27)*(($C8*10^5)^('Goal Seek'!$F$27-1)))/(($C7*10^5)^('Goal Seek'!$F$27-1)))^(1/'Goal Seek'!$F$27)</f>
        <v>2626.0263224521232</v>
      </c>
      <c r="G8" s="30">
        <f>(((4.7*10^13)*'Goal Seek'!$I$5*('Goal Seek'!$H$5^0.5)*EXP(-67837/'Part 2a'!F8))/('Goal Seek'!$F$26*6))*('Goal Seek'!$F$20*10^-6)</f>
        <v>2.4711206963964781E-9</v>
      </c>
      <c r="H8" s="26">
        <f>(((H7^'Goal Seek'!$F$27)*(($C8*10^5)^('Goal Seek'!$F$27-1)))/(($C7*10^5)^('Goal Seek'!$F$27-1)))^(1/'Goal Seek'!$F$27)</f>
        <v>2608.5257320692317</v>
      </c>
      <c r="I8" s="30">
        <f>(((4.7*10^13)*'Goal Seek'!$I$6*('Goal Seek'!$H$6^0.5)*EXP(-67837/'Part 2a'!H8))/('Goal Seek'!$F$26*6))*('Goal Seek'!$F$20*10^-6)</f>
        <v>2.9393332022125495E-9</v>
      </c>
      <c r="J8" s="26">
        <f>(((J7^'Goal Seek'!$F$27)*(($C8*10^5)^('Goal Seek'!$F$27-1)))/(($C7*10^5)^('Goal Seek'!$F$27-1)))^(1/'Goal Seek'!$F$27)</f>
        <v>2591.0240525283634</v>
      </c>
      <c r="K8" s="30">
        <f>(((4.7*10^13)*'Goal Seek'!$I$7*('Goal Seek'!$H$7^0.5)*EXP(-67837/'Part 2a'!J8))/('Goal Seek'!$F$26*6))*('Goal Seek'!$F$20*10^-6)</f>
        <v>3.0207361138045352E-9</v>
      </c>
      <c r="L8" s="26">
        <f>(((L7^'Goal Seek'!$F$27)*(($C8*10^5)^('Goal Seek'!$F$27-1)))/(($C7*10^5)^('Goal Seek'!$F$27-1)))^(1/'Goal Seek'!$F$27)</f>
        <v>2573.3437510791841</v>
      </c>
      <c r="M8" s="30">
        <f>(((4.7*10^13)*'Goal Seek'!$I$8*('Goal Seek'!$H$8^0.5)*EXP(-67837/'Part 2a'!L8))/('Goal Seek'!$F$26*6))*('Goal Seek'!$F$20*10^-6)</f>
        <v>2.9145281401631128E-9</v>
      </c>
      <c r="N8" s="26">
        <f>(((N7^'Goal Seek'!$F$27)*(($C8*10^5)^('Goal Seek'!$F$27-1)))/(($C7*10^5)^('Goal Seek'!$F$27-1)))^(1/'Goal Seek'!$F$27)</f>
        <v>2555.6601821560712</v>
      </c>
      <c r="O8" s="30">
        <f>(((4.7*10^13)*'Goal Seek'!$I$9*('Goal Seek'!$H$9^0.5)*EXP(-67837/'Part 2a'!N8))/('Goal Seek'!$F$26*6))*('Goal Seek'!$F$20*10^-6)</f>
        <v>2.7158997229981539E-9</v>
      </c>
      <c r="P8" s="26">
        <f>(((P7^'Goal Seek'!$F$27)*(($C8*10^5)^('Goal Seek'!$F$27-1)))/(($C7*10^5)^('Goal Seek'!$F$27-1)))^(1/'Goal Seek'!$F$27)</f>
        <v>2465.6804850007293</v>
      </c>
      <c r="Q8" s="30">
        <f>(((4.7*10^13)*'Goal Seek'!$I$10*('Goal Seek'!$H$10^0.5)*EXP(-67837/'Part 2a'!P8))/('Goal Seek'!$F$26*6))*('Goal Seek'!$F$20*10^-6)</f>
        <v>1.4597691869783548E-9</v>
      </c>
      <c r="R8" s="26">
        <f>(((R7^'Goal Seek'!$F$27)*(($C8*10^5)^('Goal Seek'!$F$27-1)))/(($C7*10^5)^('Goal Seek'!$F$27-1)))^(1/'Goal Seek'!$F$27)</f>
        <v>2373.3264234543767</v>
      </c>
      <c r="S8" s="30">
        <f>(((4.7*10^13)*'Goal Seek'!$I$11*('Goal Seek'!$H$11^0.5)*EXP(-67837/'Part 2a'!R8))/('Goal Seek'!$F$26*6))*('Goal Seek'!$F$20*10^-6)</f>
        <v>6.1363828117218198E-10</v>
      </c>
      <c r="T8" s="26">
        <f>(((T7^'Goal Seek'!$F$27)*(($C8*10^5)^('Goal Seek'!$F$27-1)))/(($C7*10^5)^('Goal Seek'!$F$27-1)))^(1/'Goal Seek'!$F$27)</f>
        <v>2278.5173998266823</v>
      </c>
      <c r="U8" s="30">
        <f>(((4.7*10^13)*'Goal Seek'!$I$12*('Goal Seek'!$H$12^0.5)*EXP(-67837/'Part 2a'!T8))/('Goal Seek'!$F$26*6))*('Goal Seek'!$F$20*10^-6)</f>
        <v>2.159719811627192E-10</v>
      </c>
      <c r="V8" s="26">
        <f>(((V7^'Goal Seek'!$F$27)*(($C8*10^5)^('Goal Seek'!$F$27-1)))/(($C7*10^5)^('Goal Seek'!$F$27-1)))^(1/'Goal Seek'!$F$27)</f>
        <v>2181.2370767479811</v>
      </c>
      <c r="W8" s="30">
        <f>(((4.7*10^13)*'Goal Seek'!$I$13*('Goal Seek'!$H$13^0.5)*EXP(-67837/'Part 2a'!V8))/('Goal Seek'!$F$26*6))*('Goal Seek'!$F$20*10^-6)</f>
        <v>6.4081344302903421E-11</v>
      </c>
      <c r="X8" s="26">
        <f>(((X7^'Goal Seek'!$F$27)*(($C8*10^5)^('Goal Seek'!$F$27-1)))/(($C7*10^5)^('Goal Seek'!$F$27-1)))^(1/'Goal Seek'!$F$27)</f>
        <v>2081.314456415801</v>
      </c>
      <c r="Y8" s="30">
        <f>(((4.7*10^13)*'Goal Seek'!$I$14*('Goal Seek'!$H$14^0.5)*EXP(-67837/'Part 2a'!X8))/('Goal Seek'!$F$26*6))*('Goal Seek'!$F$20*10^-6)</f>
        <v>1.5791250469288082E-11</v>
      </c>
      <c r="Z8" s="26">
        <f>(((Z7^'Goal Seek'!$F$27)*(($C8*10^5)^('Goal Seek'!$F$27-1)))/(($C7*10^5)^('Goal Seek'!$F$27-1)))^(1/'Goal Seek'!$F$27)</f>
        <v>1978.6558712440756</v>
      </c>
      <c r="AA8" s="30">
        <f>(((4.7*10^13)*'Goal Seek'!$I$15*('Goal Seek'!$H$15^0.5)*EXP(-67837/'Part 2a'!Z8))/('Goal Seek'!$F$26*6))*('Goal Seek'!$F$20*10^-6)</f>
        <v>3.1479060785458517E-12</v>
      </c>
      <c r="AB8" s="26">
        <f>(((AB7^'Goal Seek'!$F$27)*(($C8*10^5)^('Goal Seek'!$F$27-1)))/(($C7*10^5)^('Goal Seek'!$F$27-1)))^(1/'Goal Seek'!$F$27)</f>
        <v>1873.1622078568505</v>
      </c>
      <c r="AC8" s="30">
        <f>(((4.7*10^13)*'Goal Seek'!$I$16*('Goal Seek'!$H$16^0.5)*EXP(-67837/'Part 2a'!AB8))/('Goal Seek'!$F$26*6))*('Goal Seek'!$F$20*10^-6)</f>
        <v>4.8865715828035191E-13</v>
      </c>
    </row>
    <row r="9" spans="2:31" x14ac:dyDescent="0.25">
      <c r="B9" s="21">
        <v>5</v>
      </c>
      <c r="C9" s="26">
        <v>20</v>
      </c>
      <c r="D9" s="26">
        <f>(((D8^'Goal Seek'!$F$27)*(($C9*10^5)^('Goal Seek'!$F$27-1)))/(($C8*10^5)^('Goal Seek'!$F$27-1)))^(1/'Goal Seek'!$F$27)</f>
        <v>2761.4658749627401</v>
      </c>
      <c r="E9" s="30">
        <f>(((4.7*10^13)*'Goal Seek'!$I$4*('Goal Seek'!$H$4^0.5)*EXP(-67837/'Part 2a'!D9))/('Goal Seek'!$F$26*6))*('Goal Seek'!$F$20*10^-6)</f>
        <v>0</v>
      </c>
      <c r="F9" s="26">
        <f>(((F8^'Goal Seek'!$F$27)*(($C9*10^5)^('Goal Seek'!$F$27-1)))/(($C8*10^5)^('Goal Seek'!$F$27-1)))^(1/'Goal Seek'!$F$27)</f>
        <v>2666.5369084216768</v>
      </c>
      <c r="G9" s="30">
        <f>(((4.7*10^13)*'Goal Seek'!$I$5*('Goal Seek'!$H$5^0.5)*EXP(-67837/'Part 2a'!F9))/('Goal Seek'!$F$26*6))*('Goal Seek'!$F$20*10^-6)</f>
        <v>3.6587644997655469E-9</v>
      </c>
      <c r="H9" s="26">
        <f>(((H8^'Goal Seek'!$F$27)*(($C9*10^5)^('Goal Seek'!$F$27-1)))/(($C8*10^5)^('Goal Seek'!$F$27-1)))^(1/'Goal Seek'!$F$27)</f>
        <v>2648.7663439089902</v>
      </c>
      <c r="I9" s="30">
        <f>(((4.7*10^13)*'Goal Seek'!$I$6*('Goal Seek'!$H$6^0.5)*EXP(-67837/'Part 2a'!H9))/('Goal Seek'!$F$26*6))*('Goal Seek'!$F$20*10^-6)</f>
        <v>4.363478130256108E-9</v>
      </c>
      <c r="J9" s="26">
        <f>(((J8^'Goal Seek'!$F$27)*(($C9*10^5)^('Goal Seek'!$F$27-1)))/(($C8*10^5)^('Goal Seek'!$F$27-1)))^(1/'Goal Seek'!$F$27)</f>
        <v>2630.9946734363516</v>
      </c>
      <c r="K9" s="30">
        <f>(((4.7*10^13)*'Goal Seek'!$I$7*('Goal Seek'!$H$7^0.5)*EXP(-67837/'Part 2a'!J9))/('Goal Seek'!$F$26*6))*('Goal Seek'!$F$20*10^-6)</f>
        <v>4.4963051236283057E-9</v>
      </c>
      <c r="L9" s="26">
        <f>(((L8^'Goal Seek'!$F$27)*(($C9*10^5)^('Goal Seek'!$F$27-1)))/(($C8*10^5)^('Goal Seek'!$F$27-1)))^(1/'Goal Seek'!$F$27)</f>
        <v>2613.0416255315481</v>
      </c>
      <c r="M9" s="30">
        <f>(((4.7*10^13)*'Goal Seek'!$I$8*('Goal Seek'!$H$8^0.5)*EXP(-67837/'Part 2a'!L9))/('Goal Seek'!$F$26*6))*('Goal Seek'!$F$20*10^-6)</f>
        <v>4.3500883810357935E-9</v>
      </c>
      <c r="N9" s="26">
        <f>(((N8^'Goal Seek'!$F$27)*(($C9*10^5)^('Goal Seek'!$F$27-1)))/(($C8*10^5)^('Goal Seek'!$F$27-1)))^(1/'Goal Seek'!$F$27)</f>
        <v>2595.0852597468865</v>
      </c>
      <c r="O9" s="30">
        <f>(((4.7*10^13)*'Goal Seek'!$I$9*('Goal Seek'!$H$9^0.5)*EXP(-67837/'Part 2a'!N9))/('Goal Seek'!$F$26*6))*('Goal Seek'!$F$20*10^-6)</f>
        <v>4.0648735875720776E-9</v>
      </c>
      <c r="P9" s="26">
        <f>(((P8^'Goal Seek'!$F$27)*(($C9*10^5)^('Goal Seek'!$F$27-1)))/(($C8*10^5)^('Goal Seek'!$F$27-1)))^(1/'Goal Seek'!$F$27)</f>
        <v>2503.7174842520549</v>
      </c>
      <c r="Q9" s="30">
        <f>(((4.7*10^13)*'Goal Seek'!$I$10*('Goal Seek'!$H$10^0.5)*EXP(-67837/'Part 2a'!P9))/('Goal Seek'!$F$26*6))*('Goal Seek'!$F$20*10^-6)</f>
        <v>2.2172191379424641E-9</v>
      </c>
      <c r="R9" s="26">
        <f>(((R8^'Goal Seek'!$F$27)*(($C9*10^5)^('Goal Seek'!$F$27-1)))/(($C8*10^5)^('Goal Seek'!$F$27-1)))^(1/'Goal Seek'!$F$27)</f>
        <v>2409.9387160613237</v>
      </c>
      <c r="S9" s="30">
        <f>(((4.7*10^13)*'Goal Seek'!$I$11*('Goal Seek'!$H$11^0.5)*EXP(-67837/'Part 2a'!R9))/('Goal Seek'!$F$26*6))*('Goal Seek'!$F$20*10^-6)</f>
        <v>9.473284781584227E-10</v>
      </c>
      <c r="T9" s="26">
        <f>(((T8^'Goal Seek'!$F$27)*(($C9*10^5)^('Goal Seek'!$F$27-1)))/(($C8*10^5)^('Goal Seek'!$F$27-1)))^(1/'Goal Seek'!$F$27)</f>
        <v>2313.6671141382321</v>
      </c>
      <c r="U9" s="30">
        <f>(((4.7*10^13)*'Goal Seek'!$I$12*('Goal Seek'!$H$12^0.5)*EXP(-67837/'Part 2a'!T9))/('Goal Seek'!$F$26*6))*('Goal Seek'!$F$20*10^-6)</f>
        <v>3.3949447138184801E-10</v>
      </c>
      <c r="V9" s="26">
        <f>(((V8^'Goal Seek'!$F$27)*(($C9*10^5)^('Goal Seek'!$F$27-1)))/(($C8*10^5)^('Goal Seek'!$F$27-1)))^(1/'Goal Seek'!$F$27)</f>
        <v>2214.8860890834958</v>
      </c>
      <c r="W9" s="30">
        <f>(((4.7*10^13)*'Goal Seek'!$I$13*('Goal Seek'!$H$13^0.5)*EXP(-67837/'Part 2a'!V9))/('Goal Seek'!$F$26*6))*('Goal Seek'!$F$20*10^-6)</f>
        <v>1.0278450892734112E-10</v>
      </c>
      <c r="X9" s="26">
        <f>(((X8^'Goal Seek'!$F$27)*(($C9*10^5)^('Goal Seek'!$F$27-1)))/(($C8*10^5)^('Goal Seek'!$F$27-1)))^(1/'Goal Seek'!$F$27)</f>
        <v>2113.42200518461</v>
      </c>
      <c r="Y9" s="30">
        <f>(((4.7*10^13)*'Goal Seek'!$I$14*('Goal Seek'!$H$14^0.5)*EXP(-67837/'Part 2a'!X9))/('Goal Seek'!$F$26*6))*('Goal Seek'!$F$20*10^-6)</f>
        <v>2.5909790958758839E-11</v>
      </c>
      <c r="Z9" s="26">
        <f>(((Z8^'Goal Seek'!$F$27)*(($C9*10^5)^('Goal Seek'!$F$27-1)))/(($C8*10^5)^('Goal Seek'!$F$27-1)))^(1/'Goal Seek'!$F$27)</f>
        <v>2009.1797498856831</v>
      </c>
      <c r="AA9" s="30">
        <f>(((4.7*10^13)*'Goal Seek'!$I$15*('Goal Seek'!$H$15^0.5)*EXP(-67837/'Part 2a'!Z9))/('Goal Seek'!$F$26*6))*('Goal Seek'!$F$20*10^-6)</f>
        <v>5.299396992420551E-12</v>
      </c>
      <c r="AB9" s="26">
        <f>(((AB8^'Goal Seek'!$F$27)*(($C9*10^5)^('Goal Seek'!$F$27-1)))/(($C8*10^5)^('Goal Seek'!$F$27-1)))^(1/'Goal Seek'!$F$27)</f>
        <v>1902.0586808310611</v>
      </c>
      <c r="AC9" s="30">
        <f>(((4.7*10^13)*'Goal Seek'!$I$16*('Goal Seek'!$H$16^0.5)*EXP(-67837/'Part 2a'!AB9))/('Goal Seek'!$F$26*6))*('Goal Seek'!$F$20*10^-6)</f>
        <v>8.4712687493484404E-13</v>
      </c>
    </row>
    <row r="10" spans="2:31" x14ac:dyDescent="0.25">
      <c r="B10" s="21">
        <v>6</v>
      </c>
      <c r="C10" s="26">
        <v>22</v>
      </c>
      <c r="D10" s="26">
        <f>(((D9^'Goal Seek'!$F$27)*(($C10*10^5)^('Goal Seek'!$F$27-1)))/(($C9*10^5)^('Goal Seek'!$F$27-1)))^(1/'Goal Seek'!$F$27)</f>
        <v>2799.9740254655594</v>
      </c>
      <c r="E10" s="30">
        <f>(((4.7*10^13)*'Goal Seek'!$I$4*('Goal Seek'!$H$4^0.5)*EXP(-67837/'Part 2a'!D10))/('Goal Seek'!$F$26*6))*('Goal Seek'!$F$20*10^-6)</f>
        <v>0</v>
      </c>
      <c r="F10" s="26">
        <f>(((F9^'Goal Seek'!$F$27)*(($C10*10^5)^('Goal Seek'!$F$27-1)))/(($C9*10^5)^('Goal Seek'!$F$27-1)))^(1/'Goal Seek'!$F$27)</f>
        <v>2703.7212913690887</v>
      </c>
      <c r="G10" s="30">
        <f>(((4.7*10^13)*'Goal Seek'!$I$5*('Goal Seek'!$H$5^0.5)*EXP(-67837/'Part 2a'!F10))/('Goal Seek'!$F$26*6))*('Goal Seek'!$F$20*10^-6)</f>
        <v>5.191405000663901E-9</v>
      </c>
      <c r="H10" s="26">
        <f>(((H9^'Goal Seek'!$F$27)*(($C10*10^5)^('Goal Seek'!$F$27-1)))/(($C9*10^5)^('Goal Seek'!$F$27-1)))^(1/'Goal Seek'!$F$27)</f>
        <v>2685.7029194947468</v>
      </c>
      <c r="I10" s="30">
        <f>(((4.7*10^13)*'Goal Seek'!$I$6*('Goal Seek'!$H$6^0.5)*EXP(-67837/'Part 2a'!H10))/('Goal Seek'!$F$26*6))*('Goal Seek'!$F$20*10^-6)</f>
        <v>6.2058702784246699E-9</v>
      </c>
      <c r="J10" s="26">
        <f>(((J9^'Goal Seek'!$F$27)*(($C10*10^5)^('Goal Seek'!$F$27-1)))/(($C9*10^5)^('Goal Seek'!$F$27-1)))^(1/'Goal Seek'!$F$27)</f>
        <v>2667.6834262380385</v>
      </c>
      <c r="K10" s="30">
        <f>(((4.7*10^13)*'Goal Seek'!$I$7*('Goal Seek'!$H$7^0.5)*EXP(-67837/'Part 2a'!J10))/('Goal Seek'!$F$26*6))*('Goal Seek'!$F$20*10^-6)</f>
        <v>6.4100133768888575E-9</v>
      </c>
      <c r="L10" s="26">
        <f>(((L9^'Goal Seek'!$F$27)*(($C10*10^5)^('Goal Seek'!$F$27-1)))/(($C9*10^5)^('Goal Seek'!$F$27-1)))^(1/'Goal Seek'!$F$27)</f>
        <v>2649.4800262731314</v>
      </c>
      <c r="M10" s="30">
        <f>(((4.7*10^13)*'Goal Seek'!$I$8*('Goal Seek'!$H$8^0.5)*EXP(-67837/'Part 2a'!L10))/('Goal Seek'!$F$26*6))*('Goal Seek'!$F$20*10^-6)</f>
        <v>6.2166916757872378E-9</v>
      </c>
      <c r="N10" s="26">
        <f>(((N9^'Goal Seek'!$F$27)*(($C10*10^5)^('Goal Seek'!$F$27-1)))/(($C9*10^5)^('Goal Seek'!$F$27-1)))^(1/'Goal Seek'!$F$27)</f>
        <v>2631.2732621611217</v>
      </c>
      <c r="O10" s="30">
        <f>(((4.7*10^13)*'Goal Seek'!$I$9*('Goal Seek'!$H$9^0.5)*EXP(-67837/'Part 2a'!N10))/('Goal Seek'!$F$26*6))*('Goal Seek'!$F$20*10^-6)</f>
        <v>5.8234616370341922E-9</v>
      </c>
      <c r="P10" s="26">
        <f>(((P9^'Goal Seek'!$F$27)*(($C10*10^5)^('Goal Seek'!$F$27-1)))/(($C9*10^5)^('Goal Seek'!$F$27-1)))^(1/'Goal Seek'!$F$27)</f>
        <v>2538.631379286669</v>
      </c>
      <c r="Q10" s="30">
        <f>(((4.7*10^13)*'Goal Seek'!$I$10*('Goal Seek'!$H$10^0.5)*EXP(-67837/'Part 2a'!P10))/('Goal Seek'!$F$26*6))*('Goal Seek'!$F$20*10^-6)</f>
        <v>3.2184041056241239E-9</v>
      </c>
      <c r="R10" s="26">
        <f>(((R9^'Goal Seek'!$F$27)*(($C10*10^5)^('Goal Seek'!$F$27-1)))/(($C9*10^5)^('Goal Seek'!$F$27-1)))^(1/'Goal Seek'!$F$27)</f>
        <v>2443.5448828519643</v>
      </c>
      <c r="S10" s="30">
        <f>(((4.7*10^13)*'Goal Seek'!$I$11*('Goal Seek'!$H$11^0.5)*EXP(-67837/'Part 2a'!R10))/('Goal Seek'!$F$26*6))*('Goal Seek'!$F$20*10^-6)</f>
        <v>1.3951791269271818E-9</v>
      </c>
      <c r="T10" s="26">
        <f>(((T9^'Goal Seek'!$F$27)*(($C10*10^5)^('Goal Seek'!$F$27-1)))/(($C9*10^5)^('Goal Seek'!$F$27-1)))^(1/'Goal Seek'!$F$27)</f>
        <v>2345.9307905618489</v>
      </c>
      <c r="U10" s="30">
        <f>(((4.7*10^13)*'Goal Seek'!$I$12*('Goal Seek'!$H$12^0.5)*EXP(-67837/'Part 2a'!T10))/('Goal Seek'!$F$26*6))*('Goal Seek'!$F$20*10^-6)</f>
        <v>5.0811023193741737E-10</v>
      </c>
      <c r="V10" s="26">
        <f>(((V9^'Goal Seek'!$F$27)*(($C10*10^5)^('Goal Seek'!$F$27-1)))/(($C9*10^5)^('Goal Seek'!$F$27-1)))^(1/'Goal Seek'!$F$27)</f>
        <v>2245.7722816808159</v>
      </c>
      <c r="W10" s="30">
        <f>(((4.7*10^13)*'Goal Seek'!$I$13*('Goal Seek'!$H$13^0.5)*EXP(-67837/'Part 2a'!V10))/('Goal Seek'!$F$26*6))*('Goal Seek'!$F$20*10^-6)</f>
        <v>1.5662578336041346E-10</v>
      </c>
      <c r="X10" s="26">
        <f>(((X9^'Goal Seek'!$F$27)*(($C10*10^5)^('Goal Seek'!$F$27-1)))/(($C9*10^5)^('Goal Seek'!$F$27-1)))^(1/'Goal Seek'!$F$27)</f>
        <v>2142.8932991772313</v>
      </c>
      <c r="Y10" s="30">
        <f>(((4.7*10^13)*'Goal Seek'!$I$14*('Goal Seek'!$H$14^0.5)*EXP(-67837/'Part 2a'!X10))/('Goal Seek'!$F$26*6))*('Goal Seek'!$F$20*10^-6)</f>
        <v>4.0288595204841502E-11</v>
      </c>
      <c r="Z10" s="26">
        <f>(((Z9^'Goal Seek'!$F$27)*(($C10*10^5)^('Goal Seek'!$F$27-1)))/(($C9*10^5)^('Goal Seek'!$F$27-1)))^(1/'Goal Seek'!$F$27)</f>
        <v>2037.1974041675264</v>
      </c>
      <c r="AA10" s="30">
        <f>(((4.7*10^13)*'Goal Seek'!$I$15*('Goal Seek'!$H$15^0.5)*EXP(-67837/'Part 2a'!Z10))/('Goal Seek'!$F$26*6))*('Goal Seek'!$F$20*10^-6)</f>
        <v>8.4312425809290862E-12</v>
      </c>
      <c r="AB10" s="26">
        <f>(((AB9^'Goal Seek'!$F$27)*(($C10*10^5)^('Goal Seek'!$F$27-1)))/(($C9*10^5)^('Goal Seek'!$F$27-1)))^(1/'Goal Seek'!$F$27)</f>
        <v>1928.5825508562971</v>
      </c>
      <c r="AC10" s="30">
        <f>(((4.7*10^13)*'Goal Seek'!$I$16*('Goal Seek'!$H$16^0.5)*EXP(-67837/'Part 2a'!AB10))/('Goal Seek'!$F$26*6))*('Goal Seek'!$F$20*10^-6)</f>
        <v>1.3834742015319726E-12</v>
      </c>
    </row>
    <row r="11" spans="2:31" x14ac:dyDescent="0.25">
      <c r="B11" s="21">
        <v>7</v>
      </c>
      <c r="C11" s="26">
        <v>24</v>
      </c>
      <c r="D11" s="26">
        <f>(((D10^'Goal Seek'!$F$27)*(($C11*10^5)^('Goal Seek'!$F$27-1)))/(($C10*10^5)^('Goal Seek'!$F$27-1)))^(1/'Goal Seek'!$F$27)</f>
        <v>2835.5979136452775</v>
      </c>
      <c r="E11" s="30">
        <f>(((4.7*10^13)*'Goal Seek'!$I$4*('Goal Seek'!$H$4^0.5)*EXP(-67837/'Part 2a'!D11))/('Goal Seek'!$F$26*6))*('Goal Seek'!$F$20*10^-6)</f>
        <v>0</v>
      </c>
      <c r="F11" s="26">
        <f>(((F10^'Goal Seek'!$F$27)*(($C11*10^5)^('Goal Seek'!$F$27-1)))/(($C10*10^5)^('Goal Seek'!$F$27-1)))^(1/'Goal Seek'!$F$27)</f>
        <v>2738.1205622469106</v>
      </c>
      <c r="G11" s="30">
        <f>(((4.7*10^13)*'Goal Seek'!$I$5*('Goal Seek'!$H$5^0.5)*EXP(-67837/'Part 2a'!F11))/('Goal Seek'!$F$26*6))*('Goal Seek'!$F$20*10^-6)</f>
        <v>7.1150722567052239E-9</v>
      </c>
      <c r="H11" s="26">
        <f>(((H10^'Goal Seek'!$F$27)*(($C11*10^5)^('Goal Seek'!$F$27-1)))/(($C10*10^5)^('Goal Seek'!$F$27-1)))^(1/'Goal Seek'!$F$27)</f>
        <v>2719.8729437942097</v>
      </c>
      <c r="I11" s="30">
        <f>(((4.7*10^13)*'Goal Seek'!$I$6*('Goal Seek'!$H$6^0.5)*EXP(-67837/'Part 2a'!H11))/('Goal Seek'!$F$26*6))*('Goal Seek'!$F$20*10^-6)</f>
        <v>8.5234520271546485E-9</v>
      </c>
      <c r="J11" s="26">
        <f>(((J10^'Goal Seek'!$F$27)*(($C11*10^5)^('Goal Seek'!$F$27-1)))/(($C10*10^5)^('Goal Seek'!$F$27-1)))^(1/'Goal Seek'!$F$27)</f>
        <v>2701.6241896918668</v>
      </c>
      <c r="K11" s="30">
        <f>(((4.7*10^13)*'Goal Seek'!$I$7*('Goal Seek'!$H$7^0.5)*EXP(-67837/'Part 2a'!J11))/('Goal Seek'!$F$26*6))*('Goal Seek'!$F$20*10^-6)</f>
        <v>8.8227231733149583E-9</v>
      </c>
      <c r="L11" s="26">
        <f>(((L10^'Goal Seek'!$F$27)*(($C11*10^5)^('Goal Seek'!$F$27-1)))/(($C10*10^5)^('Goal Seek'!$F$27-1)))^(1/'Goal Seek'!$F$27)</f>
        <v>2683.1891890481884</v>
      </c>
      <c r="M11" s="30">
        <f>(((4.7*10^13)*'Goal Seek'!$I$8*('Goal Seek'!$H$8^0.5)*EXP(-67837/'Part 2a'!L11))/('Goal Seek'!$F$26*6))*('Goal Seek'!$F$20*10^-6)</f>
        <v>8.5754376162087625E-9</v>
      </c>
      <c r="N11" s="26">
        <f>(((N10^'Goal Seek'!$F$27)*(($C11*10^5)^('Goal Seek'!$F$27-1)))/(($C10*10^5)^('Goal Seek'!$F$27-1)))^(1/'Goal Seek'!$F$27)</f>
        <v>2664.7507814555815</v>
      </c>
      <c r="O11" s="30">
        <f>(((4.7*10^13)*'Goal Seek'!$I$9*('Goal Seek'!$H$9^0.5)*EXP(-67837/'Part 2a'!N11))/('Goal Seek'!$F$26*6))*('Goal Seek'!$F$20*10^-6)</f>
        <v>8.0509067744048486E-9</v>
      </c>
      <c r="P11" s="26">
        <f>(((P10^'Goal Seek'!$F$27)*(($C11*10^5)^('Goal Seek'!$F$27-1)))/(($C10*10^5)^('Goal Seek'!$F$27-1)))^(1/'Goal Seek'!$F$27)</f>
        <v>2570.9302219054657</v>
      </c>
      <c r="Q11" s="30">
        <f>(((4.7*10^13)*'Goal Seek'!$I$10*('Goal Seek'!$H$10^0.5)*EXP(-67837/'Part 2a'!P11))/('Goal Seek'!$F$26*6))*('Goal Seek'!$F$20*10^-6)</f>
        <v>4.5023304473312356E-9</v>
      </c>
      <c r="R11" s="26">
        <f>(((R10^'Goal Seek'!$F$27)*(($C11*10^5)^('Goal Seek'!$F$27-1)))/(($C10*10^5)^('Goal Seek'!$F$27-1)))^(1/'Goal Seek'!$F$27)</f>
        <v>2474.6339461351017</v>
      </c>
      <c r="S11" s="30">
        <f>(((4.7*10^13)*'Goal Seek'!$I$11*('Goal Seek'!$H$11^0.5)*EXP(-67837/'Part 2a'!R11))/('Goal Seek'!$F$26*6))*('Goal Seek'!$F$20*10^-6)</f>
        <v>1.9774258345454763E-9</v>
      </c>
      <c r="T11" s="26">
        <f>(((T10^'Goal Seek'!$F$27)*(($C11*10^5)^('Goal Seek'!$F$27-1)))/(($C10*10^5)^('Goal Seek'!$F$27-1)))^(1/'Goal Seek'!$F$27)</f>
        <v>2375.7779160709642</v>
      </c>
      <c r="U11" s="30">
        <f>(((4.7*10^13)*'Goal Seek'!$I$12*('Goal Seek'!$H$12^0.5)*EXP(-67837/'Part 2a'!T11))/('Goal Seek'!$F$26*6))*('Goal Seek'!$F$20*10^-6)</f>
        <v>7.3068609843105374E-10</v>
      </c>
      <c r="V11" s="26">
        <f>(((V10^'Goal Seek'!$F$27)*(($C11*10^5)^('Goal Seek'!$F$27-1)))/(($C10*10^5)^('Goal Seek'!$F$27-1)))^(1/'Goal Seek'!$F$27)</f>
        <v>2274.3450969684168</v>
      </c>
      <c r="W11" s="30">
        <f>(((4.7*10^13)*'Goal Seek'!$I$13*('Goal Seek'!$H$13^0.5)*EXP(-67837/'Part 2a'!V11))/('Goal Seek'!$F$26*6))*('Goal Seek'!$F$20*10^-6)</f>
        <v>2.2891414314644205E-10</v>
      </c>
      <c r="X11" s="26">
        <f>(((X10^'Goal Seek'!$F$27)*(($C11*10^5)^('Goal Seek'!$F$27-1)))/(($C10*10^5)^('Goal Seek'!$F$27-1)))^(1/'Goal Seek'!$F$27)</f>
        <v>2170.1571918336153</v>
      </c>
      <c r="Y11" s="30">
        <f>(((4.7*10^13)*'Goal Seek'!$I$14*('Goal Seek'!$H$14^0.5)*EXP(-67837/'Part 2a'!X11))/('Goal Seek'!$F$26*6))*('Goal Seek'!$F$20*10^-6)</f>
        <v>5.9965835652252095E-11</v>
      </c>
      <c r="Z11" s="26">
        <f>(((Z10^'Goal Seek'!$F$27)*(($C11*10^5)^('Goal Seek'!$F$27-1)))/(($C10*10^5)^('Goal Seek'!$F$27-1)))^(1/'Goal Seek'!$F$27)</f>
        <v>2063.1165347973215</v>
      </c>
      <c r="AA11" s="30">
        <f>(((4.7*10^13)*'Goal Seek'!$I$15*('Goal Seek'!$H$15^0.5)*EXP(-67837/'Part 2a'!Z11))/('Goal Seek'!$F$26*6))*('Goal Seek'!$F$20*10^-6)</f>
        <v>1.2810753429045007E-11</v>
      </c>
      <c r="AB11" s="26">
        <f>(((AB10^'Goal Seek'!$F$27)*(($C11*10^5)^('Goal Seek'!$F$27-1)))/(($C10*10^5)^('Goal Seek'!$F$27-1)))^(1/'Goal Seek'!$F$27)</f>
        <v>1953.1197817420857</v>
      </c>
      <c r="AC11" s="30">
        <f>(((4.7*10^13)*'Goal Seek'!$I$16*('Goal Seek'!$H$16^0.5)*EXP(-67837/'Part 2a'!AB11))/('Goal Seek'!$F$26*6))*('Goal Seek'!$F$20*10^-6)</f>
        <v>2.1522180494401094E-12</v>
      </c>
    </row>
    <row r="12" spans="2:31" x14ac:dyDescent="0.25">
      <c r="B12" s="21">
        <v>8</v>
      </c>
      <c r="C12" s="26">
        <v>26</v>
      </c>
      <c r="D12" s="26">
        <f>(((D11^'Goal Seek'!$F$27)*(($C12*10^5)^('Goal Seek'!$F$27-1)))/(($C11*10^5)^('Goal Seek'!$F$27-1)))^(1/'Goal Seek'!$F$27)</f>
        <v>2868.768823113166</v>
      </c>
      <c r="E12" s="30">
        <f>(((4.7*10^13)*'Goal Seek'!$I$4*('Goal Seek'!$H$4^0.5)*EXP(-67837/'Part 2a'!D12))/('Goal Seek'!$F$26*6))*('Goal Seek'!$F$20*10^-6)</f>
        <v>0</v>
      </c>
      <c r="F12" s="26">
        <f>(((F11^'Goal Seek'!$F$27)*(($C12*10^5)^('Goal Seek'!$F$27-1)))/(($C11*10^5)^('Goal Seek'!$F$27-1)))^(1/'Goal Seek'!$F$27)</f>
        <v>2770.1511787336126</v>
      </c>
      <c r="G12" s="30">
        <f>(((4.7*10^13)*'Goal Seek'!$I$5*('Goal Seek'!$H$5^0.5)*EXP(-67837/'Part 2a'!F12))/('Goal Seek'!$F$26*6))*('Goal Seek'!$F$20*10^-6)</f>
        <v>9.4752509892855405E-9</v>
      </c>
      <c r="H12" s="26">
        <f>(((H11^'Goal Seek'!$F$27)*(($C12*10^5)^('Goal Seek'!$F$27-1)))/(($C11*10^5)^('Goal Seek'!$F$27-1)))^(1/'Goal Seek'!$F$27)</f>
        <v>2751.6900990927861</v>
      </c>
      <c r="I12" s="30">
        <f>(((4.7*10^13)*'Goal Seek'!$I$6*('Goal Seek'!$H$6^0.5)*EXP(-67837/'Part 2a'!H12))/('Goal Seek'!$F$26*6))*('Goal Seek'!$F$20*10^-6)</f>
        <v>1.1372648194986745E-8</v>
      </c>
      <c r="J12" s="26">
        <f>(((J11^'Goal Seek'!$F$27)*(($C12*10^5)^('Goal Seek'!$F$27-1)))/(($C11*10^5)^('Goal Seek'!$F$27-1)))^(1/'Goal Seek'!$F$27)</f>
        <v>2733.2278705174499</v>
      </c>
      <c r="K12" s="30">
        <f>(((4.7*10^13)*'Goal Seek'!$I$7*('Goal Seek'!$H$7^0.5)*EXP(-67837/'Part 2a'!J12))/('Goal Seek'!$F$26*6))*('Goal Seek'!$F$20*10^-6)</f>
        <v>1.1794912961367457E-8</v>
      </c>
      <c r="L12" s="26">
        <f>(((L11^'Goal Seek'!$F$27)*(($C12*10^5)^('Goal Seek'!$F$27-1)))/(($C11*10^5)^('Goal Seek'!$F$27-1)))^(1/'Goal Seek'!$F$27)</f>
        <v>2714.5772166831516</v>
      </c>
      <c r="M12" s="30">
        <f>(((4.7*10^13)*'Goal Seek'!$I$8*('Goal Seek'!$H$8^0.5)*EXP(-67837/'Part 2a'!L12))/('Goal Seek'!$F$26*6))*('Goal Seek'!$F$20*10^-6)</f>
        <v>1.1487213748290881E-8</v>
      </c>
      <c r="N12" s="26">
        <f>(((N11^'Goal Seek'!$F$27)*(($C12*10^5)^('Goal Seek'!$F$27-1)))/(($C11*10^5)^('Goal Seek'!$F$27-1)))^(1/'Goal Seek'!$F$27)</f>
        <v>2695.9231160453346</v>
      </c>
      <c r="O12" s="30">
        <f>(((4.7*10^13)*'Goal Seek'!$I$9*('Goal Seek'!$H$9^0.5)*EXP(-67837/'Part 2a'!N12))/('Goal Seek'!$F$26*6))*('Goal Seek'!$F$20*10^-6)</f>
        <v>1.0806415972055345E-8</v>
      </c>
      <c r="P12" s="26">
        <f>(((P11^'Goal Seek'!$F$27)*(($C12*10^5)^('Goal Seek'!$F$27-1)))/(($C11*10^5)^('Goal Seek'!$F$27-1)))^(1/'Goal Seek'!$F$27)</f>
        <v>2601.0050407747817</v>
      </c>
      <c r="Q12" s="30">
        <f>(((4.7*10^13)*'Goal Seek'!$I$10*('Goal Seek'!$H$10^0.5)*EXP(-67837/'Part 2a'!P12))/('Goal Seek'!$F$26*6))*('Goal Seek'!$F$20*10^-6)</f>
        <v>6.1085675601219848E-9</v>
      </c>
      <c r="R12" s="26">
        <f>(((R11^'Goal Seek'!$F$27)*(($C12*10^5)^('Goal Seek'!$F$27-1)))/(($C11*10^5)^('Goal Seek'!$F$27-1)))^(1/'Goal Seek'!$F$27)</f>
        <v>2503.5822882813595</v>
      </c>
      <c r="S12" s="30">
        <f>(((4.7*10^13)*'Goal Seek'!$I$11*('Goal Seek'!$H$11^0.5)*EXP(-67837/'Part 2a'!R12))/('Goal Seek'!$F$26*6))*('Goal Seek'!$F$20*10^-6)</f>
        <v>2.7149279881544924E-9</v>
      </c>
      <c r="T12" s="26">
        <f>(((T11^'Goal Seek'!$F$27)*(($C12*10^5)^('Goal Seek'!$F$27-1)))/(($C11*10^5)^('Goal Seek'!$F$27-1)))^(1/'Goal Seek'!$F$27)</f>
        <v>2403.5698374116369</v>
      </c>
      <c r="U12" s="30">
        <f>(((4.7*10^13)*'Goal Seek'!$I$12*('Goal Seek'!$H$12^0.5)*EXP(-67837/'Part 2a'!T12))/('Goal Seek'!$F$26*6))*('Goal Seek'!$F$20*10^-6)</f>
        <v>1.0165222861731051E-9</v>
      </c>
      <c r="V12" s="26">
        <f>(((V11^'Goal Seek'!$F$27)*(($C12*10^5)^('Goal Seek'!$F$27-1)))/(($C11*10^5)^('Goal Seek'!$F$27-1)))^(1/'Goal Seek'!$F$27)</f>
        <v>2300.9504541480242</v>
      </c>
      <c r="W12" s="30">
        <f>(((4.7*10^13)*'Goal Seek'!$I$13*('Goal Seek'!$H$13^0.5)*EXP(-67837/'Part 2a'!V12))/('Goal Seek'!$F$26*6))*('Goal Seek'!$F$20*10^-6)</f>
        <v>3.2318672701033591E-10</v>
      </c>
      <c r="X12" s="26">
        <f>(((X11^'Goal Seek'!$F$27)*(($C12*10^5)^('Goal Seek'!$F$27-1)))/(($C11*10^5)^('Goal Seek'!$F$27-1)))^(1/'Goal Seek'!$F$27)</f>
        <v>2195.5437557730934</v>
      </c>
      <c r="Y12" s="30">
        <f>(((4.7*10^13)*'Goal Seek'!$I$14*('Goal Seek'!$H$14^0.5)*EXP(-67837/'Part 2a'!X12))/('Goal Seek'!$F$26*6))*('Goal Seek'!$F$20*10^-6)</f>
        <v>8.6074729926129227E-11</v>
      </c>
      <c r="Z12" s="26">
        <f>(((Z11^'Goal Seek'!$F$27)*(($C12*10^5)^('Goal Seek'!$F$27-1)))/(($C11*10^5)^('Goal Seek'!$F$27-1)))^(1/'Goal Seek'!$F$27)</f>
        <v>2087.2509339193398</v>
      </c>
      <c r="AA12" s="30">
        <f>(((4.7*10^13)*'Goal Seek'!$I$15*('Goal Seek'!$H$15^0.5)*EXP(-67837/'Part 2a'!Z12))/('Goal Seek'!$F$26*6))*('Goal Seek'!$F$20*10^-6)</f>
        <v>1.8736592707496866E-11</v>
      </c>
      <c r="AB12" s="26">
        <f>(((AB11^'Goal Seek'!$F$27)*(($C12*10^5)^('Goal Seek'!$F$27-1)))/(($C11*10^5)^('Goal Seek'!$F$27-1)))^(1/'Goal Seek'!$F$27)</f>
        <v>1975.9674355467214</v>
      </c>
      <c r="AC12" s="30">
        <f>(((4.7*10^13)*'Goal Seek'!$I$16*('Goal Seek'!$H$16^0.5)*EXP(-67837/'Part 2a'!AB12))/('Goal Seek'!$F$26*6))*('Goal Seek'!$F$20*10^-6)</f>
        <v>3.2158908019845355E-12</v>
      </c>
    </row>
    <row r="13" spans="2:31" x14ac:dyDescent="0.25">
      <c r="B13" s="21">
        <v>9</v>
      </c>
      <c r="C13" s="26">
        <v>28</v>
      </c>
      <c r="D13" s="26">
        <f>(((D12^'Goal Seek'!$F$27)*(($C13*10^5)^('Goal Seek'!$F$27-1)))/(($C12*10^5)^('Goal Seek'!$F$27-1)))^(1/'Goal Seek'!$F$27)</f>
        <v>2899.8261335671732</v>
      </c>
      <c r="E13" s="30">
        <f>(((4.7*10^13)*'Goal Seek'!$I$4*('Goal Seek'!$H$4^0.5)*EXP(-67837/'Part 2a'!D13))/('Goal Seek'!$F$26*6))*('Goal Seek'!$F$20*10^-6)</f>
        <v>0</v>
      </c>
      <c r="F13" s="26">
        <f>(((F12^'Goal Seek'!$F$27)*(($C13*10^5)^('Goal Seek'!$F$27-1)))/(($C12*10^5)^('Goal Seek'!$F$27-1)))^(1/'Goal Seek'!$F$27)</f>
        <v>2800.1408539104013</v>
      </c>
      <c r="G13" s="30">
        <f>(((4.7*10^13)*'Goal Seek'!$I$5*('Goal Seek'!$H$5^0.5)*EXP(-67837/'Part 2a'!F13))/('Goal Seek'!$F$26*6))*('Goal Seek'!$F$20*10^-6)</f>
        <v>1.231671303634761E-8</v>
      </c>
      <c r="H13" s="26">
        <f>(((H12^'Goal Seek'!$F$27)*(($C13*10^5)^('Goal Seek'!$F$27-1)))/(($C12*10^5)^('Goal Seek'!$F$27-1)))^(1/'Goal Seek'!$F$27)</f>
        <v>2781.4799144979888</v>
      </c>
      <c r="I13" s="30">
        <f>(((4.7*10^13)*'Goal Seek'!$I$6*('Goal Seek'!$H$6^0.5)*EXP(-67837/'Part 2a'!H13))/('Goal Seek'!$F$26*6))*('Goal Seek'!$F$20*10^-6)</f>
        <v>1.4809141651390977E-8</v>
      </c>
      <c r="J13" s="26">
        <f>(((J12^'Goal Seek'!$F$27)*(($C13*10^5)^('Goal Seek'!$F$27-1)))/(($C12*10^5)^('Goal Seek'!$F$27-1)))^(1/'Goal Seek'!$F$27)</f>
        <v>2762.8178137126938</v>
      </c>
      <c r="K13" s="30">
        <f>(((4.7*10^13)*'Goal Seek'!$I$7*('Goal Seek'!$H$7^0.5)*EXP(-67837/'Part 2a'!J13))/('Goal Seek'!$F$26*6))*('Goal Seek'!$F$20*10^-6)</f>
        <v>1.5386419772962766E-8</v>
      </c>
      <c r="L13" s="26">
        <f>(((L12^'Goal Seek'!$F$27)*(($C13*10^5)^('Goal Seek'!$F$27-1)))/(($C12*10^5)^('Goal Seek'!$F$27-1)))^(1/'Goal Seek'!$F$27)</f>
        <v>2743.9652477753257</v>
      </c>
      <c r="M13" s="30">
        <f>(((4.7*10^13)*'Goal Seek'!$I$8*('Goal Seek'!$H$8^0.5)*EXP(-67837/'Part 2a'!L13))/('Goal Seek'!$F$26*6))*('Goal Seek'!$F$20*10^-6)</f>
        <v>1.5012419615827556E-8</v>
      </c>
      <c r="N13" s="26">
        <f>(((N12^'Goal Seek'!$F$27)*(($C13*10^5)^('Goal Seek'!$F$27-1)))/(($C12*10^5)^('Goal Seek'!$F$27-1)))^(1/'Goal Seek'!$F$27)</f>
        <v>2725.1091977193164</v>
      </c>
      <c r="O13" s="30">
        <f>(((4.7*10^13)*'Goal Seek'!$I$9*('Goal Seek'!$H$9^0.5)*EXP(-67837/'Part 2a'!N13))/('Goal Seek'!$F$26*6))*('Goal Seek'!$F$20*10^-6)</f>
        <v>1.4148876436800298E-8</v>
      </c>
      <c r="P13" s="26">
        <f>(((P12^'Goal Seek'!$F$27)*(($C13*10^5)^('Goal Seek'!$F$27-1)))/(($C12*10^5)^('Goal Seek'!$F$27-1)))^(1/'Goal Seek'!$F$27)</f>
        <v>2629.1635387314477</v>
      </c>
      <c r="Q13" s="30">
        <f>(((4.7*10^13)*'Goal Seek'!$I$10*('Goal Seek'!$H$10^0.5)*EXP(-67837/'Part 2a'!P13))/('Goal Seek'!$F$26*6))*('Goal Seek'!$F$20*10^-6)</f>
        <v>8.0770130975487389E-9</v>
      </c>
      <c r="R13" s="26">
        <f>(((R12^'Goal Seek'!$F$27)*(($C13*10^5)^('Goal Seek'!$F$27-1)))/(($C12*10^5)^('Goal Seek'!$F$27-1)))^(1/'Goal Seek'!$F$27)</f>
        <v>2530.6860868683534</v>
      </c>
      <c r="S13" s="30">
        <f>(((4.7*10^13)*'Goal Seek'!$I$11*('Goal Seek'!$H$11^0.5)*EXP(-67837/'Part 2a'!R13))/('Goal Seek'!$F$26*6))*('Goal Seek'!$F$20*10^-6)</f>
        <v>3.6290282792812595E-9</v>
      </c>
      <c r="T13" s="26">
        <f>(((T12^'Goal Seek'!$F$27)*(($C13*10^5)^('Goal Seek'!$F$27-1)))/(($C12*10^5)^('Goal Seek'!$F$27-1)))^(1/'Goal Seek'!$F$27)</f>
        <v>2429.5909005370277</v>
      </c>
      <c r="U13" s="30">
        <f>(((4.7*10^13)*'Goal Seek'!$I$12*('Goal Seek'!$H$12^0.5)*EXP(-67837/'Part 2a'!T13))/('Goal Seek'!$F$26*6))*('Goal Seek'!$F$20*10^-6)</f>
        <v>1.3752863440833299E-9</v>
      </c>
      <c r="V13" s="26">
        <f>(((V12^'Goal Seek'!$F$27)*(($C13*10^5)^('Goal Seek'!$F$27-1)))/(($C12*10^5)^('Goal Seek'!$F$27-1)))^(1/'Goal Seek'!$F$27)</f>
        <v>2325.8605591442902</v>
      </c>
      <c r="W13" s="30">
        <f>(((4.7*10^13)*'Goal Seek'!$I$13*('Goal Seek'!$H$13^0.5)*EXP(-67837/'Part 2a'!V13))/('Goal Seek'!$F$26*6))*('Goal Seek'!$F$20*10^-6)</f>
        <v>4.4318442628323856E-10</v>
      </c>
      <c r="X13" s="26">
        <f>(((X12^'Goal Seek'!$F$27)*(($C13*10^5)^('Goal Seek'!$F$27-1)))/(($C12*10^5)^('Goal Seek'!$F$27-1)))^(1/'Goal Seek'!$F$27)</f>
        <v>2219.3127271482094</v>
      </c>
      <c r="Y13" s="30">
        <f>(((4.7*10^13)*'Goal Seek'!$I$14*('Goal Seek'!$H$14^0.5)*EXP(-67837/'Part 2a'!X13))/('Goal Seek'!$F$26*6))*('Goal Seek'!$F$20*10^-6)</f>
        <v>1.1983680351496105E-10</v>
      </c>
      <c r="Z13" s="26">
        <f>(((Z12^'Goal Seek'!$F$27)*(($C13*10^5)^('Goal Seek'!$F$27-1)))/(($C12*10^5)^('Goal Seek'!$F$27-1)))^(1/'Goal Seek'!$F$27)</f>
        <v>2109.8475264812328</v>
      </c>
      <c r="AA13" s="30">
        <f>(((4.7*10^13)*'Goal Seek'!$I$15*('Goal Seek'!$H$15^0.5)*EXP(-67837/'Part 2a'!Z13))/('Goal Seek'!$F$26*6))*('Goal Seek'!$F$20*10^-6)</f>
        <v>2.6537591492394293E-11</v>
      </c>
      <c r="AB13" s="26">
        <f>(((AB12^'Goal Seek'!$F$27)*(($C13*10^5)^('Goal Seek'!$F$27-1)))/(($C12*10^5)^('Goal Seek'!$F$27-1)))^(1/'Goal Seek'!$F$27)</f>
        <v>1997.3592722114083</v>
      </c>
      <c r="AC13" s="30">
        <f>(((4.7*10^13)*'Goal Seek'!$I$16*('Goal Seek'!$H$16^0.5)*EXP(-67837/'Part 2a'!AB13))/('Goal Seek'!$F$26*6))*('Goal Seek'!$F$20*10^-6)</f>
        <v>4.6450019171457626E-12</v>
      </c>
    </row>
    <row r="14" spans="2:31" x14ac:dyDescent="0.25">
      <c r="B14" s="21">
        <v>10</v>
      </c>
      <c r="C14" s="26">
        <v>30</v>
      </c>
      <c r="D14" s="26">
        <f>(((D13^'Goal Seek'!$F$27)*(($C14*10^5)^('Goal Seek'!$F$27-1)))/(($C13*10^5)^('Goal Seek'!$F$27-1)))^(1/'Goal Seek'!$F$27)</f>
        <v>2929.0419396728444</v>
      </c>
      <c r="E14" s="30">
        <f>(((4.7*10^13)*'Goal Seek'!$I$4*('Goal Seek'!$H$4^0.5)*EXP(-67837/'Part 2a'!D14))/('Goal Seek'!$F$26*6))*('Goal Seek'!$F$20*10^-6)</f>
        <v>0</v>
      </c>
      <c r="F14" s="26">
        <f>(((F13^'Goal Seek'!$F$27)*(($C14*10^5)^('Goal Seek'!$F$27-1)))/(($C13*10^5)^('Goal Seek'!$F$27-1)))^(1/'Goal Seek'!$F$27)</f>
        <v>2828.3523288362376</v>
      </c>
      <c r="G14" s="30">
        <f>(((4.7*10^13)*'Goal Seek'!$I$5*('Goal Seek'!$H$5^0.5)*EXP(-67837/'Part 2a'!F14))/('Goal Seek'!$F$26*6))*('Goal Seek'!$F$20*10^-6)</f>
        <v>1.5683399644572261E-8</v>
      </c>
      <c r="H14" s="26">
        <f>(((H13^'Goal Seek'!$F$27)*(($C14*10^5)^('Goal Seek'!$F$27-1)))/(($C13*10^5)^('Goal Seek'!$F$27-1)))^(1/'Goal Seek'!$F$27)</f>
        <v>2809.5033800872266</v>
      </c>
      <c r="I14" s="30">
        <f>(((4.7*10^13)*'Goal Seek'!$I$6*('Goal Seek'!$H$6^0.5)*EXP(-67837/'Part 2a'!H14))/('Goal Seek'!$F$26*6))*('Goal Seek'!$F$20*10^-6)</f>
        <v>1.8887711988476915E-8</v>
      </c>
      <c r="J14" s="26">
        <f>(((J13^'Goal Seek'!$F$27)*(($C14*10^5)^('Goal Seek'!$F$27-1)))/(($C13*10^5)^('Goal Seek'!$F$27-1)))^(1/'Goal Seek'!$F$27)</f>
        <v>2790.6532582644809</v>
      </c>
      <c r="K14" s="30">
        <f>(((4.7*10^13)*'Goal Seek'!$I$7*('Goal Seek'!$H$7^0.5)*EXP(-67837/'Part 2a'!J14))/('Goal Seek'!$F$26*6))*('Goal Seek'!$F$20*10^-6)</f>
        <v>1.9656250369496995E-8</v>
      </c>
      <c r="L14" s="26">
        <f>(((L13^'Goal Seek'!$F$27)*(($C14*10^5)^('Goal Seek'!$F$27-1)))/(($C13*10^5)^('Goal Seek'!$F$27-1)))^(1/'Goal Seek'!$F$27)</f>
        <v>2771.6107523494529</v>
      </c>
      <c r="M14" s="30">
        <f>(((4.7*10^13)*'Goal Seek'!$I$8*('Goal Seek'!$H$8^0.5)*EXP(-67837/'Part 2a'!L14))/('Goal Seek'!$F$26*6))*('Goal Seek'!$F$20*10^-6)</f>
        <v>1.9210760918280487E-8</v>
      </c>
      <c r="N14" s="26">
        <f>(((N13^'Goal Seek'!$F$27)*(($C14*10^5)^('Goal Seek'!$F$27-1)))/(($C13*10^5)^('Goal Seek'!$F$27-1)))^(1/'Goal Seek'!$F$27)</f>
        <v>2752.564727213221</v>
      </c>
      <c r="O14" s="30">
        <f>(((4.7*10^13)*'Goal Seek'!$I$9*('Goal Seek'!$H$9^0.5)*EXP(-67837/'Part 2a'!N14))/('Goal Seek'!$F$26*6))*('Goal Seek'!$F$20*10^-6)</f>
        <v>1.81366406674399E-8</v>
      </c>
      <c r="P14" s="26">
        <f>(((P13^'Goal Seek'!$F$27)*(($C14*10^5)^('Goal Seek'!$F$27-1)))/(($C13*10^5)^('Goal Seek'!$F$27-1)))^(1/'Goal Seek'!$F$27)</f>
        <v>2655.652413798311</v>
      </c>
      <c r="Q14" s="30">
        <f>(((4.7*10^13)*'Goal Seek'!$I$10*('Goal Seek'!$H$10^0.5)*EXP(-67837/'Part 2a'!P14))/('Goal Seek'!$F$26*6))*('Goal Seek'!$F$20*10^-6)</f>
        <v>1.0447704581518519E-8</v>
      </c>
      <c r="R14" s="26">
        <f>(((R13^'Goal Seek'!$F$27)*(($C14*10^5)^('Goal Seek'!$F$27-1)))/(($C13*10^5)^('Goal Seek'!$F$27-1)))^(1/'Goal Seek'!$F$27)</f>
        <v>2556.1827996444795</v>
      </c>
      <c r="S14" s="30">
        <f>(((4.7*10^13)*'Goal Seek'!$I$11*('Goal Seek'!$H$11^0.5)*EXP(-67837/'Part 2a'!R14))/('Goal Seek'!$F$26*6))*('Goal Seek'!$F$20*10^-6)</f>
        <v>4.7414349572890053E-9</v>
      </c>
      <c r="T14" s="26">
        <f>(((T13^'Goal Seek'!$F$27)*(($C14*10^5)^('Goal Seek'!$F$27-1)))/(($C13*10^5)^('Goal Seek'!$F$27-1)))^(1/'Goal Seek'!$F$27)</f>
        <v>2454.0690772954672</v>
      </c>
      <c r="U14" s="30">
        <f>(((4.7*10^13)*'Goal Seek'!$I$12*('Goal Seek'!$H$12^0.5)*EXP(-67837/'Part 2a'!T14))/('Goal Seek'!$F$26*6))*('Goal Seek'!$F$20*10^-6)</f>
        <v>1.8169555433938773E-9</v>
      </c>
      <c r="V14" s="26">
        <f>(((V13^'Goal Seek'!$F$27)*(($C14*10^5)^('Goal Seek'!$F$27-1)))/(($C13*10^5)^('Goal Seek'!$F$27-1)))^(1/'Goal Seek'!$F$27)</f>
        <v>2349.2936506452638</v>
      </c>
      <c r="W14" s="30">
        <f>(((4.7*10^13)*'Goal Seek'!$I$13*('Goal Seek'!$H$13^0.5)*EXP(-67837/'Part 2a'!V14))/('Goal Seek'!$F$26*6))*('Goal Seek'!$F$20*10^-6)</f>
        <v>5.9282966219225687E-10</v>
      </c>
      <c r="X14" s="26">
        <f>(((X13^'Goal Seek'!$F$27)*(($C14*10^5)^('Goal Seek'!$F$27-1)))/(($C13*10^5)^('Goal Seek'!$F$27-1)))^(1/'Goal Seek'!$F$27)</f>
        <v>2241.6723471177197</v>
      </c>
      <c r="Y14" s="30">
        <f>(((4.7*10^13)*'Goal Seek'!$I$14*('Goal Seek'!$H$14^0.5)*EXP(-67837/'Part 2a'!X14))/('Goal Seek'!$F$26*6))*('Goal Seek'!$F$20*10^-6)</f>
        <v>1.6255540604528103E-10</v>
      </c>
      <c r="Z14" s="26">
        <f>(((Z13^'Goal Seek'!$F$27)*(($C14*10^5)^('Goal Seek'!$F$27-1)))/(($C13*10^5)^('Goal Seek'!$F$27-1)))^(1/'Goal Seek'!$F$27)</f>
        <v>2131.1042823717589</v>
      </c>
      <c r="AA14" s="30">
        <f>(((4.7*10^13)*'Goal Seek'!$I$15*('Goal Seek'!$H$15^0.5)*EXP(-67837/'Part 2a'!Z14))/('Goal Seek'!$F$26*6))*('Goal Seek'!$F$20*10^-6)</f>
        <v>3.6571484932762301E-11</v>
      </c>
      <c r="AB14" s="26">
        <f>(((AB13^'Goal Seek'!$F$27)*(($C14*10^5)^('Goal Seek'!$F$27-1)))/(($C13*10^5)^('Goal Seek'!$F$27-1)))^(1/'Goal Seek'!$F$27)</f>
        <v>2017.4827066976388</v>
      </c>
      <c r="AC14" s="30">
        <f>(((4.7*10^13)*'Goal Seek'!$I$16*('Goal Seek'!$H$16^0.5)*EXP(-67837/'Part 2a'!AB14))/('Goal Seek'!$F$26*6))*('Goal Seek'!$F$20*10^-6)</f>
        <v>6.5179509529878824E-12</v>
      </c>
    </row>
    <row r="15" spans="2:31" x14ac:dyDescent="0.25">
      <c r="B15" s="21">
        <v>11</v>
      </c>
      <c r="C15" s="26">
        <v>32</v>
      </c>
      <c r="D15" s="26">
        <f>(((D14^'Goal Seek'!$F$27)*(($C15*10^5)^('Goal Seek'!$F$27-1)))/(($C14*10^5)^('Goal Seek'!$F$27-1)))^(1/'Goal Seek'!$F$27)</f>
        <v>2956.6379008594749</v>
      </c>
      <c r="E15" s="30">
        <f>(((4.7*10^13)*'Goal Seek'!$I$4*('Goal Seek'!$H$4^0.5)*EXP(-67837/'Part 2a'!D15))/('Goal Seek'!$F$26*6))*('Goal Seek'!$F$20*10^-6)</f>
        <v>0</v>
      </c>
      <c r="F15" s="26">
        <f>(((F14^'Goal Seek'!$F$27)*(($C15*10^5)^('Goal Seek'!$F$27-1)))/(($C14*10^5)^('Goal Seek'!$F$27-1)))^(1/'Goal Seek'!$F$27)</f>
        <v>2854.9996431104059</v>
      </c>
      <c r="G15" s="30">
        <f>(((4.7*10^13)*'Goal Seek'!$I$5*('Goal Seek'!$H$5^0.5)*EXP(-67837/'Part 2a'!F15))/('Goal Seek'!$F$26*6))*('Goal Seek'!$F$20*10^-6)</f>
        <v>1.9618340589313379E-8</v>
      </c>
      <c r="H15" s="26">
        <f>(((H14^'Goal Seek'!$F$27)*(($C15*10^5)^('Goal Seek'!$F$27-1)))/(($C14*10^5)^('Goal Seek'!$F$27-1)))^(1/'Goal Seek'!$F$27)</f>
        <v>2835.9731090386854</v>
      </c>
      <c r="I15" s="30">
        <f>(((4.7*10^13)*'Goal Seek'!$I$6*('Goal Seek'!$H$6^0.5)*EXP(-67837/'Part 2a'!H15))/('Goal Seek'!$F$26*6))*('Goal Seek'!$F$20*10^-6)</f>
        <v>2.366212121775246E-8</v>
      </c>
      <c r="J15" s="26">
        <f>(((J14^'Goal Seek'!$F$27)*(($C15*10^5)^('Goal Seek'!$F$27-1)))/(($C14*10^5)^('Goal Seek'!$F$27-1)))^(1/'Goal Seek'!$F$27)</f>
        <v>2816.9453908411188</v>
      </c>
      <c r="K15" s="30">
        <f>(((4.7*10^13)*'Goal Seek'!$I$7*('Goal Seek'!$H$7^0.5)*EXP(-67837/'Part 2a'!J15))/('Goal Seek'!$F$26*6))*('Goal Seek'!$F$20*10^-6)</f>
        <v>2.4662444077143051E-8</v>
      </c>
      <c r="L15" s="26">
        <f>(((L14^'Goal Seek'!$F$27)*(($C15*10^5)^('Goal Seek'!$F$27-1)))/(($C14*10^5)^('Goal Seek'!$F$27-1)))^(1/'Goal Seek'!$F$27)</f>
        <v>2797.7234760050337</v>
      </c>
      <c r="M15" s="30">
        <f>(((4.7*10^13)*'Goal Seek'!$I$8*('Goal Seek'!$H$8^0.5)*EXP(-67837/'Part 2a'!L15))/('Goal Seek'!$F$26*6))*('Goal Seek'!$F$20*10^-6)</f>
        <v>2.414109686095204E-8</v>
      </c>
      <c r="N15" s="26">
        <f>(((N14^'Goal Seek'!$F$27)*(($C15*10^5)^('Goal Seek'!$F$27-1)))/(($C14*10^5)^('Goal Seek'!$F$27-1)))^(1/'Goal Seek'!$F$27)</f>
        <v>2778.4980087914114</v>
      </c>
      <c r="O15" s="30">
        <f>(((4.7*10^13)*'Goal Seek'!$I$9*('Goal Seek'!$H$9^0.5)*EXP(-67837/'Part 2a'!N15))/('Goal Seek'!$F$26*6))*('Goal Seek'!$F$20*10^-6)</f>
        <v>2.2827364205917865E-8</v>
      </c>
      <c r="P15" s="26">
        <f>(((P14^'Goal Seek'!$F$27)*(($C15*10^5)^('Goal Seek'!$F$27-1)))/(($C14*10^5)^('Goal Seek'!$F$27-1)))^(1/'Goal Seek'!$F$27)</f>
        <v>2680.6726362620898</v>
      </c>
      <c r="Q15" s="30">
        <f>(((4.7*10^13)*'Goal Seek'!$I$10*('Goal Seek'!$H$10^0.5)*EXP(-67837/'Part 2a'!P15))/('Goal Seek'!$F$26*6))*('Goal Seek'!$F$20*10^-6)</f>
        <v>1.32606679144512E-8</v>
      </c>
      <c r="R15" s="26">
        <f>(((R14^'Goal Seek'!$F$27)*(($C15*10^5)^('Goal Seek'!$F$27-1)))/(($C14*10^5)^('Goal Seek'!$F$27-1)))^(1/'Goal Seek'!$F$27)</f>
        <v>2580.2658693914427</v>
      </c>
      <c r="S15" s="30">
        <f>(((4.7*10^13)*'Goal Seek'!$I$11*('Goal Seek'!$H$11^0.5)*EXP(-67837/'Part 2a'!R15))/('Goal Seek'!$F$26*6))*('Goal Seek'!$F$20*10^-6)</f>
        <v>6.0741229090599163E-9</v>
      </c>
      <c r="T15" s="26">
        <f>(((T14^'Goal Seek'!$F$27)*(($C15*10^5)^('Goal Seek'!$F$27-1)))/(($C14*10^5)^('Goal Seek'!$F$27-1)))^(1/'Goal Seek'!$F$27)</f>
        <v>2477.1900828669727</v>
      </c>
      <c r="U15" s="30">
        <f>(((4.7*10^13)*'Goal Seek'!$I$12*('Goal Seek'!$H$12^0.5)*EXP(-67837/'Part 2a'!T15))/('Goal Seek'!$F$26*6))*('Goal Seek'!$F$20*10^-6)</f>
        <v>2.3517666120517802E-9</v>
      </c>
      <c r="V15" s="26">
        <f>(((V14^'Goal Seek'!$F$27)*(($C15*10^5)^('Goal Seek'!$F$27-1)))/(($C14*10^5)^('Goal Seek'!$F$27-1)))^(1/'Goal Seek'!$F$27)</f>
        <v>2371.4275148010106</v>
      </c>
      <c r="W15" s="30">
        <f>(((4.7*10^13)*'Goal Seek'!$I$13*('Goal Seek'!$H$13^0.5)*EXP(-67837/'Part 2a'!V15))/('Goal Seek'!$F$26*6))*('Goal Seek'!$F$20*10^-6)</f>
        <v>7.7620623061411368E-10</v>
      </c>
      <c r="X15" s="26">
        <f>(((X14^'Goal Seek'!$F$27)*(($C15*10^5)^('Goal Seek'!$F$27-1)))/(($C14*10^5)^('Goal Seek'!$F$27-1)))^(1/'Goal Seek'!$F$27)</f>
        <v>2262.7922574359422</v>
      </c>
      <c r="Y15" s="30">
        <f>(((4.7*10^13)*'Goal Seek'!$I$14*('Goal Seek'!$H$14^0.5)*EXP(-67837/'Part 2a'!X15))/('Goal Seek'!$F$26*6))*('Goal Seek'!$F$20*10^-6)</f>
        <v>2.1560954346942889E-10</v>
      </c>
      <c r="Z15" s="26">
        <f>(((Z14^'Goal Seek'!$F$27)*(($C15*10^5)^('Goal Seek'!$F$27-1)))/(($C14*10^5)^('Goal Seek'!$F$27-1)))^(1/'Goal Seek'!$F$27)</f>
        <v>2151.182475949131</v>
      </c>
      <c r="AA15" s="30">
        <f>(((4.7*10^13)*'Goal Seek'!$I$15*('Goal Seek'!$H$15^0.5)*EXP(-67837/'Part 2a'!Z15))/('Goal Seek'!$F$26*6))*('Goal Seek'!$F$20*10^-6)</f>
        <v>4.9223610497850357E-11</v>
      </c>
      <c r="AB15" s="26">
        <f>(((AB14^'Goal Seek'!$F$27)*(($C15*10^5)^('Goal Seek'!$F$27-1)))/(($C14*10^5)^('Goal Seek'!$F$27-1)))^(1/'Goal Seek'!$F$27)</f>
        <v>2036.4904148887156</v>
      </c>
      <c r="AC15" s="30">
        <f>(((4.7*10^13)*'Goal Seek'!$I$16*('Goal Seek'!$H$16^0.5)*EXP(-67837/'Part 2a'!AB15))/('Goal Seek'!$F$26*6))*('Goal Seek'!$F$20*10^-6)</f>
        <v>8.9209022906918826E-12</v>
      </c>
    </row>
    <row r="16" spans="2:31" x14ac:dyDescent="0.25">
      <c r="B16" s="21">
        <v>12</v>
      </c>
      <c r="C16" s="26">
        <v>34</v>
      </c>
      <c r="D16" s="26">
        <f>(((D15^'Goal Seek'!$F$27)*(($C16*10^5)^('Goal Seek'!$F$27-1)))/(($C15*10^5)^('Goal Seek'!$F$27-1)))^(1/'Goal Seek'!$F$27)</f>
        <v>2982.7970992827645</v>
      </c>
      <c r="E16" s="30">
        <f>(((4.7*10^13)*'Goal Seek'!$I$4*('Goal Seek'!$H$4^0.5)*EXP(-67837/'Part 2a'!D16))/('Goal Seek'!$F$26*6))*('Goal Seek'!$F$20*10^-6)</f>
        <v>0</v>
      </c>
      <c r="F16" s="26">
        <f>(((F15^'Goal Seek'!$F$27)*(($C16*10^5)^('Goal Seek'!$F$27-1)))/(($C15*10^5)^('Goal Seek'!$F$27-1)))^(1/'Goal Seek'!$F$27)</f>
        <v>2880.259585202346</v>
      </c>
      <c r="G16" s="30">
        <f>(((4.7*10^13)*'Goal Seek'!$I$5*('Goal Seek'!$H$5^0.5)*EXP(-67837/'Part 2a'!F16))/('Goal Seek'!$F$26*6))*('Goal Seek'!$F$20*10^-6)</f>
        <v>2.4163600702458712E-8</v>
      </c>
      <c r="H16" s="26">
        <f>(((H15^'Goal Seek'!$F$27)*(($C16*10^5)^('Goal Seek'!$F$27-1)))/(($C15*10^5)^('Goal Seek'!$F$27-1)))^(1/'Goal Seek'!$F$27)</f>
        <v>2861.0647116528853</v>
      </c>
      <c r="I16" s="30">
        <f>(((4.7*10^13)*'Goal Seek'!$I$6*('Goal Seek'!$H$6^0.5)*EXP(-67837/'Part 2a'!H16))/('Goal Seek'!$F$26*6))*('Goal Seek'!$F$20*10^-6)</f>
        <v>2.9185034797710888E-8</v>
      </c>
      <c r="J16" s="26">
        <f>(((J15^'Goal Seek'!$F$27)*(($C16*10^5)^('Goal Seek'!$F$27-1)))/(($C15*10^5)^('Goal Seek'!$F$27-1)))^(1/'Goal Seek'!$F$27)</f>
        <v>2841.8686435008894</v>
      </c>
      <c r="K16" s="30">
        <f>(((4.7*10^13)*'Goal Seek'!$I$7*('Goal Seek'!$H$7^0.5)*EXP(-67837/'Part 2a'!J16))/('Goal Seek'!$F$26*6))*('Goal Seek'!$F$20*10^-6)</f>
        <v>3.0461974804632731E-8</v>
      </c>
      <c r="L16" s="26">
        <f>(((L15^'Goal Seek'!$F$27)*(($C16*10^5)^('Goal Seek'!$F$27-1)))/(($C15*10^5)^('Goal Seek'!$F$27-1)))^(1/'Goal Seek'!$F$27)</f>
        <v>2822.4766605329828</v>
      </c>
      <c r="M16" s="30">
        <f>(((4.7*10^13)*'Goal Seek'!$I$8*('Goal Seek'!$H$8^0.5)*EXP(-67837/'Part 2a'!L16))/('Goal Seek'!$F$26*6))*('Goal Seek'!$F$20*10^-6)</f>
        <v>2.9861328171447996E-8</v>
      </c>
      <c r="N16" s="26">
        <f>(((N15^'Goal Seek'!$F$27)*(($C16*10^5)^('Goal Seek'!$F$27-1)))/(($C15*10^5)^('Goal Seek'!$F$27-1)))^(1/'Goal Seek'!$F$27)</f>
        <v>2803.0810937574647</v>
      </c>
      <c r="O16" s="30">
        <f>(((4.7*10^13)*'Goal Seek'!$I$9*('Goal Seek'!$H$9^0.5)*EXP(-67837/'Part 2a'!N16))/('Goal Seek'!$F$26*6))*('Goal Seek'!$F$20*10^-6)</f>
        <v>2.8277884001549808E-8</v>
      </c>
      <c r="P16" s="26">
        <f>(((P15^'Goal Seek'!$F$27)*(($C16*10^5)^('Goal Seek'!$F$27-1)))/(($C15*10^5)^('Goal Seek'!$F$27-1)))^(1/'Goal Seek'!$F$27)</f>
        <v>2704.3901998431688</v>
      </c>
      <c r="Q16" s="30">
        <f>(((4.7*10^13)*'Goal Seek'!$I$10*('Goal Seek'!$H$10^0.5)*EXP(-67837/'Part 2a'!P16))/('Goal Seek'!$F$26*6))*('Goal Seek'!$F$20*10^-6)</f>
        <v>1.6555795421121485E-8</v>
      </c>
      <c r="R16" s="26">
        <f>(((R15^'Goal Seek'!$F$27)*(($C16*10^5)^('Goal Seek'!$F$27-1)))/(($C15*10^5)^('Goal Seek'!$F$27-1)))^(1/'Goal Seek'!$F$27)</f>
        <v>2603.0950724002491</v>
      </c>
      <c r="S16" s="30">
        <f>(((4.7*10^13)*'Goal Seek'!$I$11*('Goal Seek'!$H$11^0.5)*EXP(-67837/'Part 2a'!R16))/('Goal Seek'!$F$26*6))*('Goal Seek'!$F$20*10^-6)</f>
        <v>7.649250374710574E-9</v>
      </c>
      <c r="T16" s="26">
        <f>(((T15^'Goal Seek'!$F$27)*(($C16*10^5)^('Goal Seek'!$F$27-1)))/(($C15*10^5)^('Goal Seek'!$F$27-1)))^(1/'Goal Seek'!$F$27)</f>
        <v>2499.107310841046</v>
      </c>
      <c r="U16" s="30">
        <f>(((4.7*10^13)*'Goal Seek'!$I$12*('Goal Seek'!$H$12^0.5)*EXP(-67837/'Part 2a'!T16))/('Goal Seek'!$F$26*6))*('Goal Seek'!$F$20*10^-6)</f>
        <v>2.9901718415436015E-9</v>
      </c>
      <c r="V16" s="26">
        <f>(((V15^'Goal Seek'!$F$27)*(($C16*10^5)^('Goal Seek'!$F$27-1)))/(($C15*10^5)^('Goal Seek'!$F$27-1)))^(1/'Goal Seek'!$F$27)</f>
        <v>2392.4089961275163</v>
      </c>
      <c r="W16" s="30">
        <f>(((4.7*10^13)*'Goal Seek'!$I$13*('Goal Seek'!$H$13^0.5)*EXP(-67837/'Part 2a'!V16))/('Goal Seek'!$F$26*6))*('Goal Seek'!$F$20*10^-6)</f>
        <v>9.9754106076655077E-10</v>
      </c>
      <c r="X16" s="26">
        <f>(((X15^'Goal Seek'!$F$27)*(($C16*10^5)^('Goal Seek'!$F$27-1)))/(($C15*10^5)^('Goal Seek'!$F$27-1)))^(1/'Goal Seek'!$F$27)</f>
        <v>2282.8125756614972</v>
      </c>
      <c r="Y16" s="30">
        <f>(((4.7*10^13)*'Goal Seek'!$I$14*('Goal Seek'!$H$14^0.5)*EXP(-67837/'Part 2a'!X16))/('Goal Seek'!$F$26*6))*('Goal Seek'!$F$20*10^-6)</f>
        <v>2.8044805626985233E-10</v>
      </c>
      <c r="Z16" s="26">
        <f>(((Z15^'Goal Seek'!$F$27)*(($C16*10^5)^('Goal Seek'!$F$27-1)))/(($C15*10^5)^('Goal Seek'!$F$27-1)))^(1/'Goal Seek'!$F$27)</f>
        <v>2170.2153136248885</v>
      </c>
      <c r="AA16" s="30">
        <f>(((4.7*10^13)*'Goal Seek'!$I$15*('Goal Seek'!$H$15^0.5)*EXP(-67837/'Part 2a'!Z16))/('Goal Seek'!$F$26*6))*('Goal Seek'!$F$20*10^-6)</f>
        <v>6.4905597304856713E-11</v>
      </c>
      <c r="AB16" s="26">
        <f>(((AB15^'Goal Seek'!$F$27)*(($C16*10^5)^('Goal Seek'!$F$27-1)))/(($C15*10^5)^('Goal Seek'!$F$27-1)))^(1/'Goal Seek'!$F$27)</f>
        <v>2054.5085011869087</v>
      </c>
      <c r="AC16" s="30">
        <f>(((4.7*10^13)*'Goal Seek'!$I$16*('Goal Seek'!$H$16^0.5)*EXP(-67837/'Part 2a'!AB16))/('Goal Seek'!$F$26*6))*('Goal Seek'!$F$20*10^-6)</f>
        <v>1.1947631179594339E-11</v>
      </c>
    </row>
    <row r="17" spans="2:29" x14ac:dyDescent="0.25">
      <c r="B17" s="21">
        <v>13</v>
      </c>
      <c r="C17" s="26">
        <v>36</v>
      </c>
      <c r="D17" s="26">
        <f>(((D16^'Goal Seek'!$F$27)*(($C17*10^5)^('Goal Seek'!$F$27-1)))/(($C16*10^5)^('Goal Seek'!$F$27-1)))^(1/'Goal Seek'!$F$27)</f>
        <v>3007.6725873818368</v>
      </c>
      <c r="E17" s="30">
        <f>(((4.7*10^13)*'Goal Seek'!$I$4*('Goal Seek'!$H$4^0.5)*EXP(-67837/'Part 2a'!D17))/('Goal Seek'!$F$26*6))*('Goal Seek'!$F$20*10^-6)</f>
        <v>0</v>
      </c>
      <c r="F17" s="26">
        <f>(((F16^'Goal Seek'!$F$27)*(($C17*10^5)^('Goal Seek'!$F$27-1)))/(($C16*10^5)^('Goal Seek'!$F$27-1)))^(1/'Goal Seek'!$F$27)</f>
        <v>2904.2799461753293</v>
      </c>
      <c r="G17" s="30">
        <f>(((4.7*10^13)*'Goal Seek'!$I$5*('Goal Seek'!$H$5^0.5)*EXP(-67837/'Part 2a'!F17))/('Goal Seek'!$F$26*6))*('Goal Seek'!$F$20*10^-6)</f>
        <v>2.9360246906012727E-8</v>
      </c>
      <c r="H17" s="26">
        <f>(((H16^'Goal Seek'!$F$27)*(($C17*10^5)^('Goal Seek'!$F$27-1)))/(($C16*10^5)^('Goal Seek'!$F$27-1)))^(1/'Goal Seek'!$F$27)</f>
        <v>2884.9249940711961</v>
      </c>
      <c r="I17" s="30">
        <f>(((4.7*10^13)*'Goal Seek'!$I$6*('Goal Seek'!$H$6^0.5)*EXP(-67837/'Part 2a'!H17))/('Goal Seek'!$F$26*6))*('Goal Seek'!$F$20*10^-6)</f>
        <v>3.5507969362278681E-8</v>
      </c>
      <c r="J17" s="26">
        <f>(((J16^'Goal Seek'!$F$27)*(($C17*10^5)^('Goal Seek'!$F$27-1)))/(($C16*10^5)^('Goal Seek'!$F$27-1)))^(1/'Goal Seek'!$F$27)</f>
        <v>2865.5688374019564</v>
      </c>
      <c r="K17" s="30">
        <f>(((4.7*10^13)*'Goal Seek'!$I$7*('Goal Seek'!$H$7^0.5)*EXP(-67837/'Part 2a'!J17))/('Goal Seek'!$F$26*6))*('Goal Seek'!$F$20*10^-6)</f>
        <v>3.7110682949068665E-8</v>
      </c>
      <c r="L17" s="26">
        <f>(((L16^'Goal Seek'!$F$27)*(($C17*10^5)^('Goal Seek'!$F$27-1)))/(($C16*10^5)^('Goal Seek'!$F$27-1)))^(1/'Goal Seek'!$F$27)</f>
        <v>2846.015132055531</v>
      </c>
      <c r="M17" s="30">
        <f>(((4.7*10^13)*'Goal Seek'!$I$8*('Goal Seek'!$H$8^0.5)*EXP(-67837/'Part 2a'!L17))/('Goal Seek'!$F$26*6))*('Goal Seek'!$F$20*10^-6)</f>
        <v>3.6428316408405328E-8</v>
      </c>
      <c r="N17" s="26">
        <f>(((N16^'Goal Seek'!$F$27)*(($C17*10^5)^('Goal Seek'!$F$27-1)))/(($C16*10^5)^('Goal Seek'!$F$27-1)))^(1/'Goal Seek'!$F$27)</f>
        <v>2826.457813013787</v>
      </c>
      <c r="O17" s="30">
        <f>(((4.7*10^13)*'Goal Seek'!$I$9*('Goal Seek'!$H$9^0.5)*EXP(-67837/'Part 2a'!N17))/('Goal Seek'!$F$26*6))*('Goal Seek'!$F$20*10^-6)</f>
        <v>3.4544128284582876E-8</v>
      </c>
      <c r="P17" s="26">
        <f>(((P16^'Goal Seek'!$F$27)*(($C17*10^5)^('Goal Seek'!$F$27-1)))/(($C16*10^5)^('Goal Seek'!$F$27-1)))^(1/'Goal Seek'!$F$27)</f>
        <v>2726.9438714447751</v>
      </c>
      <c r="Q17" s="30">
        <f>(((4.7*10^13)*'Goal Seek'!$I$10*('Goal Seek'!$H$10^0.5)*EXP(-67837/'Part 2a'!P17))/('Goal Seek'!$F$26*6))*('Goal Seek'!$F$20*10^-6)</f>
        <v>2.0372747660375601E-8</v>
      </c>
      <c r="R17" s="26">
        <f>(((R16^'Goal Seek'!$F$27)*(($C17*10^5)^('Goal Seek'!$F$27-1)))/(($C16*10^5)^('Goal Seek'!$F$27-1)))^(1/'Goal Seek'!$F$27)</f>
        <v>2624.8039779472665</v>
      </c>
      <c r="S17" s="30">
        <f>(((4.7*10^13)*'Goal Seek'!$I$11*('Goal Seek'!$H$11^0.5)*EXP(-67837/'Part 2a'!R17))/('Goal Seek'!$F$26*6))*('Goal Seek'!$F$20*10^-6)</f>
        <v>9.4890886937056899E-9</v>
      </c>
      <c r="T17" s="26">
        <f>(((T16^'Goal Seek'!$F$27)*(($C17*10^5)^('Goal Seek'!$F$27-1)))/(($C16*10^5)^('Goal Seek'!$F$27-1)))^(1/'Goal Seek'!$F$27)</f>
        <v>2519.9489947035117</v>
      </c>
      <c r="U17" s="30">
        <f>(((4.7*10^13)*'Goal Seek'!$I$12*('Goal Seek'!$H$12^0.5)*EXP(-67837/'Part 2a'!T17))/('Goal Seek'!$F$26*6))*('Goal Seek'!$F$20*10^-6)</f>
        <v>3.7428007141601378E-9</v>
      </c>
      <c r="V17" s="26">
        <f>(((V16^'Goal Seek'!$F$27)*(($C17*10^5)^('Goal Seek'!$F$27-1)))/(($C16*10^5)^('Goal Seek'!$F$27-1)))^(1/'Goal Seek'!$F$27)</f>
        <v>2412.360853236939</v>
      </c>
      <c r="W17" s="30">
        <f>(((4.7*10^13)*'Goal Seek'!$I$13*('Goal Seek'!$H$13^0.5)*EXP(-67837/'Part 2a'!V17))/('Goal Seek'!$F$26*6))*('Goal Seek'!$F$20*10^-6)</f>
        <v>1.2611877239437757E-9</v>
      </c>
      <c r="X17" s="26">
        <f>(((X16^'Goal Seek'!$F$27)*(($C17*10^5)^('Goal Seek'!$F$27-1)))/(($C16*10^5)^('Goal Seek'!$F$27-1)))^(1/'Goal Seek'!$F$27)</f>
        <v>2301.8504368260874</v>
      </c>
      <c r="Y17" s="30">
        <f>(((4.7*10^13)*'Goal Seek'!$I$14*('Goal Seek'!$H$14^0.5)*EXP(-67837/'Part 2a'!X17))/('Goal Seek'!$F$26*6))*('Goal Seek'!$F$20*10^-6)</f>
        <v>3.5858415343401958E-10</v>
      </c>
      <c r="Z17" s="26">
        <f>(((Z16^'Goal Seek'!$F$27)*(($C17*10^5)^('Goal Seek'!$F$27-1)))/(($C16*10^5)^('Goal Seek'!$F$27-1)))^(1/'Goal Seek'!$F$27)</f>
        <v>2188.3141528719457</v>
      </c>
      <c r="AA17" s="30">
        <f>(((4.7*10^13)*'Goal Seek'!$I$15*('Goal Seek'!$H$15^0.5)*EXP(-67837/'Part 2a'!Z17))/('Goal Seek'!$F$26*6))*('Goal Seek'!$F$20*10^-6)</f>
        <v>8.4054066794774227E-11</v>
      </c>
      <c r="AB17" s="26">
        <f>(((AB16^'Goal Seek'!$F$27)*(($C17*10^5)^('Goal Seek'!$F$27-1)))/(($C16*10^5)^('Goal Seek'!$F$27-1)))^(1/'Goal Seek'!$F$27)</f>
        <v>2071.6423859499769</v>
      </c>
      <c r="AC17" s="30">
        <f>(((4.7*10^13)*'Goal Seek'!$I$16*('Goal Seek'!$H$16^0.5)*EXP(-67837/'Part 2a'!AB17))/('Goal Seek'!$F$26*6))*('Goal Seek'!$F$20*10^-6)</f>
        <v>1.5699348660667106E-11</v>
      </c>
    </row>
    <row r="18" spans="2:29" x14ac:dyDescent="0.25">
      <c r="B18" s="21">
        <v>14</v>
      </c>
      <c r="C18" s="26">
        <v>38</v>
      </c>
      <c r="D18" s="26">
        <f>(((D17^'Goal Seek'!$F$27)*(($C18*10^5)^('Goal Seek'!$F$27-1)))/(($C17*10^5)^('Goal Seek'!$F$27-1)))^(1/'Goal Seek'!$F$27)</f>
        <v>3031.3936792562004</v>
      </c>
      <c r="E18" s="30">
        <f>(((4.7*10^13)*'Goal Seek'!$I$4*('Goal Seek'!$H$4^0.5)*EXP(-67837/'Part 2a'!D18))/('Goal Seek'!$F$26*6))*('Goal Seek'!$F$20*10^-6)</f>
        <v>0</v>
      </c>
      <c r="F18" s="26">
        <f>(((F17^'Goal Seek'!$F$27)*(($C18*10^5)^('Goal Seek'!$F$27-1)))/(($C17*10^5)^('Goal Seek'!$F$27-1)))^(1/'Goal Seek'!$F$27)</f>
        <v>2927.1855947891886</v>
      </c>
      <c r="G18" s="30">
        <f>(((4.7*10^13)*'Goal Seek'!$I$5*('Goal Seek'!$H$5^0.5)*EXP(-67837/'Part 2a'!F18))/('Goal Seek'!$F$26*6))*('Goal Seek'!$F$20*10^-6)</f>
        <v>3.5248330639596132E-8</v>
      </c>
      <c r="H18" s="26">
        <f>(((H17^'Goal Seek'!$F$27)*(($C18*10^5)^('Goal Seek'!$F$27-1)))/(($C17*10^5)^('Goal Seek'!$F$27-1)))^(1/'Goal Seek'!$F$27)</f>
        <v>2907.6779928923179</v>
      </c>
      <c r="I18" s="30">
        <f>(((4.7*10^13)*'Goal Seek'!$I$6*('Goal Seek'!$H$6^0.5)*EXP(-67837/'Part 2a'!H18))/('Goal Seek'!$F$26*6))*('Goal Seek'!$F$20*10^-6)</f>
        <v>4.2681260714070057E-8</v>
      </c>
      <c r="J18" s="26">
        <f>(((J17^'Goal Seek'!$F$27)*(($C18*10^5)^('Goal Seek'!$F$27-1)))/(($C17*10^5)^('Goal Seek'!$F$27-1)))^(1/'Goal Seek'!$F$27)</f>
        <v>2888.1691769301019</v>
      </c>
      <c r="K18" s="30">
        <f>(((4.7*10^13)*'Goal Seek'!$I$7*('Goal Seek'!$H$7^0.5)*EXP(-67837/'Part 2a'!J18))/('Goal Seek'!$F$26*6))*('Goal Seek'!$F$20*10^-6)</f>
        <v>4.4663230211056127E-8</v>
      </c>
      <c r="L18" s="26">
        <f>(((L17^'Goal Seek'!$F$27)*(($C18*10^5)^('Goal Seek'!$F$27-1)))/(($C17*10^5)^('Goal Seek'!$F$27-1)))^(1/'Goal Seek'!$F$27)</f>
        <v>2868.4612542519944</v>
      </c>
      <c r="M18" s="30">
        <f>(((4.7*10^13)*'Goal Seek'!$I$8*('Goal Seek'!$H$8^0.5)*EXP(-67837/'Part 2a'!L18))/('Goal Seek'!$F$26*6))*('Goal Seek'!$F$20*10^-6)</f>
        <v>4.3897827476700681E-8</v>
      </c>
      <c r="N18" s="26">
        <f>(((N17^'Goal Seek'!$F$27)*(($C18*10^5)^('Goal Seek'!$F$27-1)))/(($C17*10^5)^('Goal Seek'!$F$27-1)))^(1/'Goal Seek'!$F$27)</f>
        <v>2848.749689377858</v>
      </c>
      <c r="O18" s="30">
        <f>(((4.7*10^13)*'Goal Seek'!$I$9*('Goal Seek'!$H$9^0.5)*EXP(-67837/'Part 2a'!N18))/('Goal Seek'!$F$26*6))*('Goal Seek'!$F$20*10^-6)</f>
        <v>4.1681051022025696E-8</v>
      </c>
      <c r="P18" s="26">
        <f>(((P17^'Goal Seek'!$F$27)*(($C18*10^5)^('Goal Seek'!$F$27-1)))/(($C17*10^5)^('Goal Seek'!$F$27-1)))^(1/'Goal Seek'!$F$27)</f>
        <v>2748.4508953083964</v>
      </c>
      <c r="Q18" s="30">
        <f>(((4.7*10^13)*'Goal Seek'!$I$10*('Goal Seek'!$H$10^0.5)*EXP(-67837/'Part 2a'!P18))/('Goal Seek'!$F$26*6))*('Goal Seek'!$F$20*10^-6)</f>
        <v>2.4750874474454131E-8</v>
      </c>
      <c r="R18" s="26">
        <f>(((R17^'Goal Seek'!$F$27)*(($C18*10^5)^('Goal Seek'!$F$27-1)))/(($C17*10^5)^('Goal Seek'!$F$27-1)))^(1/'Goal Seek'!$F$27)</f>
        <v>2645.5054387958653</v>
      </c>
      <c r="S18" s="30">
        <f>(((4.7*10^13)*'Goal Seek'!$I$11*('Goal Seek'!$H$11^0.5)*EXP(-67837/'Part 2a'!R18))/('Goal Seek'!$F$26*6))*('Goal Seek'!$F$20*10^-6)</f>
        <v>1.1615962949685182E-8</v>
      </c>
      <c r="T18" s="26">
        <f>(((T17^'Goal Seek'!$F$27)*(($C18*10^5)^('Goal Seek'!$F$27-1)))/(($C17*10^5)^('Goal Seek'!$F$27-1)))^(1/'Goal Seek'!$F$27)</f>
        <v>2539.8234790050474</v>
      </c>
      <c r="U18" s="30">
        <f>(((4.7*10^13)*'Goal Seek'!$I$12*('Goal Seek'!$H$12^0.5)*EXP(-67837/'Part 2a'!T18))/('Goal Seek'!$F$26*6))*('Goal Seek'!$F$20*10^-6)</f>
        <v>4.6204263131228991E-9</v>
      </c>
      <c r="V18" s="26">
        <f>(((V17^'Goal Seek'!$F$27)*(($C18*10^5)^('Goal Seek'!$F$27-1)))/(($C17*10^5)^('Goal Seek'!$F$27-1)))^(1/'Goal Seek'!$F$27)</f>
        <v>2431.3868049558278</v>
      </c>
      <c r="W18" s="30">
        <f>(((4.7*10^13)*'Goal Seek'!$I$13*('Goal Seek'!$H$13^0.5)*EXP(-67837/'Part 2a'!V18))/('Goal Seek'!$F$26*6))*('Goal Seek'!$F$20*10^-6)</f>
        <v>1.5716115303662318E-9</v>
      </c>
      <c r="X18" s="26">
        <f>(((X17^'Goal Seek'!$F$27)*(($C18*10^5)^('Goal Seek'!$F$27-1)))/(($C17*10^5)^('Goal Seek'!$F$27-1)))^(1/'Goal Seek'!$F$27)</f>
        <v>2320.0048083896913</v>
      </c>
      <c r="Y18" s="30">
        <f>(((4.7*10^13)*'Goal Seek'!$I$14*('Goal Seek'!$H$14^0.5)*EXP(-67837/'Part 2a'!X18))/('Goal Seek'!$F$26*6))*('Goal Seek'!$F$20*10^-6)</f>
        <v>4.5159029923764262E-10</v>
      </c>
      <c r="Z18" s="26">
        <f>(((Z17^'Goal Seek'!$F$27)*(($C18*10^5)^('Goal Seek'!$F$27-1)))/(($C17*10^5)^('Goal Seek'!$F$27-1)))^(1/'Goal Seek'!$F$27)</f>
        <v>2205.5730796873268</v>
      </c>
      <c r="AA18" s="30">
        <f>(((4.7*10^13)*'Goal Seek'!$I$15*('Goal Seek'!$H$15^0.5)*EXP(-67837/'Part 2a'!Z18))/('Goal Seek'!$F$26*6))*('Goal Seek'!$F$20*10^-6)</f>
        <v>1.0712935875222356E-10</v>
      </c>
      <c r="AB18" s="26">
        <f>(((AB17^'Goal Seek'!$F$27)*(($C18*10^5)^('Goal Seek'!$F$27-1)))/(($C17*10^5)^('Goal Seek'!$F$27-1)))^(1/'Goal Seek'!$F$27)</f>
        <v>2087.9811389027118</v>
      </c>
      <c r="AC18" s="30">
        <f>(((4.7*10^13)*'Goal Seek'!$I$16*('Goal Seek'!$H$16^0.5)*EXP(-67837/'Part 2a'!AB18))/('Goal Seek'!$F$26*6))*('Goal Seek'!$F$20*10^-6)</f>
        <v>2.0284511309110238E-11</v>
      </c>
    </row>
    <row r="19" spans="2:29" x14ac:dyDescent="0.25">
      <c r="B19" s="21">
        <v>15</v>
      </c>
      <c r="C19" s="26">
        <v>40</v>
      </c>
      <c r="D19" s="26">
        <f>(((D18^'Goal Seek'!$F$27)*(($C19*10^5)^('Goal Seek'!$F$27-1)))/(($C18*10^5)^('Goal Seek'!$F$27-1)))^(1/'Goal Seek'!$F$27)</f>
        <v>3054.0706672021593</v>
      </c>
      <c r="E19" s="30">
        <f>(((4.7*10^13)*'Goal Seek'!$I$4*('Goal Seek'!$H$4^0.5)*EXP(-67837/'Part 2a'!D19))/('Goal Seek'!$F$26*6))*('Goal Seek'!$F$20*10^-6)</f>
        <v>0</v>
      </c>
      <c r="F19" s="26">
        <f>(((F18^'Goal Seek'!$F$27)*(($C19*10^5)^('Goal Seek'!$F$27-1)))/(($C18*10^5)^('Goal Seek'!$F$27-1)))^(1/'Goal Seek'!$F$27)</f>
        <v>2949.0830318996709</v>
      </c>
      <c r="G19" s="30">
        <f>(((4.7*10^13)*'Goal Seek'!$I$5*('Goal Seek'!$H$5^0.5)*EXP(-67837/'Part 2a'!F19))/('Goal Seek'!$F$26*6))*('Goal Seek'!$F$20*10^-6)</f>
        <v>4.1866881860244403E-8</v>
      </c>
      <c r="H19" s="26">
        <f>(((H18^'Goal Seek'!$F$27)*(($C19*10^5)^('Goal Seek'!$F$27-1)))/(($C18*10^5)^('Goal Seek'!$F$27-1)))^(1/'Goal Seek'!$F$27)</f>
        <v>2929.4294992198415</v>
      </c>
      <c r="I19" s="30">
        <f>(((4.7*10^13)*'Goal Seek'!$I$6*('Goal Seek'!$H$6^0.5)*EXP(-67837/'Part 2a'!H19))/('Goal Seek'!$F$26*6))*('Goal Seek'!$F$20*10^-6)</f>
        <v>5.0754047237449068E-8</v>
      </c>
      <c r="J19" s="26">
        <f>(((J18^'Goal Seek'!$F$27)*(($C19*10^5)^('Goal Seek'!$F$27-1)))/(($C18*10^5)^('Goal Seek'!$F$27-1)))^(1/'Goal Seek'!$F$27)</f>
        <v>2909.7747433925892</v>
      </c>
      <c r="K19" s="30">
        <f>(((4.7*10^13)*'Goal Seek'!$I$7*('Goal Seek'!$H$7^0.5)*EXP(-67837/'Part 2a'!J19))/('Goal Seek'!$F$26*6))*('Goal Seek'!$F$20*10^-6)</f>
        <v>5.3173072030539653E-8</v>
      </c>
      <c r="L19" s="26">
        <f>(((L18^'Goal Seek'!$F$27)*(($C19*10^5)^('Goal Seek'!$F$27-1)))/(($C18*10^5)^('Goal Seek'!$F$27-1)))^(1/'Goal Seek'!$F$27)</f>
        <v>2889.9193913891313</v>
      </c>
      <c r="M19" s="30">
        <f>(((4.7*10^13)*'Goal Seek'!$I$8*('Goal Seek'!$H$8^0.5)*EXP(-67837/'Part 2a'!L19))/('Goal Seek'!$F$26*6))*('Goal Seek'!$F$20*10^-6)</f>
        <v>5.2324493944220423E-8</v>
      </c>
      <c r="N19" s="26">
        <f>(((N18^'Goal Seek'!$F$27)*(($C19*10^5)^('Goal Seek'!$F$27-1)))/(($C18*10^5)^('Goal Seek'!$F$27-1)))^(1/'Goal Seek'!$F$27)</f>
        <v>2870.0603699434168</v>
      </c>
      <c r="O19" s="30">
        <f>(((4.7*10^13)*'Goal Seek'!$I$9*('Goal Seek'!$H$9^0.5)*EXP(-67837/'Part 2a'!N19))/('Goal Seek'!$F$26*6))*('Goal Seek'!$F$20*10^-6)</f>
        <v>4.9742585638109969E-8</v>
      </c>
      <c r="P19" s="26">
        <f>(((P18^'Goal Seek'!$F$27)*(($C19*10^5)^('Goal Seek'!$F$27-1)))/(($C18*10^5)^('Goal Seek'!$F$27-1)))^(1/'Goal Seek'!$F$27)</f>
        <v>2769.0112693203491</v>
      </c>
      <c r="Q19" s="30">
        <f>(((4.7*10^13)*'Goal Seek'!$I$10*('Goal Seek'!$H$10^0.5)*EXP(-67837/'Part 2a'!P19))/('Goal Seek'!$F$26*6))*('Goal Seek'!$F$20*10^-6)</f>
        <v>2.9729151685028552E-8</v>
      </c>
      <c r="R19" s="26">
        <f>(((R18^'Goal Seek'!$F$27)*(($C19*10^5)^('Goal Seek'!$F$27-1)))/(($C18*10^5)^('Goal Seek'!$F$27-1)))^(1/'Goal Seek'!$F$27)</f>
        <v>2665.2957073304588</v>
      </c>
      <c r="S19" s="30">
        <f>(((4.7*10^13)*'Goal Seek'!$I$11*('Goal Seek'!$H$11^0.5)*EXP(-67837/'Part 2a'!R19))/('Goal Seek'!$F$26*6))*('Goal Seek'!$F$20*10^-6)</f>
        <v>1.4052201764891679E-8</v>
      </c>
      <c r="T19" s="26">
        <f>(((T18^'Goal Seek'!$F$27)*(($C19*10^5)^('Goal Seek'!$F$27-1)))/(($C18*10^5)^('Goal Seek'!$F$27-1)))^(1/'Goal Seek'!$F$27)</f>
        <v>2558.8231710649711</v>
      </c>
      <c r="U19" s="30">
        <f>(((4.7*10^13)*'Goal Seek'!$I$12*('Goal Seek'!$H$12^0.5)*EXP(-67837/'Part 2a'!T19))/('Goal Seek'!$F$26*6))*('Goal Seek'!$F$20*10^-6)</f>
        <v>5.6339358806903864E-9</v>
      </c>
      <c r="V19" s="26">
        <f>(((V18^'Goal Seek'!$F$27)*(($C19*10^5)^('Goal Seek'!$F$27-1)))/(($C18*10^5)^('Goal Seek'!$F$27-1)))^(1/'Goal Seek'!$F$27)</f>
        <v>2449.5753133126423</v>
      </c>
      <c r="W19" s="30">
        <f>(((4.7*10^13)*'Goal Seek'!$I$13*('Goal Seek'!$H$13^0.5)*EXP(-67837/'Part 2a'!V19))/('Goal Seek'!$F$26*6))*('Goal Seek'!$F$20*10^-6)</f>
        <v>1.9333760605709366E-9</v>
      </c>
      <c r="X19" s="26">
        <f>(((X18^'Goal Seek'!$F$27)*(($C19*10^5)^('Goal Seek'!$F$27-1)))/(($C18*10^5)^('Goal Seek'!$F$27-1)))^(1/'Goal Seek'!$F$27)</f>
        <v>2337.3600999291684</v>
      </c>
      <c r="Y19" s="30">
        <f>(((4.7*10^13)*'Goal Seek'!$I$14*('Goal Seek'!$H$14^0.5)*EXP(-67837/'Part 2a'!X19))/('Goal Seek'!$F$26*6))*('Goal Seek'!$F$20*10^-6)</f>
        <v>5.6109344210716361E-10</v>
      </c>
      <c r="Z19" s="26">
        <f>(((Z18^'Goal Seek'!$F$27)*(($C19*10^5)^('Goal Seek'!$F$27-1)))/(($C18*10^5)^('Goal Seek'!$F$27-1)))^(1/'Goal Seek'!$F$27)</f>
        <v>2222.072340236778</v>
      </c>
      <c r="AA19" s="30">
        <f>(((4.7*10^13)*'Goal Seek'!$I$15*('Goal Seek'!$H$15^0.5)*EXP(-67837/'Part 2a'!Z19))/('Goal Seek'!$F$26*6))*('Goal Seek'!$F$20*10^-6)</f>
        <v>1.3461429213997099E-10</v>
      </c>
      <c r="AB19" s="26">
        <f>(((AB18^'Goal Seek'!$F$27)*(($C19*10^5)^('Goal Seek'!$F$27-1)))/(($C18*10^5)^('Goal Seek'!$F$27-1)))^(1/'Goal Seek'!$F$27)</f>
        <v>2103.6007278206084</v>
      </c>
      <c r="AC19" s="30">
        <f>(((4.7*10^13)*'Goal Seek'!$I$16*('Goal Seek'!$H$16^0.5)*EXP(-67837/'Part 2a'!AB19))/('Goal Seek'!$F$26*6))*('Goal Seek'!$F$20*10^-6)</f>
        <v>2.5818620470952829E-11</v>
      </c>
    </row>
    <row r="21" spans="2:29" x14ac:dyDescent="0.25">
      <c r="B21" s="49" t="s">
        <v>60</v>
      </c>
      <c r="C21" s="49"/>
      <c r="D21" s="53">
        <f>SUM(E4:E19)</f>
        <v>0</v>
      </c>
      <c r="E21" s="53"/>
      <c r="F21" s="53">
        <f>SUM(G4:G19)</f>
        <v>2.0945904122544114E-7</v>
      </c>
      <c r="G21" s="53"/>
      <c r="H21" s="53">
        <f>SUM(I4:I19)</f>
        <v>2.5278157153315758E-7</v>
      </c>
      <c r="I21" s="53"/>
      <c r="J21" s="53">
        <f>SUM(K4:K19)</f>
        <v>2.6363144031748136E-7</v>
      </c>
      <c r="K21" s="53"/>
      <c r="L21" s="53">
        <f t="shared" ref="L21" si="0">SUM(M4:M19)</f>
        <v>2.5822915829440718E-7</v>
      </c>
      <c r="M21" s="53"/>
      <c r="N21" s="53">
        <f t="shared" ref="N21" si="1">SUM(O4:O19)</f>
        <v>2.4434693898839877E-7</v>
      </c>
      <c r="O21" s="53"/>
      <c r="P21" s="53">
        <f t="shared" ref="P21" si="2">SUM(Q4:Q19)</f>
        <v>1.4253336414346411E-7</v>
      </c>
      <c r="Q21" s="53"/>
      <c r="R21" s="53">
        <f t="shared" ref="R21" si="3">SUM(S4:S19)</f>
        <v>6.5642498001414882E-8</v>
      </c>
      <c r="S21" s="53"/>
      <c r="T21" s="53">
        <f t="shared" ref="T21" si="4">SUM(U4:U19)</f>
        <v>2.5593336718983986E-8</v>
      </c>
      <c r="U21" s="53"/>
      <c r="V21" s="53">
        <f t="shared" ref="V21" si="5">SUM(W4:W19)</f>
        <v>8.5228589419637668E-9</v>
      </c>
      <c r="W21" s="53"/>
      <c r="X21" s="53">
        <f t="shared" ref="X21" si="6">SUM(Y4:Y19)</f>
        <v>2.394491965389576E-9</v>
      </c>
      <c r="Y21" s="53"/>
      <c r="Z21" s="53">
        <f t="shared" ref="Z21" si="7">SUM(AA4:AA19)</f>
        <v>5.5462447537495257E-10</v>
      </c>
      <c r="AA21" s="53"/>
      <c r="AB21" s="53">
        <f t="shared" ref="AB21" si="8">SUM(AC4:AC19)</f>
        <v>1.0238356312222534E-10</v>
      </c>
      <c r="AC21" s="53"/>
    </row>
    <row r="22" spans="2:29" x14ac:dyDescent="0.25">
      <c r="B22" s="49" t="s">
        <v>61</v>
      </c>
      <c r="C22" s="49"/>
      <c r="D22" s="50">
        <f>'Goal Seek'!J4*(SUM('Goal Seek'!D4:G4))</f>
        <v>6.948114096257204E-6</v>
      </c>
      <c r="E22" s="50"/>
      <c r="F22" s="50">
        <f>'Goal Seek'!J5*(SUM('Goal Seek'!D5:G5))</f>
        <v>6.9443765343653996E-6</v>
      </c>
      <c r="G22" s="50"/>
      <c r="H22" s="50">
        <f>'Goal Seek'!J6*(SUM('Goal Seek'!D6:G6))</f>
        <v>6.9406377365073615E-6</v>
      </c>
      <c r="I22" s="50"/>
      <c r="J22" s="50">
        <f>'Goal Seek'!J7*(SUM('Goal Seek'!D7:G7))</f>
        <v>6.9368977020699098E-6</v>
      </c>
      <c r="K22" s="50"/>
      <c r="L22" s="50">
        <f>'Goal Seek'!J8*(SUM('Goal Seek'!D8:G8))</f>
        <v>6.9331564304394573E-6</v>
      </c>
      <c r="M22" s="50"/>
      <c r="N22" s="50">
        <f>'Goal Seek'!J9*(SUM('Goal Seek'!D9:G9))</f>
        <v>6.9294139210020143E-6</v>
      </c>
      <c r="O22" s="50"/>
      <c r="P22" s="50">
        <f>'Goal Seek'!J10*(SUM('Goal Seek'!D10:G10))</f>
        <v>6.9106827851917669E-6</v>
      </c>
      <c r="Q22" s="50"/>
      <c r="R22" s="50">
        <f>'Goal Seek'!J11*(SUM('Goal Seek'!D11:G11))</f>
        <v>6.8919206118739622E-6</v>
      </c>
      <c r="S22" s="50"/>
      <c r="T22" s="50">
        <f>'Goal Seek'!J12*(SUM('Goal Seek'!D12:G12))</f>
        <v>6.8731273238408712E-6</v>
      </c>
      <c r="U22" s="50"/>
      <c r="V22" s="50">
        <f>'Goal Seek'!J13*(SUM('Goal Seek'!D13:G13))</f>
        <v>6.854302843628473E-6</v>
      </c>
      <c r="W22" s="50"/>
      <c r="X22" s="50">
        <f>'Goal Seek'!J14*(SUM('Goal Seek'!D14:G14))</f>
        <v>6.8354470935153885E-6</v>
      </c>
      <c r="Y22" s="50"/>
      <c r="Z22" s="50">
        <f>'Goal Seek'!J15*(SUM('Goal Seek'!D15:G15))</f>
        <v>6.8165599955218171E-6</v>
      </c>
      <c r="AA22" s="50"/>
      <c r="AB22" s="50">
        <f>'Goal Seek'!J16*(SUM('Goal Seek'!D16:G16))</f>
        <v>6.7976414714084564E-6</v>
      </c>
      <c r="AC22" s="50"/>
    </row>
    <row r="23" spans="2:29" x14ac:dyDescent="0.25">
      <c r="B23" s="49" t="s">
        <v>62</v>
      </c>
      <c r="C23" s="49"/>
      <c r="D23" s="47">
        <f>(D21/D22)*10^6</f>
        <v>0</v>
      </c>
      <c r="E23" s="48"/>
      <c r="F23" s="47">
        <f>(F21/F22)*10^6</f>
        <v>30162.396896092589</v>
      </c>
      <c r="G23" s="48"/>
      <c r="H23" s="47">
        <f t="shared" ref="H23" si="9">(H21/H22)*10^6</f>
        <v>36420.510784411184</v>
      </c>
      <c r="I23" s="48"/>
      <c r="J23" s="47">
        <f t="shared" ref="J23" si="10">(J21/J22)*10^6</f>
        <v>38004.227774443905</v>
      </c>
      <c r="K23" s="48"/>
      <c r="L23" s="47">
        <f>(L21/L22)*10^6</f>
        <v>37245.540452639027</v>
      </c>
      <c r="M23" s="48"/>
      <c r="N23" s="47">
        <f t="shared" ref="N23" si="11">(N21/N22)*10^6</f>
        <v>35262.280731682062</v>
      </c>
      <c r="O23" s="48"/>
      <c r="P23" s="47">
        <f t="shared" ref="P23" si="12">(P21/P22)*10^6</f>
        <v>20625.076938690498</v>
      </c>
      <c r="Q23" s="48"/>
      <c r="R23" s="47">
        <f t="shared" ref="R23" si="13">(R21/R22)*10^6</f>
        <v>9524.5580583619376</v>
      </c>
      <c r="S23" s="48"/>
      <c r="T23" s="47">
        <f t="shared" ref="T23" si="14">(T21/T22)*10^6</f>
        <v>3723.6814499577472</v>
      </c>
      <c r="U23" s="48"/>
      <c r="V23" s="47">
        <f t="shared" ref="V23" si="15">(V21/V22)*10^6</f>
        <v>1243.4319195403405</v>
      </c>
      <c r="W23" s="48"/>
      <c r="X23" s="47">
        <f t="shared" ref="X23" si="16">(X21/X22)*10^6</f>
        <v>350.30509820801166</v>
      </c>
      <c r="Y23" s="48"/>
      <c r="Z23" s="47">
        <f t="shared" ref="Z23" si="17">(Z21/Z22)*10^6</f>
        <v>81.364276957778799</v>
      </c>
      <c r="AA23" s="48"/>
      <c r="AB23" s="47">
        <f>(AB21/AB22)*10^6</f>
        <v>15.06163035412512</v>
      </c>
      <c r="AC23" s="48"/>
    </row>
  </sheetData>
  <mergeCells count="56">
    <mergeCell ref="AB2:AC2"/>
    <mergeCell ref="AD2:AE2"/>
    <mergeCell ref="P2:Q2"/>
    <mergeCell ref="R2:S2"/>
    <mergeCell ref="T2:U2"/>
    <mergeCell ref="V2:W2"/>
    <mergeCell ref="X2:Y2"/>
    <mergeCell ref="Z2:AA2"/>
    <mergeCell ref="N2:O2"/>
    <mergeCell ref="B21:C21"/>
    <mergeCell ref="D21:E21"/>
    <mergeCell ref="F21:G21"/>
    <mergeCell ref="H21:I21"/>
    <mergeCell ref="J21:K21"/>
    <mergeCell ref="L21:M21"/>
    <mergeCell ref="N21:O21"/>
    <mergeCell ref="D2:E2"/>
    <mergeCell ref="F2:G2"/>
    <mergeCell ref="H2:I2"/>
    <mergeCell ref="J2:K2"/>
    <mergeCell ref="L2:M2"/>
    <mergeCell ref="P21:Q21"/>
    <mergeCell ref="R21:S21"/>
    <mergeCell ref="T21:U21"/>
    <mergeCell ref="V21:W21"/>
    <mergeCell ref="X21:Y21"/>
    <mergeCell ref="Z21:AA21"/>
    <mergeCell ref="AB21:AC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B23:C23"/>
    <mergeCell ref="D23:E23"/>
    <mergeCell ref="F23:G23"/>
    <mergeCell ref="H23:I23"/>
    <mergeCell ref="J23:K23"/>
    <mergeCell ref="V23:W23"/>
    <mergeCell ref="X23:Y23"/>
    <mergeCell ref="Z23:AA23"/>
    <mergeCell ref="AB23:AC23"/>
    <mergeCell ref="L23:M23"/>
    <mergeCell ref="N23:O23"/>
    <mergeCell ref="P23:Q23"/>
    <mergeCell ref="R23:S23"/>
    <mergeCell ref="T23:U2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E207-3CA1-4A34-9529-B9920D9EEFB3}">
  <dimension ref="B2:X30"/>
  <sheetViews>
    <sheetView tabSelected="1" workbookViewId="0">
      <selection activeCell="J27" sqref="J27"/>
    </sheetView>
  </sheetViews>
  <sheetFormatPr defaultRowHeight="15" x14ac:dyDescent="0.25"/>
  <cols>
    <col min="3" max="3" width="13.5703125" bestFit="1" customWidth="1"/>
    <col min="4" max="4" width="12" bestFit="1" customWidth="1"/>
    <col min="5" max="5" width="16.28515625" bestFit="1" customWidth="1"/>
    <col min="6" max="6" width="12" bestFit="1" customWidth="1"/>
    <col min="7" max="7" width="16.28515625" bestFit="1" customWidth="1"/>
    <col min="8" max="8" width="12" bestFit="1" customWidth="1"/>
    <col min="9" max="9" width="16.28515625" bestFit="1" customWidth="1"/>
    <col min="10" max="10" width="12" bestFit="1" customWidth="1"/>
    <col min="11" max="11" width="16.28515625" bestFit="1" customWidth="1"/>
    <col min="16" max="16" width="10.5703125" bestFit="1" customWidth="1"/>
    <col min="17" max="17" width="15" bestFit="1" customWidth="1"/>
  </cols>
  <sheetData>
    <row r="2" spans="2:24" x14ac:dyDescent="0.25">
      <c r="B2" s="20"/>
      <c r="C2" s="23" t="s">
        <v>63</v>
      </c>
      <c r="D2" s="40">
        <v>1.2</v>
      </c>
      <c r="E2" s="40"/>
      <c r="F2" s="40">
        <v>1.1499999999999999</v>
      </c>
      <c r="G2" s="40"/>
      <c r="H2" s="40">
        <v>1.1000000000000001</v>
      </c>
      <c r="I2" s="40"/>
      <c r="J2" s="40">
        <v>1.05</v>
      </c>
      <c r="K2" s="40"/>
    </row>
    <row r="3" spans="2:24" x14ac:dyDescent="0.25">
      <c r="B3" s="25" t="s">
        <v>37</v>
      </c>
      <c r="C3" s="25" t="s">
        <v>38</v>
      </c>
      <c r="D3" s="25" t="s">
        <v>27</v>
      </c>
      <c r="E3" s="25" t="s">
        <v>39</v>
      </c>
      <c r="F3" s="25" t="s">
        <v>27</v>
      </c>
      <c r="G3" s="25" t="s">
        <v>39</v>
      </c>
      <c r="H3" s="25" t="s">
        <v>27</v>
      </c>
      <c r="I3" s="25" t="s">
        <v>39</v>
      </c>
      <c r="J3" s="25" t="s">
        <v>27</v>
      </c>
      <c r="K3" s="25" t="s">
        <v>39</v>
      </c>
      <c r="T3" s="41" t="s">
        <v>51</v>
      </c>
      <c r="U3" s="41"/>
      <c r="V3" s="41"/>
      <c r="W3" s="41"/>
      <c r="X3" s="41"/>
    </row>
    <row r="4" spans="2:24" x14ac:dyDescent="0.25">
      <c r="B4" s="24">
        <v>0</v>
      </c>
      <c r="C4" s="26">
        <v>10</v>
      </c>
      <c r="D4" s="26">
        <f>Q27</f>
        <v>2064.9259999999999</v>
      </c>
      <c r="E4" s="30">
        <f>(((4.7*10^13)*'Goal Seek'!$I$7*('Goal Seek'!$H$7^0.5)*EXP(-67837/'Part 2b - EGR'!D4))/('Goal Seek'!$F$26*6))*('Goal Seek'!$F$20*10^-6)</f>
        <v>3.8296413434686023E-12</v>
      </c>
      <c r="F4" s="26">
        <f>Q28</f>
        <v>2063.5050000000001</v>
      </c>
      <c r="G4" s="30">
        <f>(((4.7*10^13)*'Goal Seek'!$I$7*('Goal Seek'!$H$7^0.5)*EXP(-67837/'Part 2b - EGR'!F4))/('Goal Seek'!$F$26*6))*('Goal Seek'!$F$20*10^-6)</f>
        <v>3.7439759271148036E-12</v>
      </c>
      <c r="H4" s="26">
        <f>Q29</f>
        <v>2062.6370000000002</v>
      </c>
      <c r="I4" s="30">
        <f>(((4.7*10^13)*'Goal Seek'!$I$7*('Goal Seek'!$H$7^0.5)*EXP(-67837/'Part 2b - EGR'!H4))/('Goal Seek'!$F$26*6))*('Goal Seek'!$F$20*10^-6)</f>
        <v>3.6925371714322326E-12</v>
      </c>
      <c r="J4" s="26">
        <f>Q30</f>
        <v>2062.3310000000001</v>
      </c>
      <c r="K4" s="30">
        <f>(((4.7*10^13)*'Goal Seek'!$I$7*('Goal Seek'!$H$7^0.5)*EXP(-67837/'Part 2b - EGR'!J4))/('Goal Seek'!$F$26*6))*('Goal Seek'!$F$20*10^-6)</f>
        <v>3.6745620204878457E-12</v>
      </c>
      <c r="T4" s="42" t="s">
        <v>8</v>
      </c>
      <c r="U4" s="42"/>
      <c r="V4" s="42"/>
      <c r="W4" s="42"/>
      <c r="X4" s="4">
        <v>259.2</v>
      </c>
    </row>
    <row r="5" spans="2:24" x14ac:dyDescent="0.25">
      <c r="B5" s="21">
        <v>1</v>
      </c>
      <c r="C5" s="26">
        <v>12</v>
      </c>
      <c r="D5" s="26">
        <f>(((D4^'Goal Seek'!$F$27)*(($C5*10^5)^('Goal Seek'!$F$27-1)))/(($C4*10^5)^('Goal Seek'!$F$27-1)))^(1/'Goal Seek'!$F$27)</f>
        <v>2120.3593028325572</v>
      </c>
      <c r="E5" s="30">
        <f>(((4.7*10^13)*'Goal Seek'!$I$7*('Goal Seek'!$H$7^0.5)*EXP(-67837/'Part 2b - EGR'!D5))/('Goal Seek'!$F$26*6))*('Goal Seek'!$F$20*10^-6)</f>
        <v>9.0397656534598694E-12</v>
      </c>
      <c r="F5" s="26">
        <f>(((F4^'Goal Seek'!$F$27)*(($C5*10^5)^('Goal Seek'!$F$27-1)))/(($C4*10^5)^('Goal Seek'!$F$27-1)))^(1/'Goal Seek'!$F$27)</f>
        <v>2118.9001558368159</v>
      </c>
      <c r="G5" s="30">
        <f>(((4.7*10^13)*'Goal Seek'!$I$7*('Goal Seek'!$H$7^0.5)*EXP(-67837/'Part 2b - EGR'!F5))/('Goal Seek'!$F$26*6))*('Goal Seek'!$F$20*10^-6)</f>
        <v>8.8427831812784206E-12</v>
      </c>
      <c r="H5" s="26">
        <f>(((H4^'Goal Seek'!$F$27)*(($C5*10^5)^('Goal Seek'!$F$27-1)))/(($C4*10^5)^('Goal Seek'!$F$27-1)))^(1/'Goal Seek'!$F$27)</f>
        <v>2118.0088542236554</v>
      </c>
      <c r="I5" s="30">
        <f>(((4.7*10^13)*'Goal Seek'!$I$7*('Goal Seek'!$H$7^0.5)*EXP(-67837/'Part 2b - EGR'!H5))/('Goal Seek'!$F$26*6))*('Goal Seek'!$F$20*10^-6)</f>
        <v>8.7244463941178003E-12</v>
      </c>
      <c r="J5" s="26">
        <f>(((J4^'Goal Seek'!$F$27)*(($C5*10^5)^('Goal Seek'!$F$27-1)))/(($C4*10^5)^('Goal Seek'!$F$27-1)))^(1/'Goal Seek'!$F$27)</f>
        <v>2117.6946395996583</v>
      </c>
      <c r="K5" s="30">
        <f>(((4.7*10^13)*'Goal Seek'!$I$7*('Goal Seek'!$H$7^0.5)*EXP(-67837/'Part 2b - EGR'!J5))/('Goal Seek'!$F$26*6))*('Goal Seek'!$F$20*10^-6)</f>
        <v>8.6830837530078815E-12</v>
      </c>
      <c r="T5" s="43" t="s">
        <v>10</v>
      </c>
      <c r="U5" s="44"/>
      <c r="V5" s="44"/>
      <c r="W5" s="45"/>
      <c r="X5" s="4">
        <v>393.5</v>
      </c>
    </row>
    <row r="6" spans="2:24" x14ac:dyDescent="0.25">
      <c r="B6" s="21">
        <v>2</v>
      </c>
      <c r="C6" s="26">
        <v>14</v>
      </c>
      <c r="D6" s="26">
        <f>(((D5^'Goal Seek'!$F$27)*(($C6*10^5)^('Goal Seek'!$F$27-1)))/(($C5*10^5)^('Goal Seek'!$F$27-1)))^(1/'Goal Seek'!$F$27)</f>
        <v>2168.3868821167753</v>
      </c>
      <c r="E6" s="30">
        <f>(((4.7*10^13)*'Goal Seek'!$I$7*('Goal Seek'!$H$7^0.5)*EXP(-67837/'Part 2b - EGR'!D6))/('Goal Seek'!$F$26*6))*('Goal Seek'!$F$20*10^-6)</f>
        <v>1.8361378950355275E-11</v>
      </c>
      <c r="F6" s="26">
        <f>(((F5^'Goal Seek'!$F$27)*(($C6*10^5)^('Goal Seek'!$F$27-1)))/(($C5*10^5)^('Goal Seek'!$F$27-1)))^(1/'Goal Seek'!$F$27)</f>
        <v>2166.8946844498896</v>
      </c>
      <c r="G6" s="30">
        <f>(((4.7*10^13)*'Goal Seek'!$I$7*('Goal Seek'!$H$7^0.5)*EXP(-67837/'Part 2b - EGR'!F6))/('Goal Seek'!$F$26*6))*('Goal Seek'!$F$20*10^-6)</f>
        <v>1.7970039192119098E-11</v>
      </c>
      <c r="H6" s="26">
        <f>(((H5^'Goal Seek'!$F$27)*(($C6*10^5)^('Goal Seek'!$F$27-1)))/(($C5*10^5)^('Goal Seek'!$F$27-1)))^(1/'Goal Seek'!$F$27)</f>
        <v>2165.9831942494297</v>
      </c>
      <c r="I6" s="30">
        <f>(((4.7*10^13)*'Goal Seek'!$I$7*('Goal Seek'!$H$7^0.5)*EXP(-67837/'Part 2b - EGR'!H6))/('Goal Seek'!$F$26*6))*('Goal Seek'!$F$20*10^-6)</f>
        <v>1.7734850106027062E-11</v>
      </c>
      <c r="J6" s="26">
        <f>(((J5^'Goal Seek'!$F$27)*(($C6*10^5)^('Goal Seek'!$F$27-1)))/(($C5*10^5)^('Goal Seek'!$F$27-1)))^(1/'Goal Seek'!$F$27)</f>
        <v>2165.6618624506491</v>
      </c>
      <c r="K6" s="30">
        <f>(((4.7*10^13)*'Goal Seek'!$I$7*('Goal Seek'!$H$7^0.5)*EXP(-67837/'Part 2b - EGR'!J6))/('Goal Seek'!$F$26*6))*('Goal Seek'!$F$20*10^-6)</f>
        <v>1.7652627084393085E-11</v>
      </c>
      <c r="T6" s="43" t="s">
        <v>12</v>
      </c>
      <c r="U6" s="44"/>
      <c r="V6" s="44"/>
      <c r="W6" s="45"/>
      <c r="X6" s="4">
        <v>241.8</v>
      </c>
    </row>
    <row r="7" spans="2:24" x14ac:dyDescent="0.25">
      <c r="B7" s="21">
        <v>3</v>
      </c>
      <c r="C7" s="26">
        <v>16</v>
      </c>
      <c r="D7" s="26">
        <f>(((D6^'Goal Seek'!$F$27)*(($C7*10^5)^('Goal Seek'!$F$27-1)))/(($C6*10^5)^('Goal Seek'!$F$27-1)))^(1/'Goal Seek'!$F$27)</f>
        <v>2210.8687018095179</v>
      </c>
      <c r="E7" s="30">
        <f>(((4.7*10^13)*'Goal Seek'!$I$7*('Goal Seek'!$H$7^0.5)*EXP(-67837/'Part 2b - EGR'!D7))/('Goal Seek'!$F$26*6))*('Goal Seek'!$F$20*10^-6)</f>
        <v>3.349451621291717E-11</v>
      </c>
      <c r="F7" s="26">
        <f>(((F6^'Goal Seek'!$F$27)*(($C7*10^5)^('Goal Seek'!$F$27-1)))/(($C6*10^5)^('Goal Seek'!$F$27-1)))^(1/'Goal Seek'!$F$27)</f>
        <v>2209.3472698428154</v>
      </c>
      <c r="G7" s="30">
        <f>(((4.7*10^13)*'Goal Seek'!$I$7*('Goal Seek'!$H$7^0.5)*EXP(-67837/'Part 2b - EGR'!F7))/('Goal Seek'!$F$26*6))*('Goal Seek'!$F$20*10^-6)</f>
        <v>3.2794213549366478E-11</v>
      </c>
      <c r="H7" s="26">
        <f>(((H6^'Goal Seek'!$F$27)*(($C7*10^5)^('Goal Seek'!$F$27-1)))/(($C6*10^5)^('Goal Seek'!$F$27-1)))^(1/'Goal Seek'!$F$27)</f>
        <v>2208.4179222375415</v>
      </c>
      <c r="I7" s="30">
        <f>(((4.7*10^13)*'Goal Seek'!$I$7*('Goal Seek'!$H$7^0.5)*EXP(-67837/'Part 2b - EGR'!H7))/('Goal Seek'!$F$26*6))*('Goal Seek'!$F$20*10^-6)</f>
        <v>3.2373201980333452E-11</v>
      </c>
      <c r="J7" s="26">
        <f>(((J6^'Goal Seek'!$F$27)*(($C7*10^5)^('Goal Seek'!$F$27-1)))/(($C6*10^5)^('Goal Seek'!$F$27-1)))^(1/'Goal Seek'!$F$27)</f>
        <v>2208.0902950863706</v>
      </c>
      <c r="K7" s="30">
        <f>(((4.7*10^13)*'Goal Seek'!$I$7*('Goal Seek'!$H$7^0.5)*EXP(-67837/'Part 2b - EGR'!J7))/('Goal Seek'!$F$26*6))*('Goal Seek'!$F$20*10^-6)</f>
        <v>3.2225989455327203E-11</v>
      </c>
      <c r="T7" s="43" t="s">
        <v>11</v>
      </c>
      <c r="U7" s="44"/>
      <c r="V7" s="44"/>
      <c r="W7" s="45"/>
      <c r="X7" s="4">
        <v>0</v>
      </c>
    </row>
    <row r="8" spans="2:24" x14ac:dyDescent="0.25">
      <c r="B8" s="21">
        <v>4</v>
      </c>
      <c r="C8" s="26">
        <v>18</v>
      </c>
      <c r="D8" s="26">
        <f>(((D7^'Goal Seek'!$F$27)*(($C8*10^5)^('Goal Seek'!$F$27-1)))/(($C7*10^5)^('Goal Seek'!$F$27-1)))^(1/'Goal Seek'!$F$27)</f>
        <v>2249.030625901119</v>
      </c>
      <c r="E8" s="30">
        <f>(((4.7*10^13)*'Goal Seek'!$I$7*('Goal Seek'!$H$7^0.5)*EXP(-67837/'Part 2b - EGR'!D8))/('Goal Seek'!$F$26*6))*('Goal Seek'!$F$20*10^-6)</f>
        <v>5.6374841291229186E-11</v>
      </c>
      <c r="F8" s="26">
        <f>(((F7^'Goal Seek'!$F$27)*(($C8*10^5)^('Goal Seek'!$F$27-1)))/(($C7*10^5)^('Goal Seek'!$F$27-1)))^(1/'Goal Seek'!$F$27)</f>
        <v>2247.4829324150523</v>
      </c>
      <c r="G8" s="30">
        <f>(((4.7*10^13)*'Goal Seek'!$I$7*('Goal Seek'!$H$7^0.5)*EXP(-67837/'Part 2b - EGR'!F8))/('Goal Seek'!$F$26*6))*('Goal Seek'!$F$20*10^-6)</f>
        <v>5.5215950356845696E-11</v>
      </c>
      <c r="H8" s="26">
        <f>(((H7^'Goal Seek'!$F$27)*(($C8*10^5)^('Goal Seek'!$F$27-1)))/(($C7*10^5)^('Goal Seek'!$F$27-1)))^(1/'Goal Seek'!$F$27)</f>
        <v>2246.5375432905612</v>
      </c>
      <c r="I8" s="30">
        <f>(((4.7*10^13)*'Goal Seek'!$I$7*('Goal Seek'!$H$7^0.5)*EXP(-67837/'Part 2b - EGR'!H8))/('Goal Seek'!$F$26*6))*('Goal Seek'!$F$20*10^-6)</f>
        <v>5.4519040750987847E-11</v>
      </c>
      <c r="J8" s="26">
        <f>(((J7^'Goal Seek'!$F$27)*(($C8*10^5)^('Goal Seek'!$F$27-1)))/(($C7*10^5)^('Goal Seek'!$F$27-1)))^(1/'Goal Seek'!$F$27)</f>
        <v>2246.2042609494356</v>
      </c>
      <c r="K8" s="30">
        <f>(((4.7*10^13)*'Goal Seek'!$I$7*('Goal Seek'!$H$7^0.5)*EXP(-67837/'Part 2b - EGR'!J8))/('Goal Seek'!$F$26*6))*('Goal Seek'!$F$20*10^-6)</f>
        <v>5.4275320467955284E-11</v>
      </c>
      <c r="T8" s="42" t="s">
        <v>24</v>
      </c>
      <c r="U8" s="42"/>
      <c r="V8" s="42"/>
      <c r="W8" s="42"/>
      <c r="X8" s="4">
        <v>0</v>
      </c>
    </row>
    <row r="9" spans="2:24" x14ac:dyDescent="0.25">
      <c r="B9" s="21">
        <v>5</v>
      </c>
      <c r="C9" s="26">
        <v>20</v>
      </c>
      <c r="D9" s="26">
        <f>(((D8^'Goal Seek'!$F$27)*(($C9*10^5)^('Goal Seek'!$F$27-1)))/(($C8*10^5)^('Goal Seek'!$F$27-1)))^(1/'Goal Seek'!$F$27)</f>
        <v>2283.7254603510837</v>
      </c>
      <c r="E9" s="30">
        <f>(((4.7*10^13)*'Goal Seek'!$I$7*('Goal Seek'!$H$7^0.5)*EXP(-67837/'Part 2b - EGR'!D9))/('Goal Seek'!$F$26*6))*('Goal Seek'!$F$20*10^-6)</f>
        <v>8.9144810510072756E-11</v>
      </c>
      <c r="F9" s="26">
        <f>(((F8^'Goal Seek'!$F$27)*(($C9*10^5)^('Goal Seek'!$F$27-1)))/(($C8*10^5)^('Goal Seek'!$F$27-1)))^(1/'Goal Seek'!$F$27)</f>
        <v>2282.1538912589408</v>
      </c>
      <c r="G9" s="30">
        <f>(((4.7*10^13)*'Goal Seek'!$I$7*('Goal Seek'!$H$7^0.5)*EXP(-67837/'Part 2b - EGR'!F9))/('Goal Seek'!$F$26*6))*('Goal Seek'!$F$20*10^-6)</f>
        <v>8.7339827731799608E-11</v>
      </c>
      <c r="H9" s="26">
        <f>(((H8^'Goal Seek'!$F$27)*(($C9*10^5)^('Goal Seek'!$F$27-1)))/(($C8*10^5)^('Goal Seek'!$F$27-1)))^(1/'Goal Seek'!$F$27)</f>
        <v>2281.1939180203926</v>
      </c>
      <c r="I9" s="30">
        <f>(((4.7*10^13)*'Goal Seek'!$I$7*('Goal Seek'!$H$7^0.5)*EXP(-67837/'Part 2b - EGR'!H9))/('Goal Seek'!$F$26*6))*('Goal Seek'!$F$20*10^-6)</f>
        <v>8.6254108525340797E-11</v>
      </c>
      <c r="J9" s="26">
        <f>(((J8^'Goal Seek'!$F$27)*(($C9*10^5)^('Goal Seek'!$F$27-1)))/(($C8*10^5)^('Goal Seek'!$F$27-1)))^(1/'Goal Seek'!$F$27)</f>
        <v>2280.8554942750029</v>
      </c>
      <c r="K9" s="30">
        <f>(((4.7*10^13)*'Goal Seek'!$I$7*('Goal Seek'!$H$7^0.5)*EXP(-67837/'Part 2b - EGR'!J9))/('Goal Seek'!$F$26*6))*('Goal Seek'!$F$20*10^-6)</f>
        <v>8.587436576396808E-11</v>
      </c>
    </row>
    <row r="10" spans="2:24" x14ac:dyDescent="0.25">
      <c r="B10" s="21">
        <v>6</v>
      </c>
      <c r="C10" s="26">
        <v>22</v>
      </c>
      <c r="D10" s="26">
        <f>(((D9^'Goal Seek'!$F$27)*(($C10*10^5)^('Goal Seek'!$F$27-1)))/(($C9*10^5)^('Goal Seek'!$F$27-1)))^(1/'Goal Seek'!$F$27)</f>
        <v>2315.5716057377276</v>
      </c>
      <c r="E10" s="30">
        <f>(((4.7*10^13)*'Goal Seek'!$I$7*('Goal Seek'!$H$7^0.5)*EXP(-67837/'Part 2b - EGR'!D10))/('Goal Seek'!$F$26*6))*('Goal Seek'!$F$20*10^-6)</f>
        <v>1.3412735074662611E-10</v>
      </c>
      <c r="F10" s="26">
        <f>(((F9^'Goal Seek'!$F$27)*(($C10*10^5)^('Goal Seek'!$F$27-1)))/(($C9*10^5)^('Goal Seek'!$F$27-1)))^(1/'Goal Seek'!$F$27)</f>
        <v>2313.9781213940964</v>
      </c>
      <c r="G10" s="30">
        <f>(((4.7*10^13)*'Goal Seek'!$I$7*('Goal Seek'!$H$7^0.5)*EXP(-67837/'Part 2b - EGR'!F10))/('Goal Seek'!$F$26*6))*('Goal Seek'!$F$20*10^-6)</f>
        <v>1.3144854696374386E-10</v>
      </c>
      <c r="H10" s="26">
        <f>(((H9^'Goal Seek'!$F$27)*(($C10*10^5)^('Goal Seek'!$F$27-1)))/(($C9*10^5)^('Goal Seek'!$F$27-1)))^(1/'Goal Seek'!$F$27)</f>
        <v>2313.0047614994669</v>
      </c>
      <c r="I10" s="30">
        <f>(((4.7*10^13)*'Goal Seek'!$I$7*('Goal Seek'!$H$7^0.5)*EXP(-67837/'Part 2b - EGR'!H10))/('Goal Seek'!$F$26*6))*('Goal Seek'!$F$20*10^-6)</f>
        <v>1.2983684796087896E-10</v>
      </c>
      <c r="J10" s="26">
        <f>(((J9^'Goal Seek'!$F$27)*(($C10*10^5)^('Goal Seek'!$F$27-1)))/(($C9*10^5)^('Goal Seek'!$F$27-1)))^(1/'Goal Seek'!$F$27)</f>
        <v>2312.6616184951381</v>
      </c>
      <c r="K10" s="30">
        <f>(((4.7*10^13)*'Goal Seek'!$I$7*('Goal Seek'!$H$7^0.5)*EXP(-67837/'Part 2b - EGR'!J10))/('Goal Seek'!$F$26*6))*('Goal Seek'!$F$20*10^-6)</f>
        <v>1.2927307204060772E-10</v>
      </c>
    </row>
    <row r="11" spans="2:24" x14ac:dyDescent="0.25">
      <c r="B11" s="21">
        <v>7</v>
      </c>
      <c r="C11" s="26">
        <v>24</v>
      </c>
      <c r="D11" s="26">
        <f>(((D10^'Goal Seek'!$F$27)*(($C11*10^5)^('Goal Seek'!$F$27-1)))/(($C10*10^5)^('Goal Seek'!$F$27-1)))^(1/'Goal Seek'!$F$27)</f>
        <v>2345.0324733046027</v>
      </c>
      <c r="E11" s="30">
        <f>(((4.7*10^13)*'Goal Seek'!$I$7*('Goal Seek'!$H$7^0.5)*EXP(-67837/'Part 2b - EGR'!D11))/('Goal Seek'!$F$26*6))*('Goal Seek'!$F$20*10^-6)</f>
        <v>1.9380224016000374E-10</v>
      </c>
      <c r="F11" s="26">
        <f>(((F10^'Goal Seek'!$F$27)*(($C11*10^5)^('Goal Seek'!$F$27-1)))/(($C10*10^5)^('Goal Seek'!$F$27-1)))^(1/'Goal Seek'!$F$27)</f>
        <v>2343.4187151628726</v>
      </c>
      <c r="G11" s="30">
        <f>(((4.7*10^13)*'Goal Seek'!$I$7*('Goal Seek'!$H$7^0.5)*EXP(-67837/'Part 2b - EGR'!F11))/('Goal Seek'!$F$26*6))*('Goal Seek'!$F$20*10^-6)</f>
        <v>1.8997974841337018E-10</v>
      </c>
      <c r="H11" s="26">
        <f>(((H10^'Goal Seek'!$F$27)*(($C11*10^5)^('Goal Seek'!$F$27-1)))/(($C10*10^5)^('Goal Seek'!$F$27-1)))^(1/'Goal Seek'!$F$27)</f>
        <v>2342.4329712733434</v>
      </c>
      <c r="I11" s="30">
        <f>(((4.7*10^13)*'Goal Seek'!$I$7*('Goal Seek'!$H$7^0.5)*EXP(-67837/'Part 2b - EGR'!H11))/('Goal Seek'!$F$26*6))*('Goal Seek'!$F$20*10^-6)</f>
        <v>1.8767948063091994E-10</v>
      </c>
      <c r="J11" s="26">
        <f>(((J10^'Goal Seek'!$F$27)*(($C11*10^5)^('Goal Seek'!$F$27-1)))/(($C10*10^5)^('Goal Seek'!$F$27-1)))^(1/'Goal Seek'!$F$27)</f>
        <v>2342.0854624827948</v>
      </c>
      <c r="K11" s="30">
        <f>(((4.7*10^13)*'Goal Seek'!$I$7*('Goal Seek'!$H$7^0.5)*EXP(-67837/'Part 2b - EGR'!J11))/('Goal Seek'!$F$26*6))*('Goal Seek'!$F$20*10^-6)</f>
        <v>1.8687475734371921E-10</v>
      </c>
    </row>
    <row r="12" spans="2:24" x14ac:dyDescent="0.25">
      <c r="B12" s="21">
        <v>8</v>
      </c>
      <c r="C12" s="26">
        <v>26</v>
      </c>
      <c r="D12" s="26">
        <f>(((D11^'Goal Seek'!$F$27)*(($C12*10^5)^('Goal Seek'!$F$27-1)))/(($C11*10^5)^('Goal Seek'!$F$27-1)))^(1/'Goal Seek'!$F$27)</f>
        <v>2372.4647335333648</v>
      </c>
      <c r="E12" s="30">
        <f>(((4.7*10^13)*'Goal Seek'!$I$7*('Goal Seek'!$H$7^0.5)*EXP(-67837/'Part 2b - EGR'!D12))/('Goal Seek'!$F$26*6))*('Goal Seek'!$F$20*10^-6)</f>
        <v>2.7078510408965451E-10</v>
      </c>
      <c r="F12" s="26">
        <f>(((F11^'Goal Seek'!$F$27)*(($C12*10^5)^('Goal Seek'!$F$27-1)))/(($C11*10^5)^('Goal Seek'!$F$27-1)))^(1/'Goal Seek'!$F$27)</f>
        <v>2370.832097600477</v>
      </c>
      <c r="G12" s="30">
        <f>(((4.7*10^13)*'Goal Seek'!$I$7*('Goal Seek'!$H$7^0.5)*EXP(-67837/'Part 2b - EGR'!F12))/('Goal Seek'!$F$26*6))*('Goal Seek'!$F$20*10^-6)</f>
        <v>2.655053769086803E-10</v>
      </c>
      <c r="H12" s="26">
        <f>(((H11^'Goal Seek'!$F$27)*(($C12*10^5)^('Goal Seek'!$F$27-1)))/(($C11*10^5)^('Goal Seek'!$F$27-1)))^(1/'Goal Seek'!$F$27)</f>
        <v>2369.8348224493511</v>
      </c>
      <c r="I12" s="30">
        <f>(((4.7*10^13)*'Goal Seek'!$I$7*('Goal Seek'!$H$7^0.5)*EXP(-67837/'Part 2b - EGR'!H12))/('Goal Seek'!$F$26*6))*('Goal Seek'!$F$20*10^-6)</f>
        <v>2.623275954288703E-10</v>
      </c>
      <c r="J12" s="26">
        <f>(((J11^'Goal Seek'!$F$27)*(($C12*10^5)^('Goal Seek'!$F$27-1)))/(($C11*10^5)^('Goal Seek'!$F$27-1)))^(1/'Goal Seek'!$F$27)</f>
        <v>2369.4832484905492</v>
      </c>
      <c r="K12" s="30">
        <f>(((4.7*10^13)*'Goal Seek'!$I$7*('Goal Seek'!$H$7^0.5)*EXP(-67837/'Part 2b - EGR'!J12))/('Goal Seek'!$F$26*6))*('Goal Seek'!$F$20*10^-6)</f>
        <v>2.6121577760626093E-10</v>
      </c>
    </row>
    <row r="13" spans="2:24" x14ac:dyDescent="0.25">
      <c r="B13" s="21">
        <v>9</v>
      </c>
      <c r="C13" s="26">
        <v>28</v>
      </c>
      <c r="D13" s="26">
        <f>(((D12^'Goal Seek'!$F$27)*(($C13*10^5)^('Goal Seek'!$F$27-1)))/(($C12*10^5)^('Goal Seek'!$F$27-1)))^(1/'Goal Seek'!$F$27)</f>
        <v>2398.1490525962613</v>
      </c>
      <c r="E13" s="30">
        <f>(((4.7*10^13)*'Goal Seek'!$I$7*('Goal Seek'!$H$7^0.5)*EXP(-67837/'Part 2b - EGR'!D13))/('Goal Seek'!$F$26*6))*('Goal Seek'!$F$20*10^-6)</f>
        <v>3.6780882334434898E-10</v>
      </c>
      <c r="F13" s="26">
        <f>(((F12^'Goal Seek'!$F$27)*(($C13*10^5)^('Goal Seek'!$F$27-1)))/(($C12*10^5)^('Goal Seek'!$F$27-1)))^(1/'Goal Seek'!$F$27)</f>
        <v>2396.4987417358511</v>
      </c>
      <c r="G13" s="30">
        <f>(((4.7*10^13)*'Goal Seek'!$I$7*('Goal Seek'!$H$7^0.5)*EXP(-67837/'Part 2b - EGR'!F13))/('Goal Seek'!$F$26*6))*('Goal Seek'!$F$20*10^-6)</f>
        <v>3.6071340360501843E-10</v>
      </c>
      <c r="H13" s="26">
        <f>(((H12^'Goal Seek'!$F$27)*(($C13*10^5)^('Goal Seek'!$F$27-1)))/(($C12*10^5)^('Goal Seek'!$F$27-1)))^(1/'Goal Seek'!$F$27)</f>
        <v>2395.4906700772735</v>
      </c>
      <c r="I13" s="30">
        <f>(((4.7*10^13)*'Goal Seek'!$I$7*('Goal Seek'!$H$7^0.5)*EXP(-67837/'Part 2b - EGR'!H13))/('Goal Seek'!$F$26*6))*('Goal Seek'!$F$20*10^-6)</f>
        <v>3.564420597990058E-10</v>
      </c>
      <c r="J13" s="26">
        <f>(((J12^'Goal Seek'!$F$27)*(($C13*10^5)^('Goal Seek'!$F$27-1)))/(($C12*10^5)^('Goal Seek'!$F$27-1)))^(1/'Goal Seek'!$F$27)</f>
        <v>2395.1352899764438</v>
      </c>
      <c r="K13" s="30">
        <f>(((4.7*10^13)*'Goal Seek'!$I$7*('Goal Seek'!$H$7^0.5)*EXP(-67837/'Part 2b - EGR'!J13))/('Goal Seek'!$F$26*6))*('Goal Seek'!$F$20*10^-6)</f>
        <v>3.5494750424890997E-10</v>
      </c>
    </row>
    <row r="14" spans="2:24" x14ac:dyDescent="0.25">
      <c r="B14" s="21">
        <v>10</v>
      </c>
      <c r="C14" s="26">
        <v>30</v>
      </c>
      <c r="D14" s="26">
        <f>(((D13^'Goal Seek'!$F$27)*(($C14*10^5)^('Goal Seek'!$F$27-1)))/(($C13*10^5)^('Goal Seek'!$F$27-1)))^(1/'Goal Seek'!$F$27)</f>
        <v>2422.3104521098808</v>
      </c>
      <c r="E14" s="30">
        <f>(((4.7*10^13)*'Goal Seek'!$I$7*('Goal Seek'!$H$7^0.5)*EXP(-67837/'Part 2b - EGR'!D14))/('Goal Seek'!$F$26*6))*('Goal Seek'!$F$20*10^-6)</f>
        <v>4.8770711379916023E-10</v>
      </c>
      <c r="F14" s="26">
        <f>(((F13^'Goal Seek'!$F$27)*(($C14*10^5)^('Goal Seek'!$F$27-1)))/(($C13*10^5)^('Goal Seek'!$F$27-1)))^(1/'Goal Seek'!$F$27)</f>
        <v>2420.6435143346521</v>
      </c>
      <c r="G14" s="30">
        <f>(((4.7*10^13)*'Goal Seek'!$I$7*('Goal Seek'!$H$7^0.5)*EXP(-67837/'Part 2b - EGR'!F14))/('Goal Seek'!$F$26*6))*('Goal Seek'!$F$20*10^-6)</f>
        <v>4.783916718581097E-10</v>
      </c>
      <c r="H14" s="26">
        <f>(((H13^'Goal Seek'!$F$27)*(($C14*10^5)^('Goal Seek'!$F$27-1)))/(($C13*10^5)^('Goal Seek'!$F$27-1)))^(1/'Goal Seek'!$F$27)</f>
        <v>2419.6252863340178</v>
      </c>
      <c r="I14" s="30">
        <f>(((4.7*10^13)*'Goal Seek'!$I$7*('Goal Seek'!$H$7^0.5)*EXP(-67837/'Part 2b - EGR'!H14))/('Goal Seek'!$F$26*6))*('Goal Seek'!$F$20*10^-6)</f>
        <v>4.727830265111217E-10</v>
      </c>
      <c r="J14" s="26">
        <f>(((J13^'Goal Seek'!$F$27)*(($C14*10^5)^('Goal Seek'!$F$27-1)))/(($C13*10^5)^('Goal Seek'!$F$27-1)))^(1/'Goal Seek'!$F$27)</f>
        <v>2419.2663257715872</v>
      </c>
      <c r="K14" s="30">
        <f>(((4.7*10^13)*'Goal Seek'!$I$7*('Goal Seek'!$H$7^0.5)*EXP(-67837/'Part 2b - EGR'!J14))/('Goal Seek'!$F$26*6))*('Goal Seek'!$F$20*10^-6)</f>
        <v>4.708203873636596E-10</v>
      </c>
    </row>
    <row r="15" spans="2:24" x14ac:dyDescent="0.25">
      <c r="B15" s="21">
        <v>11</v>
      </c>
      <c r="C15" s="26">
        <v>32</v>
      </c>
      <c r="D15" s="26">
        <f>(((D14^'Goal Seek'!$F$27)*(($C15*10^5)^('Goal Seek'!$F$27-1)))/(($C14*10^5)^('Goal Seek'!$F$27-1)))^(1/'Goal Seek'!$F$27)</f>
        <v>2445.1322438749589</v>
      </c>
      <c r="E15" s="30">
        <f>(((4.7*10^13)*'Goal Seek'!$I$7*('Goal Seek'!$H$7^0.5)*EXP(-67837/'Part 2b - EGR'!D15))/('Goal Seek'!$F$26*6))*('Goal Seek'!$F$20*10^-6)</f>
        <v>6.3340003449574228E-10</v>
      </c>
      <c r="F15" s="26">
        <f>(((F14^'Goal Seek'!$F$27)*(($C15*10^5)^('Goal Seek'!$F$27-1)))/(($C14*10^5)^('Goal Seek'!$F$27-1)))^(1/'Goal Seek'!$F$27)</f>
        <v>2443.4496010497196</v>
      </c>
      <c r="G15" s="30">
        <f>(((4.7*10^13)*'Goal Seek'!$I$7*('Goal Seek'!$H$7^0.5)*EXP(-67837/'Part 2b - EGR'!F15))/('Goal Seek'!$F$26*6))*('Goal Seek'!$F$20*10^-6)</f>
        <v>6.2141363170410049E-10</v>
      </c>
      <c r="H15" s="26">
        <f>(((H14^'Goal Seek'!$F$27)*(($C15*10^5)^('Goal Seek'!$F$27-1)))/(($C14*10^5)^('Goal Seek'!$F$27-1)))^(1/'Goal Seek'!$F$27)</f>
        <v>2442.4217798165664</v>
      </c>
      <c r="I15" s="30">
        <f>(((4.7*10^13)*'Goal Seek'!$I$7*('Goal Seek'!$H$7^0.5)*EXP(-67837/'Part 2b - EGR'!H15))/('Goal Seek'!$F$26*6))*('Goal Seek'!$F$20*10^-6)</f>
        <v>6.141958050101605E-10</v>
      </c>
      <c r="J15" s="26">
        <f>(((J14^'Goal Seek'!$F$27)*(($C15*10^5)^('Goal Seek'!$F$27-1)))/(($C14*10^5)^('Goal Seek'!$F$27-1)))^(1/'Goal Seek'!$F$27)</f>
        <v>2442.0594373081099</v>
      </c>
      <c r="K15" s="30">
        <f>(((4.7*10^13)*'Goal Seek'!$I$7*('Goal Seek'!$H$7^0.5)*EXP(-67837/'Part 2b - EGR'!J15))/('Goal Seek'!$F$26*6))*('Goal Seek'!$F$20*10^-6)</f>
        <v>6.1166987506076012E-10</v>
      </c>
    </row>
    <row r="16" spans="2:24" x14ac:dyDescent="0.25">
      <c r="B16" s="21">
        <v>12</v>
      </c>
      <c r="C16" s="26">
        <v>34</v>
      </c>
      <c r="D16" s="26">
        <f>(((D15^'Goal Seek'!$F$27)*(($C16*10^5)^('Goal Seek'!$F$27-1)))/(($C15*10^5)^('Goal Seek'!$F$27-1)))^(1/'Goal Seek'!$F$27)</f>
        <v>2466.7658363822147</v>
      </c>
      <c r="E16" s="30">
        <f>(((4.7*10^13)*'Goal Seek'!$I$7*('Goal Seek'!$H$7^0.5)*EXP(-67837/'Part 2b - EGR'!D16))/('Goal Seek'!$F$26*6))*('Goal Seek'!$F$20*10^-6)</f>
        <v>8.0788119628734703E-10</v>
      </c>
      <c r="F16" s="26">
        <f>(((F15^'Goal Seek'!$F$27)*(($C16*10^5)^('Goal Seek'!$F$27-1)))/(($C15*10^5)^('Goal Seek'!$F$27-1)))^(1/'Goal Seek'!$F$27)</f>
        <v>2465.0683061784694</v>
      </c>
      <c r="G16" s="30">
        <f>(((4.7*10^13)*'Goal Seek'!$I$7*('Goal Seek'!$H$7^0.5)*EXP(-67837/'Part 2b - EGR'!F16))/('Goal Seek'!$F$26*6))*('Goal Seek'!$F$20*10^-6)</f>
        <v>7.9272574123015763E-10</v>
      </c>
      <c r="H16" s="26">
        <f>(((H15^'Goal Seek'!$F$27)*(($C16*10^5)^('Goal Seek'!$F$27-1)))/(($C15*10^5)^('Goal Seek'!$F$27-1)))^(1/'Goal Seek'!$F$27)</f>
        <v>2464.0313911771636</v>
      </c>
      <c r="I16" s="30">
        <f>(((4.7*10^13)*'Goal Seek'!$I$7*('Goal Seek'!$H$7^0.5)*EXP(-67837/'Part 2b - EGR'!H16))/('Goal Seek'!$F$26*6))*('Goal Seek'!$F$20*10^-6)</f>
        <v>7.8359837937192061E-10</v>
      </c>
      <c r="J16" s="26">
        <f>(((J15^'Goal Seek'!$F$27)*(($C16*10^5)^('Goal Seek'!$F$27-1)))/(($C15*10^5)^('Goal Seek'!$F$27-1)))^(1/'Goal Seek'!$F$27)</f>
        <v>2463.6658428011301</v>
      </c>
      <c r="K16" s="30">
        <f>(((4.7*10^13)*'Goal Seek'!$I$7*('Goal Seek'!$H$7^0.5)*EXP(-67837/'Part 2b - EGR'!J16))/('Goal Seek'!$F$26*6))*('Goal Seek'!$F$20*10^-6)</f>
        <v>7.8040397231972971E-10</v>
      </c>
    </row>
    <row r="17" spans="2:17" x14ac:dyDescent="0.25">
      <c r="B17" s="21">
        <v>13</v>
      </c>
      <c r="C17" s="26">
        <v>36</v>
      </c>
      <c r="D17" s="26">
        <f>(((D16^'Goal Seek'!$F$27)*(($C17*10^5)^('Goal Seek'!$F$27-1)))/(($C16*10^5)^('Goal Seek'!$F$27-1)))^(1/'Goal Seek'!$F$27)</f>
        <v>2487.3378036209133</v>
      </c>
      <c r="E17" s="30">
        <f>(((4.7*10^13)*'Goal Seek'!$I$7*('Goal Seek'!$H$7^0.5)*EXP(-67837/'Part 2b - EGR'!D17))/('Goal Seek'!$F$26*6))*('Goal Seek'!$F$20*10^-6)</f>
        <v>1.0142064644835794E-9</v>
      </c>
      <c r="F17" s="26">
        <f>(((F16^'Goal Seek'!$F$27)*(($C17*10^5)^('Goal Seek'!$F$27-1)))/(($C16*10^5)^('Goal Seek'!$F$27-1)))^(1/'Goal Seek'!$F$27)</f>
        <v>2485.6261166069726</v>
      </c>
      <c r="G17" s="30">
        <f>(((4.7*10^13)*'Goal Seek'!$I$7*('Goal Seek'!$H$7^0.5)*EXP(-67837/'Part 2b - EGR'!F17))/('Goal Seek'!$F$26*6))*('Goal Seek'!$F$20*10^-6)</f>
        <v>9.9533633351743499E-10</v>
      </c>
      <c r="H17" s="26">
        <f>(((H16^'Goal Seek'!$F$27)*(($C17*10^5)^('Goal Seek'!$F$27-1)))/(($C16*10^5)^('Goal Seek'!$F$27-1)))^(1/'Goal Seek'!$F$27)</f>
        <v>2484.5805540959918</v>
      </c>
      <c r="I17" s="30">
        <f>(((4.7*10^13)*'Goal Seek'!$I$7*('Goal Seek'!$H$7^0.5)*EXP(-67837/'Part 2b - EGR'!H17))/('Goal Seek'!$F$26*6))*('Goal Seek'!$F$20*10^-6)</f>
        <v>9.8397037468783215E-10</v>
      </c>
      <c r="J17" s="26">
        <f>(((J16^'Goal Seek'!$F$27)*(($C17*10^5)^('Goal Seek'!$F$27-1)))/(($C16*10^5)^('Goal Seek'!$F$27-1)))^(1/'Goal Seek'!$F$27)</f>
        <v>2484.2119571739227</v>
      </c>
      <c r="K17" s="30">
        <f>(((4.7*10^13)*'Goal Seek'!$I$7*('Goal Seek'!$H$7^0.5)*EXP(-67837/'Part 2b - EGR'!J17))/('Goal Seek'!$F$26*6))*('Goal Seek'!$F$20*10^-6)</f>
        <v>9.7999224226564035E-10</v>
      </c>
    </row>
    <row r="18" spans="2:17" x14ac:dyDescent="0.25">
      <c r="B18" s="21">
        <v>14</v>
      </c>
      <c r="C18" s="26">
        <v>38</v>
      </c>
      <c r="D18" s="26">
        <f>(((D17^'Goal Seek'!$F$27)*(($C18*10^5)^('Goal Seek'!$F$27-1)))/(($C17*10^5)^('Goal Seek'!$F$27-1)))^(1/'Goal Seek'!$F$27)</f>
        <v>2506.9550880320594</v>
      </c>
      <c r="E18" s="30">
        <f>(((4.7*10^13)*'Goal Seek'!$I$7*('Goal Seek'!$H$7^0.5)*EXP(-67837/'Part 2b - EGR'!D18))/('Goal Seek'!$F$26*6))*('Goal Seek'!$F$20*10^-6)</f>
        <v>1.2554839719687773E-9</v>
      </c>
      <c r="F18" s="26">
        <f>(((F17^'Goal Seek'!$F$27)*(($C18*10^5)^('Goal Seek'!$F$27-1)))/(($C17*10^5)^('Goal Seek'!$F$27-1)))^(1/'Goal Seek'!$F$27)</f>
        <v>2505.2299011827013</v>
      </c>
      <c r="G18" s="30">
        <f>(((4.7*10^13)*'Goal Seek'!$I$7*('Goal Seek'!$H$7^0.5)*EXP(-67837/'Part 2b - EGR'!F18))/('Goal Seek'!$F$26*6))*('Goal Seek'!$F$20*10^-6)</f>
        <v>1.2323057699951011E-9</v>
      </c>
      <c r="H18" s="26">
        <f>(((H17^'Goal Seek'!$F$27)*(($C18*10^5)^('Goal Seek'!$F$27-1)))/(($C17*10^5)^('Goal Seek'!$F$27-1)))^(1/'Goal Seek'!$F$27)</f>
        <v>2504.1760924668351</v>
      </c>
      <c r="I18" s="30">
        <f>(((4.7*10^13)*'Goal Seek'!$I$7*('Goal Seek'!$H$7^0.5)*EXP(-67837/'Part 2b - EGR'!H18))/('Goal Seek'!$F$26*6))*('Goal Seek'!$F$20*10^-6)</f>
        <v>1.218343295342299E-9</v>
      </c>
      <c r="J18" s="26">
        <f>(((J17^'Goal Seek'!$F$27)*(($C18*10^5)^('Goal Seek'!$F$27-1)))/(($C17*10^5)^('Goal Seek'!$F$27-1)))^(1/'Goal Seek'!$F$27)</f>
        <v>2503.804588472537</v>
      </c>
      <c r="K18" s="30">
        <f>(((4.7*10^13)*'Goal Seek'!$I$7*('Goal Seek'!$H$7^0.5)*EXP(-67837/'Part 2b - EGR'!J18))/('Goal Seek'!$F$26*6))*('Goal Seek'!$F$20*10^-6)</f>
        <v>1.2134560742516709E-9</v>
      </c>
    </row>
    <row r="19" spans="2:17" x14ac:dyDescent="0.25">
      <c r="B19" s="21">
        <v>15</v>
      </c>
      <c r="C19" s="26">
        <v>40</v>
      </c>
      <c r="D19" s="26">
        <f>(((D18^'Goal Seek'!$F$27)*(($C19*10^5)^('Goal Seek'!$F$27-1)))/(($C18*10^5)^('Goal Seek'!$F$27-1)))^(1/'Goal Seek'!$F$27)</f>
        <v>2525.7089010723766</v>
      </c>
      <c r="E19" s="30">
        <f>(((4.7*10^13)*'Goal Seek'!$I$7*('Goal Seek'!$H$7^0.5)*EXP(-67837/'Part 2b - EGR'!D19))/('Goal Seek'!$F$26*6))*('Goal Seek'!$F$20*10^-6)</f>
        <v>1.5348652815130105E-9</v>
      </c>
      <c r="F19" s="26">
        <f>(((F18^'Goal Seek'!$F$27)*(($C19*10^5)^('Goal Seek'!$F$27-1)))/(($C18*10^5)^('Goal Seek'!$F$27-1)))^(1/'Goal Seek'!$F$27)</f>
        <v>2523.9708085942748</v>
      </c>
      <c r="G19" s="30">
        <f>(((4.7*10^13)*'Goal Seek'!$I$7*('Goal Seek'!$H$7^0.5)*EXP(-67837/'Part 2b - EGR'!F19))/('Goal Seek'!$F$26*6))*('Goal Seek'!$F$20*10^-6)</f>
        <v>1.5067377225671042E-9</v>
      </c>
      <c r="H19" s="26">
        <f>(((H18^'Goal Seek'!$F$27)*(($C19*10^5)^('Goal Seek'!$F$27-1)))/(($C18*10^5)^('Goal Seek'!$F$27-1)))^(1/'Goal Seek'!$F$27)</f>
        <v>2522.9091166372127</v>
      </c>
      <c r="I19" s="30">
        <f>(((4.7*10^13)*'Goal Seek'!$I$7*('Goal Seek'!$H$7^0.5)*EXP(-67837/'Part 2b - EGR'!H19))/('Goal Seek'!$F$26*6))*('Goal Seek'!$F$20*10^-6)</f>
        <v>1.4897918797367541E-9</v>
      </c>
      <c r="J19" s="26">
        <f>(((J18^'Goal Seek'!$F$27)*(($C19*10^5)^('Goal Seek'!$F$27-1)))/(($C18*10^5)^('Goal Seek'!$F$27-1)))^(1/'Goal Seek'!$F$27)</f>
        <v>2522.5348335279291</v>
      </c>
      <c r="K19" s="30">
        <f>(((4.7*10^13)*'Goal Seek'!$I$7*('Goal Seek'!$H$7^0.5)*EXP(-67837/'Part 2b - EGR'!J19))/('Goal Seek'!$F$26*6))*('Goal Seek'!$F$20*10^-6)</f>
        <v>1.4838600640698297E-9</v>
      </c>
    </row>
    <row r="21" spans="2:17" x14ac:dyDescent="0.25">
      <c r="B21" s="49" t="s">
        <v>60</v>
      </c>
      <c r="C21" s="49"/>
      <c r="D21" s="53">
        <f>SUM(E4:E19)</f>
        <v>6.9103125348497527E-9</v>
      </c>
      <c r="E21" s="53"/>
      <c r="F21" s="53">
        <f t="shared" ref="F21" si="0">SUM(G4:G19)</f>
        <v>6.7804647367013447E-9</v>
      </c>
      <c r="G21" s="53"/>
      <c r="H21" s="53">
        <f t="shared" ref="H21" si="1">SUM(I4:I19)</f>
        <v>6.7022669294080013E-9</v>
      </c>
      <c r="I21" s="53"/>
      <c r="J21" s="53">
        <f t="shared" ref="J21" si="2">SUM(K4:K19)</f>
        <v>6.6748996751159278E-9</v>
      </c>
      <c r="K21" s="53"/>
    </row>
    <row r="22" spans="2:17" x14ac:dyDescent="0.25">
      <c r="B22" s="49" t="s">
        <v>61</v>
      </c>
      <c r="C22" s="49"/>
      <c r="D22" s="50">
        <f>P27*(SUM(J27:M27))</f>
        <v>8.2927355000494361E-6</v>
      </c>
      <c r="E22" s="50"/>
      <c r="F22" s="50">
        <f>P28*(SUM(J28:M28))</f>
        <v>7.9537565482406026E-6</v>
      </c>
      <c r="G22" s="50"/>
      <c r="H22" s="50">
        <f>P29*(SUM(J29:M29))</f>
        <v>7.6142182252241616E-6</v>
      </c>
      <c r="I22" s="50"/>
      <c r="J22" s="50">
        <f>P30*(SUM(J30:M30))</f>
        <v>7.27411914527458E-6</v>
      </c>
      <c r="K22" s="50"/>
    </row>
    <row r="23" spans="2:17" x14ac:dyDescent="0.25">
      <c r="B23" s="49" t="s">
        <v>62</v>
      </c>
      <c r="C23" s="49"/>
      <c r="D23" s="47">
        <f>(D21/D22)*10^6</f>
        <v>833.29711104478827</v>
      </c>
      <c r="E23" s="48"/>
      <c r="F23" s="47">
        <f>(F21/F22)*10^6</f>
        <v>852.48582799547796</v>
      </c>
      <c r="G23" s="48"/>
      <c r="H23" s="47">
        <f t="shared" ref="H23" si="3">(H21/H22)*10^6</f>
        <v>880.23047556017309</v>
      </c>
      <c r="I23" s="48"/>
      <c r="J23" s="47">
        <f t="shared" ref="J23" si="4">(J21/J22)*10^6</f>
        <v>917.62308835044064</v>
      </c>
      <c r="K23" s="48"/>
    </row>
    <row r="25" spans="2:17" x14ac:dyDescent="0.25">
      <c r="B25" s="49" t="s">
        <v>22</v>
      </c>
      <c r="C25" s="49"/>
      <c r="D25" s="51">
        <v>0.97</v>
      </c>
      <c r="E25" s="52"/>
    </row>
    <row r="26" spans="2:17" x14ac:dyDescent="0.25">
      <c r="G26" s="12" t="s">
        <v>22</v>
      </c>
      <c r="H26" s="12" t="s">
        <v>63</v>
      </c>
      <c r="I26" s="12" t="s">
        <v>23</v>
      </c>
      <c r="J26" s="12" t="s">
        <v>33</v>
      </c>
      <c r="K26" s="12" t="s">
        <v>34</v>
      </c>
      <c r="L26" s="12" t="s">
        <v>36</v>
      </c>
      <c r="M26" s="12" t="s">
        <v>35</v>
      </c>
      <c r="N26" s="12" t="s">
        <v>31</v>
      </c>
      <c r="O26" s="12" t="s">
        <v>32</v>
      </c>
      <c r="P26" s="12" t="s">
        <v>30</v>
      </c>
      <c r="Q26" s="12" t="s">
        <v>59</v>
      </c>
    </row>
    <row r="27" spans="2:17" x14ac:dyDescent="0.25">
      <c r="G27" s="6">
        <v>0.97</v>
      </c>
      <c r="H27" s="6">
        <v>1.2</v>
      </c>
      <c r="I27" s="32">
        <f>((J27*$X$5)+(K27*$X$6)+(M27*$X$7)+(L27*$X$8))-($D$25*$X$4)</f>
        <v>5945.9448000000002</v>
      </c>
      <c r="J27" s="13">
        <f>8*H27*$D$25</f>
        <v>9.3119999999999994</v>
      </c>
      <c r="K27" s="13">
        <f>9*H27*$D$25</f>
        <v>10.475999999999999</v>
      </c>
      <c r="L27" s="13">
        <f>12.5*(1-$D$25)*H27</f>
        <v>0.4500000000000004</v>
      </c>
      <c r="M27" s="31">
        <f>47*H27</f>
        <v>56.4</v>
      </c>
      <c r="N27" s="15">
        <f>(L27*P27)/('Goal Seek'!$F$20*10^-6)</f>
        <v>1.2173239695132474E-3</v>
      </c>
      <c r="O27" s="15">
        <f>(M27*P27)/('Goal Seek'!$F$20*10^-6)</f>
        <v>0.15257127084566022</v>
      </c>
      <c r="P27" s="16">
        <f>'Goal Seek'!$F$25/(H27+(12.5*4.76))</f>
        <v>1.0820657506784411E-7</v>
      </c>
      <c r="Q27" s="17">
        <v>2064.9259999999999</v>
      </c>
    </row>
    <row r="28" spans="2:17" x14ac:dyDescent="0.25">
      <c r="G28" s="6">
        <v>0.97</v>
      </c>
      <c r="H28" s="6">
        <v>1.1499999999999999</v>
      </c>
      <c r="I28" s="32">
        <f>((J28*$X$5)+(K28*$X$6)+(M28*$X$7)+(L28*$X$8))-($D$25*$X$4)</f>
        <v>5687.7210999999998</v>
      </c>
      <c r="J28" s="13">
        <f t="shared" ref="J28:J30" si="5">8*H28*$D$25</f>
        <v>8.9239999999999995</v>
      </c>
      <c r="K28" s="13">
        <f t="shared" ref="K28:K30" si="6">9*H28*$D$25</f>
        <v>10.039499999999999</v>
      </c>
      <c r="L28" s="13">
        <f t="shared" ref="L28:L30" si="7">12.5*(1-$D$25)*H28</f>
        <v>0.43125000000000036</v>
      </c>
      <c r="M28" s="31">
        <f t="shared" ref="M28:M30" si="8">47*H28</f>
        <v>54.05</v>
      </c>
      <c r="N28" s="15">
        <f>(L28*P28)/('Goal Seek'!$F$20*10^-6)</f>
        <v>1.1675638869452082E-3</v>
      </c>
      <c r="O28" s="15">
        <f>(M28*P28)/('Goal Seek'!$F$20*10^-6)</f>
        <v>0.14633467383046597</v>
      </c>
      <c r="P28" s="16">
        <f>'Goal Seek'!$F$25/(H28+(12.5*4.76))</f>
        <v>1.0829578081810617E-7</v>
      </c>
      <c r="Q28" s="17">
        <v>2063.5050000000001</v>
      </c>
    </row>
    <row r="29" spans="2:17" x14ac:dyDescent="0.25">
      <c r="G29" s="6">
        <v>0.97</v>
      </c>
      <c r="H29" s="6">
        <v>1.1000000000000001</v>
      </c>
      <c r="I29" s="32">
        <f t="shared" ref="I29:I30" si="9">((J29*$X$5)+(K29*$X$6)+(M29*$X$7)+(L29*$X$8))-($D$25*$X$4)</f>
        <v>5429.4973999999993</v>
      </c>
      <c r="J29" s="13">
        <f t="shared" si="5"/>
        <v>8.5359999999999996</v>
      </c>
      <c r="K29" s="13">
        <f t="shared" si="6"/>
        <v>9.6029999999999998</v>
      </c>
      <c r="L29" s="13">
        <f t="shared" si="7"/>
        <v>0.41250000000000042</v>
      </c>
      <c r="M29" s="31">
        <f t="shared" si="8"/>
        <v>51.7</v>
      </c>
      <c r="N29" s="15">
        <f>(L29*P29)/('Goal Seek'!$F$20*10^-6)</f>
        <v>1.1177216920296967E-3</v>
      </c>
      <c r="O29" s="15">
        <f>(M29*P29)/('Goal Seek'!$F$20*10^-6)</f>
        <v>0.14008778540105521</v>
      </c>
      <c r="P29" s="16">
        <f>'Goal Seek'!$F$25/(H29+(12.5*4.76))</f>
        <v>1.0838513377257653E-7</v>
      </c>
      <c r="Q29" s="17">
        <v>2062.6370000000002</v>
      </c>
    </row>
    <row r="30" spans="2:17" x14ac:dyDescent="0.25">
      <c r="G30" s="6">
        <v>0.97</v>
      </c>
      <c r="H30" s="6">
        <v>1.05</v>
      </c>
      <c r="I30" s="32">
        <f t="shared" si="9"/>
        <v>5171.2737000000006</v>
      </c>
      <c r="J30" s="13">
        <f t="shared" si="5"/>
        <v>8.1479999999999997</v>
      </c>
      <c r="K30" s="13">
        <f t="shared" si="6"/>
        <v>9.166500000000001</v>
      </c>
      <c r="L30" s="13">
        <f t="shared" si="7"/>
        <v>0.39375000000000038</v>
      </c>
      <c r="M30" s="31">
        <f t="shared" si="8"/>
        <v>49.35</v>
      </c>
      <c r="N30" s="15">
        <f>(L30*P30)/('Goal Seek'!$F$20*10^-6)</f>
        <v>1.0677971813504935E-3</v>
      </c>
      <c r="O30" s="15">
        <f>(M30*P30)/('Goal Seek'!$F$20*10^-6)</f>
        <v>0.13383058006259504</v>
      </c>
      <c r="P30" s="16">
        <f>'Goal Seek'!$F$25/(H30+(12.5*4.76))</f>
        <v>1.0847463429592302E-7</v>
      </c>
      <c r="Q30" s="17">
        <v>2062.3310000000001</v>
      </c>
    </row>
  </sheetData>
  <mergeCells count="27">
    <mergeCell ref="H21:I21"/>
    <mergeCell ref="D21:E21"/>
    <mergeCell ref="J21:K21"/>
    <mergeCell ref="J2:K2"/>
    <mergeCell ref="H2:I2"/>
    <mergeCell ref="D2:E2"/>
    <mergeCell ref="B22:C22"/>
    <mergeCell ref="D22:E22"/>
    <mergeCell ref="F2:G2"/>
    <mergeCell ref="B21:C21"/>
    <mergeCell ref="F21:G21"/>
    <mergeCell ref="B25:C25"/>
    <mergeCell ref="D25:E25"/>
    <mergeCell ref="F22:G22"/>
    <mergeCell ref="T3:X3"/>
    <mergeCell ref="T4:W4"/>
    <mergeCell ref="T5:W5"/>
    <mergeCell ref="T6:W6"/>
    <mergeCell ref="T7:W7"/>
    <mergeCell ref="T8:W8"/>
    <mergeCell ref="B23:C23"/>
    <mergeCell ref="F23:G23"/>
    <mergeCell ref="H23:I23"/>
    <mergeCell ref="D23:E23"/>
    <mergeCell ref="J23:K23"/>
    <mergeCell ref="H22:I22"/>
    <mergeCell ref="J22:K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Part 1</vt:lpstr>
      <vt:lpstr>CO2</vt:lpstr>
      <vt:lpstr>H2O</vt:lpstr>
      <vt:lpstr>N2</vt:lpstr>
      <vt:lpstr>O2</vt:lpstr>
      <vt:lpstr>Goal Seek</vt:lpstr>
      <vt:lpstr>Part 2a</vt:lpstr>
      <vt:lpstr>Part 2b - EGR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Cummings</dc:creator>
  <cp:lastModifiedBy>Kyle Cummings</cp:lastModifiedBy>
  <dcterms:created xsi:type="dcterms:W3CDTF">2019-12-11T14:39:35Z</dcterms:created>
  <dcterms:modified xsi:type="dcterms:W3CDTF">2020-01-05T16:35:41Z</dcterms:modified>
</cp:coreProperties>
</file>