
<file path=[Content_Types].xml><?xml version="1.0" encoding="utf-8"?>
<Types xmlns="http://schemas.openxmlformats.org/package/2006/content-types">
  <Default Extension="png" ContentType="image/png"/>
  <Default Extension="rels" ContentType="application/vnd.openxmlformats-package.relationships+xml"/>
  <Default Extension="tmp" ContentType="image/jpe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media/image19.tmp" ContentType="image/png"/>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Ex1.xml" ContentType="application/vnd.ms-office.chartex+xml"/>
  <Override PartName="/xl/charts/style2.xml" ContentType="application/vnd.ms-office.chartstyle+xml"/>
  <Override PartName="/xl/charts/colors2.xml" ContentType="application/vnd.ms-office.chartcolorstyle+xml"/>
  <Override PartName="/xl/drawings/drawing6.xml" ContentType="application/vnd.openxmlformats-officedocument.drawing+xml"/>
  <Override PartName="/xl/media/image24.tmp" ContentType="image/png"/>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19"/>
  <workbookPr/>
  <xr:revisionPtr revIDLastSave="4779" documentId="11_0B1D56BE9CDCCE836B02CE7A5FB0D4A9BBFD1C62" xr6:coauthVersionLast="47" xr6:coauthVersionMax="47" xr10:uidLastSave="{567AD842-5F22-4815-BDA0-E492C8F2FE98}"/>
  <bookViews>
    <workbookView xWindow="240" yWindow="105" windowWidth="14805" windowHeight="8010" firstSheet="8" activeTab="3" xr2:uid="{00000000-000D-0000-FFFF-FFFF00000000}"/>
  </bookViews>
  <sheets>
    <sheet name="NRM 1 Layout" sheetId="1" r:id="rId1"/>
    <sheet name="Elemental Sheet" sheetId="2" r:id="rId2"/>
    <sheet name="Payment Certificate" sheetId="8" r:id="rId3"/>
    <sheet name="Summary Sheet " sheetId="4" r:id="rId4"/>
    <sheet name="Query Sheet and General Info." sheetId="9" r:id="rId5"/>
    <sheet name="Elemental Calculations" sheetId="6" r:id="rId6"/>
    <sheet name="BoQ" sheetId="10" r:id="rId7"/>
    <sheet name="Cashflow Exercise" sheetId="5" r:id="rId8"/>
    <sheet name="Student Halls of Residence - CF" sheetId="12" r:id="rId9"/>
    <sheet name="Whole Life Costing " sheetId="11" r:id="rId10"/>
    <sheet name="Whole Life Costing  (T&amp;G Only)" sheetId="13" r:id="rId11"/>
  </sheets>
  <definedNames>
    <definedName name="_xlchart.v1.0" hidden="1">'Whole Life Costing '!$N$5</definedName>
    <definedName name="_xlchart.v1.1" hidden="1">'Whole Life Costing '!$N$6</definedName>
    <definedName name="_xlchart.v1.2" hidden="1">'Whole Life Costing '!$O$4:$R$4</definedName>
    <definedName name="_xlchart.v1.3" hidden="1">'Whole Life Costing '!$O$5:$R$5</definedName>
    <definedName name="_xlchart.v1.4" hidden="1">'Whole Life Costing '!$O$6:$R$6</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5" i="4" l="1"/>
  <c r="C23" i="4"/>
  <c r="C22" i="4"/>
  <c r="N13" i="12"/>
  <c r="N12" i="12"/>
  <c r="G31" i="13"/>
  <c r="G30" i="13"/>
  <c r="C26" i="13"/>
  <c r="E10" i="13"/>
  <c r="C27" i="13" s="1"/>
  <c r="E9" i="13"/>
  <c r="E7" i="13"/>
  <c r="R6" i="13"/>
  <c r="E6" i="13"/>
  <c r="C24" i="13" s="1"/>
  <c r="R5" i="13"/>
  <c r="E5" i="13"/>
  <c r="N6" i="12"/>
  <c r="N7" i="12"/>
  <c r="M7" i="12"/>
  <c r="M6" i="12"/>
  <c r="L6" i="12"/>
  <c r="K6" i="12"/>
  <c r="J6" i="12"/>
  <c r="I6" i="12"/>
  <c r="H6" i="12"/>
  <c r="G6" i="12"/>
  <c r="F6" i="12"/>
  <c r="E6" i="12"/>
  <c r="D6" i="12"/>
  <c r="G7" i="12"/>
  <c r="E7" i="12"/>
  <c r="D7" i="12"/>
  <c r="L7" i="12"/>
  <c r="N11" i="12"/>
  <c r="G24" i="11"/>
  <c r="G25" i="11"/>
  <c r="G27" i="11"/>
  <c r="G28" i="11"/>
  <c r="G30" i="11"/>
  <c r="G31" i="11"/>
  <c r="C32" i="11"/>
  <c r="C31" i="11"/>
  <c r="C28" i="11"/>
  <c r="C27" i="11"/>
  <c r="C26" i="11"/>
  <c r="C25" i="11"/>
  <c r="C24" i="11"/>
  <c r="C23" i="11"/>
  <c r="R5" i="11"/>
  <c r="Q6" i="11"/>
  <c r="Q5" i="11"/>
  <c r="P6" i="11"/>
  <c r="P5" i="11"/>
  <c r="R6" i="11"/>
  <c r="E11" i="11"/>
  <c r="E9" i="11"/>
  <c r="E5" i="11"/>
  <c r="E6" i="11"/>
  <c r="E7" i="11"/>
  <c r="E10" i="11"/>
  <c r="D50" i="2"/>
  <c r="G92" i="2"/>
  <c r="G96" i="2"/>
  <c r="F7" i="12"/>
  <c r="M12" i="12"/>
  <c r="L12" i="12"/>
  <c r="K12" i="12"/>
  <c r="J12" i="12"/>
  <c r="I12" i="12"/>
  <c r="H12" i="12"/>
  <c r="G12" i="12"/>
  <c r="F12" i="12"/>
  <c r="E12" i="12"/>
  <c r="D12" i="12"/>
  <c r="M11" i="12"/>
  <c r="L11" i="12"/>
  <c r="K7" i="12"/>
  <c r="K11" i="12" s="1"/>
  <c r="J7" i="12"/>
  <c r="J11" i="12" s="1"/>
  <c r="I7" i="12"/>
  <c r="I11" i="12" s="1"/>
  <c r="H7" i="12"/>
  <c r="H11" i="12" s="1"/>
  <c r="G11" i="12"/>
  <c r="F11" i="12"/>
  <c r="E11" i="12"/>
  <c r="D11" i="12"/>
  <c r="C70" i="2"/>
  <c r="H17" i="10"/>
  <c r="H14" i="10"/>
  <c r="H9" i="10"/>
  <c r="H5" i="10"/>
  <c r="E45" i="4"/>
  <c r="F45" i="4" s="1"/>
  <c r="E43" i="4"/>
  <c r="F43" i="4" s="1"/>
  <c r="E42" i="4"/>
  <c r="F42" i="4" s="1"/>
  <c r="E41" i="4"/>
  <c r="F41" i="4" s="1"/>
  <c r="E40" i="4"/>
  <c r="F40" i="4" s="1"/>
  <c r="E39" i="4"/>
  <c r="F39" i="4" s="1"/>
  <c r="E38" i="4"/>
  <c r="F38" i="4" s="1"/>
  <c r="E37" i="4"/>
  <c r="F37" i="4" s="1"/>
  <c r="E36" i="4"/>
  <c r="F36" i="4" s="1"/>
  <c r="E34" i="4"/>
  <c r="F34" i="4" s="1"/>
  <c r="E35" i="4"/>
  <c r="F35" i="4" s="1"/>
  <c r="E33" i="4"/>
  <c r="F33" i="4" s="1"/>
  <c r="E32" i="4"/>
  <c r="F32" i="4" s="1"/>
  <c r="E31" i="4"/>
  <c r="F31" i="4" s="1"/>
  <c r="E30" i="4"/>
  <c r="F30" i="4"/>
  <c r="D45" i="4"/>
  <c r="AP6" i="5"/>
  <c r="AQ8" i="5"/>
  <c r="AK15" i="5"/>
  <c r="AJ6" i="5"/>
  <c r="AK14" i="5"/>
  <c r="AW9" i="5"/>
  <c r="AQ14" i="5"/>
  <c r="AQ19" i="5" s="1"/>
  <c r="AQ13" i="5"/>
  <c r="AQ18" i="5" s="1"/>
  <c r="AQ12" i="5"/>
  <c r="AQ17" i="5" s="1"/>
  <c r="AQ20" i="5" s="1"/>
  <c r="AP22" i="5" s="1"/>
  <c r="AK11" i="5"/>
  <c r="AQ10" i="5"/>
  <c r="AQ9" i="5"/>
  <c r="AK8" i="5"/>
  <c r="AQ15" i="5"/>
  <c r="AK9" i="5"/>
  <c r="AK12" i="5"/>
  <c r="B27" i="1"/>
  <c r="C73" i="2"/>
  <c r="C54" i="2"/>
  <c r="C50" i="2"/>
  <c r="C52" i="2"/>
  <c r="C49" i="2"/>
  <c r="C41" i="2"/>
  <c r="G82" i="2"/>
  <c r="G73" i="2"/>
  <c r="G53" i="8"/>
  <c r="G55" i="8"/>
  <c r="H33" i="8"/>
  <c r="H29" i="8"/>
  <c r="B23" i="1"/>
  <c r="B18" i="1"/>
  <c r="B15" i="1"/>
  <c r="B13" i="1"/>
  <c r="B11" i="1"/>
  <c r="H38" i="8"/>
  <c r="H41" i="8" s="1"/>
  <c r="H45" i="8" s="1"/>
  <c r="M97" i="2"/>
  <c r="N97" i="2"/>
  <c r="O97" i="2"/>
  <c r="E34" i="6"/>
  <c r="E28" i="6"/>
  <c r="E12" i="6"/>
  <c r="G54" i="8"/>
  <c r="M43" i="2"/>
  <c r="M41" i="2"/>
  <c r="M84" i="2"/>
  <c r="N74" i="2"/>
  <c r="M74" i="2"/>
  <c r="O74" i="2"/>
  <c r="M70" i="2"/>
  <c r="N77" i="2"/>
  <c r="M77" i="2"/>
  <c r="N75" i="2"/>
  <c r="M75" i="2"/>
  <c r="N70" i="2"/>
  <c r="N43" i="2"/>
  <c r="N42" i="2"/>
  <c r="M42" i="2"/>
  <c r="N41" i="2"/>
  <c r="N44" i="2"/>
  <c r="M44" i="2"/>
  <c r="N84" i="2"/>
  <c r="N81" i="2"/>
  <c r="M80" i="2"/>
  <c r="M81" i="2"/>
  <c r="N80" i="2"/>
  <c r="N79" i="2"/>
  <c r="M79" i="2"/>
  <c r="M89" i="2"/>
  <c r="N48" i="2"/>
  <c r="M48" i="2"/>
  <c r="N47" i="2"/>
  <c r="M47" i="2"/>
  <c r="N46" i="2"/>
  <c r="M46" i="2"/>
  <c r="O44" i="2"/>
  <c r="O46" i="2"/>
  <c r="O47" i="2"/>
  <c r="O48" i="2"/>
  <c r="O70" i="2"/>
  <c r="O75" i="2"/>
  <c r="O77" i="2"/>
  <c r="O79" i="2"/>
  <c r="O80" i="2"/>
  <c r="O81" i="2"/>
  <c r="O84" i="2"/>
  <c r="N89" i="2"/>
  <c r="O89" i="2"/>
  <c r="O41" i="2"/>
  <c r="O43" i="2"/>
  <c r="O42" i="2"/>
  <c r="C89" i="2"/>
  <c r="C82" i="2"/>
  <c r="D54" i="2"/>
  <c r="E54" i="6"/>
  <c r="E32" i="6"/>
  <c r="C33" i="2"/>
  <c r="E10" i="6"/>
  <c r="D70" i="2"/>
  <c r="E26" i="6"/>
  <c r="D48" i="5"/>
  <c r="C48" i="5"/>
  <c r="D49" i="5" s="1"/>
  <c r="D50" i="5" s="1"/>
  <c r="D67" i="5"/>
  <c r="D66" i="5"/>
  <c r="E48" i="5"/>
  <c r="F48" i="5"/>
  <c r="G48" i="5"/>
  <c r="H48" i="5"/>
  <c r="I48" i="5"/>
  <c r="J48" i="5"/>
  <c r="J55" i="5" s="1"/>
  <c r="D54" i="5"/>
  <c r="E22" i="5"/>
  <c r="E23" i="5" s="1"/>
  <c r="F22" i="5"/>
  <c r="F23" i="5" s="1"/>
  <c r="G22" i="5"/>
  <c r="G23" i="5" s="1"/>
  <c r="H22" i="5"/>
  <c r="H23" i="5" s="1"/>
  <c r="I22" i="5"/>
  <c r="I23" i="5" s="1"/>
  <c r="J22" i="5"/>
  <c r="J23" i="5" s="1"/>
  <c r="K22" i="5"/>
  <c r="K23" i="5" s="1"/>
  <c r="L22" i="5"/>
  <c r="L23" i="5" s="1"/>
  <c r="M22" i="5"/>
  <c r="M23" i="5" s="1"/>
  <c r="N22" i="5"/>
  <c r="N23" i="5" s="1"/>
  <c r="E27" i="5"/>
  <c r="F27" i="5"/>
  <c r="G27" i="5"/>
  <c r="H27" i="5"/>
  <c r="I27" i="5"/>
  <c r="J27" i="5"/>
  <c r="K27" i="5"/>
  <c r="L27" i="5"/>
  <c r="M27" i="5"/>
  <c r="N27" i="5"/>
  <c r="E28" i="5"/>
  <c r="F28" i="5"/>
  <c r="G28" i="5"/>
  <c r="H28" i="5"/>
  <c r="I28" i="5"/>
  <c r="J28" i="5"/>
  <c r="K28" i="5"/>
  <c r="L28" i="5"/>
  <c r="M28" i="5"/>
  <c r="N28" i="5"/>
  <c r="D28" i="5"/>
  <c r="D22" i="5"/>
  <c r="D23" i="5" s="1"/>
  <c r="D27" i="5" s="1"/>
  <c r="C23" i="13" l="1"/>
  <c r="E11" i="13"/>
  <c r="G28" i="13"/>
  <c r="Q6" i="13" s="1"/>
  <c r="G27" i="13"/>
  <c r="Q5" i="13" s="1"/>
  <c r="G25" i="13"/>
  <c r="P6" i="13" s="1"/>
  <c r="C25" i="13"/>
  <c r="G24" i="13"/>
  <c r="P5" i="13" s="1"/>
  <c r="D13" i="12"/>
  <c r="E13" i="12"/>
  <c r="F13" i="12" s="1"/>
  <c r="G13" i="12" s="1"/>
  <c r="H13" i="12" s="1"/>
  <c r="I13" i="12" s="1"/>
  <c r="J13" i="12" s="1"/>
  <c r="K13" i="12" s="1"/>
  <c r="L13" i="12" s="1"/>
  <c r="M13" i="12"/>
  <c r="O6" i="11"/>
  <c r="O5" i="11"/>
  <c r="D29" i="5"/>
  <c r="E29" i="5" s="1"/>
  <c r="F29" i="5" s="1"/>
  <c r="G29" i="5" s="1"/>
  <c r="H29" i="5" s="1"/>
  <c r="I55" i="5"/>
  <c r="J49" i="5"/>
  <c r="J50" i="5" s="1"/>
  <c r="J54" i="5" s="1"/>
  <c r="H55" i="5"/>
  <c r="I49" i="5"/>
  <c r="I50" i="5" s="1"/>
  <c r="I54" i="5" s="1"/>
  <c r="G55" i="5"/>
  <c r="H49" i="5"/>
  <c r="H50" i="5" s="1"/>
  <c r="H54" i="5" s="1"/>
  <c r="F55" i="5"/>
  <c r="G49" i="5"/>
  <c r="G50" i="5" s="1"/>
  <c r="G54" i="5" s="1"/>
  <c r="E55" i="5"/>
  <c r="F49" i="5"/>
  <c r="F50" i="5" s="1"/>
  <c r="F54" i="5" s="1"/>
  <c r="AK16" i="5"/>
  <c r="AJ18" i="5" s="1"/>
  <c r="N54" i="2"/>
  <c r="M54" i="2"/>
  <c r="B17" i="1"/>
  <c r="C92" i="2"/>
  <c r="C96" i="2" s="1"/>
  <c r="D55" i="5"/>
  <c r="D56" i="5" s="1"/>
  <c r="E49" i="5"/>
  <c r="E50" i="5" s="1"/>
  <c r="E54" i="5" s="1"/>
  <c r="I29" i="5"/>
  <c r="J29" i="5" s="1"/>
  <c r="K29" i="5" s="1"/>
  <c r="L29" i="5" s="1"/>
  <c r="M29" i="5" s="1"/>
  <c r="N29" i="5" s="1"/>
  <c r="C28" i="13" l="1"/>
  <c r="O54" i="2"/>
  <c r="B25" i="1"/>
  <c r="B28" i="1" s="1"/>
  <c r="C53" i="8"/>
  <c r="E56" i="5"/>
  <c r="F56" i="5" s="1"/>
  <c r="G56" i="5" s="1"/>
  <c r="H56" i="5" s="1"/>
  <c r="I56" i="5" s="1"/>
  <c r="J56" i="5" s="1"/>
  <c r="C32" i="13" l="1"/>
  <c r="O6" i="13" s="1"/>
  <c r="C31" i="13"/>
  <c r="O5" i="13" s="1"/>
  <c r="O11" i="12"/>
  <c r="O13" i="12"/>
  <c r="F16" i="12"/>
  <c r="F17" i="12"/>
  <c r="F18" i="12"/>
</calcChain>
</file>

<file path=xl/sharedStrings.xml><?xml version="1.0" encoding="utf-8"?>
<sst xmlns="http://schemas.openxmlformats.org/spreadsheetml/2006/main" count="605" uniqueCount="424">
  <si>
    <t>NRM 1: Order of Cost Estimating and Cost Planning for Capital Building Works</t>
  </si>
  <si>
    <t>2.4 Constituents of an Order of Cost Estimate</t>
  </si>
  <si>
    <t>2.1 The Key Constituents of an order of cost estimate are as follows.</t>
  </si>
  <si>
    <t>Constituent</t>
  </si>
  <si>
    <t>Facilitating works estimate (1)</t>
  </si>
  <si>
    <t>Building works estimate (2)</t>
  </si>
  <si>
    <t>Main contractor's preliminaries estimate (3)</t>
  </si>
  <si>
    <t>Sub-total (4) [(4) = (1) + (2) + (3)]</t>
  </si>
  <si>
    <t>Main contractor's overheads and profit estimate (5)</t>
  </si>
  <si>
    <r>
      <rPr>
        <b/>
        <sz val="11"/>
        <color rgb="FF000000"/>
        <rFont val="Aptos Narrow"/>
        <scheme val="minor"/>
      </rPr>
      <t>Works cost estimate</t>
    </r>
    <r>
      <rPr>
        <sz val="11"/>
        <color rgb="FF000000"/>
        <rFont val="Aptos Narrow"/>
        <scheme val="minor"/>
      </rPr>
      <t xml:space="preserve"> (6) [(4) + (5)]</t>
    </r>
  </si>
  <si>
    <r>
      <rPr>
        <b/>
        <u/>
        <sz val="11"/>
        <color rgb="FF000000"/>
        <rFont val="Aptos Narrow"/>
        <scheme val="minor"/>
      </rPr>
      <t>Project/design team fees estimate</t>
    </r>
    <r>
      <rPr>
        <u/>
        <sz val="11"/>
        <color rgb="FF000000"/>
        <rFont val="Aptos Narrow"/>
        <scheme val="minor"/>
      </rPr>
      <t xml:space="preserve"> (7)</t>
    </r>
  </si>
  <si>
    <t>Sub-total (8) [(8) = (6) + (7)]</t>
  </si>
  <si>
    <r>
      <rPr>
        <b/>
        <u/>
        <sz val="11"/>
        <color rgb="FF000000"/>
        <rFont val="Aptos Narrow"/>
        <scheme val="minor"/>
      </rPr>
      <t>Other developments/project costs estimate</t>
    </r>
    <r>
      <rPr>
        <u/>
        <sz val="11"/>
        <color rgb="FF000000"/>
        <rFont val="Aptos Narrow"/>
        <scheme val="minor"/>
      </rPr>
      <t xml:space="preserve"> (9)</t>
    </r>
  </si>
  <si>
    <r>
      <rPr>
        <b/>
        <sz val="11"/>
        <color rgb="FF000000"/>
        <rFont val="Aptos Narrow"/>
        <scheme val="minor"/>
      </rPr>
      <t>Base cost estimate</t>
    </r>
    <r>
      <rPr>
        <sz val="11"/>
        <color rgb="FF000000"/>
        <rFont val="Aptos Narrow"/>
        <scheme val="minor"/>
      </rPr>
      <t xml:space="preserve"> (10) [(10) = (8) + (9)] </t>
    </r>
  </si>
  <si>
    <r>
      <rPr>
        <b/>
        <sz val="11"/>
        <color rgb="FF000000"/>
        <rFont val="Aptos Narrow"/>
        <scheme val="minor"/>
      </rPr>
      <t>Risk allowances estimate</t>
    </r>
    <r>
      <rPr>
        <sz val="11"/>
        <color rgb="FF000000"/>
        <rFont val="Aptos Narrow"/>
        <scheme val="minor"/>
      </rPr>
      <t xml:space="preserve"> (11) [(11) = (11(a)) + (11(b)) + (11(c)) + (11(d))]</t>
    </r>
  </si>
  <si>
    <t>(a) Design development risks estimate (11(a))</t>
  </si>
  <si>
    <t>(b) Construction risks estimate (11(b))</t>
  </si>
  <si>
    <t>(C) Employer change risks estimate (11(c))</t>
  </si>
  <si>
    <t>(D) Employer other risks estimate (11(d))</t>
  </si>
  <si>
    <r>
      <rPr>
        <b/>
        <sz val="11"/>
        <color rgb="FF000000"/>
        <rFont val="Aptos Narrow"/>
        <scheme val="minor"/>
      </rPr>
      <t>Cost limit (excluding inflation)</t>
    </r>
    <r>
      <rPr>
        <sz val="11"/>
        <color rgb="FF000000"/>
        <rFont val="Aptos Narrow"/>
        <scheme val="minor"/>
      </rPr>
      <t xml:space="preserve"> (12) [(12) = (10) + (11)]</t>
    </r>
  </si>
  <si>
    <r>
      <rPr>
        <b/>
        <sz val="11"/>
        <color rgb="FF000000"/>
        <rFont val="Aptos Narrow"/>
        <scheme val="minor"/>
      </rPr>
      <t>Tender inflation estimate</t>
    </r>
    <r>
      <rPr>
        <sz val="11"/>
        <color rgb="FF000000"/>
        <rFont val="Aptos Narrow"/>
        <scheme val="minor"/>
      </rPr>
      <t xml:space="preserve"> (13)</t>
    </r>
  </si>
  <si>
    <t>Cost limit (excluding construction inflation) (14) [(14) = (12) + (11)]</t>
  </si>
  <si>
    <r>
      <rPr>
        <b/>
        <u/>
        <sz val="11"/>
        <color rgb="FF000000"/>
        <rFont val="Aptos Narrow"/>
        <scheme val="minor"/>
      </rPr>
      <t>Construction inflation estimate</t>
    </r>
    <r>
      <rPr>
        <u/>
        <sz val="11"/>
        <color rgb="FF000000"/>
        <rFont val="Aptos Narrow"/>
        <scheme val="minor"/>
      </rPr>
      <t xml:space="preserve"> (15) </t>
    </r>
  </si>
  <si>
    <r>
      <rPr>
        <b/>
        <u/>
        <sz val="11"/>
        <color rgb="FF000000"/>
        <rFont val="Aptos Narrow"/>
        <scheme val="minor"/>
      </rPr>
      <t>Cost limit (including inflation)</t>
    </r>
    <r>
      <rPr>
        <u/>
        <sz val="11"/>
        <color rgb="FF000000"/>
        <rFont val="Aptos Narrow"/>
        <scheme val="minor"/>
      </rPr>
      <t xml:space="preserve"> (16) [(16) = (14) + (15)]</t>
    </r>
  </si>
  <si>
    <t>Vat assessment at Standard Rate (17.5%)</t>
  </si>
  <si>
    <t xml:space="preserve">BCIS Online - </t>
  </si>
  <si>
    <t xml:space="preserve">Building function: </t>
  </si>
  <si>
    <t>713.8 - Secondary Schools - mixed facilities</t>
  </si>
  <si>
    <t xml:space="preserve">Type of work: </t>
  </si>
  <si>
    <t>New build</t>
  </si>
  <si>
    <t xml:space="preserve">Gross floor area: </t>
  </si>
  <si>
    <t>688 m2</t>
  </si>
  <si>
    <t xml:space="preserve">Job title: </t>
  </si>
  <si>
    <t>Teaching Block, Beauchamps High School</t>
  </si>
  <si>
    <t xml:space="preserve">Location: </t>
  </si>
  <si>
    <t>Wickford, Essex</t>
  </si>
  <si>
    <t>(Orignal Prices based on this location)</t>
  </si>
  <si>
    <t xml:space="preserve">District: </t>
  </si>
  <si>
    <t>Basildon</t>
  </si>
  <si>
    <t xml:space="preserve">Grid reference: </t>
  </si>
  <si>
    <t>TQ7693</t>
  </si>
  <si>
    <t xml:space="preserve">Postcode: </t>
  </si>
  <si>
    <t>SS11 8LY</t>
  </si>
  <si>
    <t xml:space="preserve">Dates: </t>
  </si>
  <si>
    <t>Receipt:</t>
  </si>
  <si>
    <t>(Original Prices based on this date)</t>
  </si>
  <si>
    <t>Base:</t>
  </si>
  <si>
    <t xml:space="preserve">Project details: </t>
  </si>
  <si>
    <t>2 storey 1Nr form entry secondary school teaching block together with external works comprising site preparation, paving, fencing, gates, drainage, services and lighting. Demolition.</t>
  </si>
  <si>
    <t xml:space="preserve">Site conditions: </t>
  </si>
  <si>
    <t>Level operational infill school site with restricted working space and site access.</t>
  </si>
  <si>
    <t xml:space="preserve">Client: </t>
  </si>
  <si>
    <t>Essex County Council</t>
  </si>
  <si>
    <t xml:space="preserve">Tender documentation: </t>
  </si>
  <si>
    <t>Activity schedule</t>
  </si>
  <si>
    <t xml:space="preserve">Contract: </t>
  </si>
  <si>
    <t>NEC4 priced contract 2017 (option A or B)</t>
  </si>
  <si>
    <t xml:space="preserve">Cost fluctuations: </t>
  </si>
  <si>
    <t>Fixed</t>
  </si>
  <si>
    <t xml:space="preserve">Basis of cost: </t>
  </si>
  <si>
    <t>Contract</t>
  </si>
  <si>
    <t>Contract breakdown</t>
  </si>
  <si>
    <t xml:space="preserve">Measured work: </t>
  </si>
  <si>
    <t xml:space="preserve">Provisional sums: </t>
  </si>
  <si>
    <t xml:space="preserve">Prime cost sums: </t>
  </si>
  <si>
    <t xml:space="preserve">Preliminaries: </t>
  </si>
  <si>
    <t xml:space="preserve">Contractor design fees: </t>
  </si>
  <si>
    <t xml:space="preserve">Contract sum: </t>
  </si>
  <si>
    <t xml:space="preserve">Accommodation and design features: </t>
  </si>
  <si>
    <t>2 storey 1FE secondary school teaching block providing 150Nr pupil places comprising, 2Nr music rooms, music resource store, nurture room, office, plant room, lobby and WCs to ground floor; and 2Nr general science laboratories, chemical store, science prep room, general classroom, group room, office, WCs and link corridor to existing school to first floor. Concrete strip foundations. Steel frame. Facing brick and insulated rendered external walls. Aluminium double glazed windows and doors. Wall, floor and ceiling finishes. Fittings and furnishings. Sanitaryware. Air source heat pumps. Power and light including PV. BMS, data, public address, TV, CCTV, fire, intruder and panic alarms.</t>
  </si>
  <si>
    <t xml:space="preserve">Basement: </t>
  </si>
  <si>
    <t>m2</t>
  </si>
  <si>
    <t xml:space="preserve">Ground floor: </t>
  </si>
  <si>
    <t xml:space="preserve">First floor: </t>
  </si>
  <si>
    <t>688m2 gross floor area (I've measured ASSUMPTION)</t>
  </si>
  <si>
    <t xml:space="preserve">Functional unit: </t>
  </si>
  <si>
    <t>No places</t>
  </si>
  <si>
    <t xml:space="preserve">Storeys as % of gross floor area: </t>
  </si>
  <si>
    <t>2 storey</t>
  </si>
  <si>
    <t>Elements</t>
  </si>
  <si>
    <t>Example on Teams - Interim Valuation (%)</t>
  </si>
  <si>
    <t>Interim Valuations Calculations (£)</t>
  </si>
  <si>
    <t>Element</t>
  </si>
  <si>
    <t>Total cost (£)</t>
  </si>
  <si>
    <t>Cost per m² (£)</t>
  </si>
  <si>
    <t>Element unit quantity</t>
  </si>
  <si>
    <t>Element unit rate</t>
  </si>
  <si>
    <t>Percentage (%)</t>
  </si>
  <si>
    <t>5th Month(Previous Month) (%)</t>
  </si>
  <si>
    <t>6th Month (Current Month)(%)</t>
  </si>
  <si>
    <t>5th Month (Previous Month) (£)</t>
  </si>
  <si>
    <t>6th Month (Current Month) (£)</t>
  </si>
  <si>
    <t>Difference between 5th and 6th Month (£)</t>
  </si>
  <si>
    <t>01 Substructure</t>
  </si>
  <si>
    <t>02.01 Frame</t>
  </si>
  <si>
    <t>%</t>
  </si>
  <si>
    <t>02.02 Upper Floors</t>
  </si>
  <si>
    <t>02.03 Roof</t>
  </si>
  <si>
    <t>02.04 Stairs</t>
  </si>
  <si>
    <t>02.05 External Walls</t>
  </si>
  <si>
    <t>02.06 External Windows and Doors</t>
  </si>
  <si>
    <t>02.07 Internal Walls and Partitions</t>
  </si>
  <si>
    <t>02.08 Internal Doors</t>
  </si>
  <si>
    <t>02 Superstructure</t>
  </si>
  <si>
    <t>03.01 Wall Finishes</t>
  </si>
  <si>
    <t>03.02 Floor Finishes</t>
  </si>
  <si>
    <t>03.03 Ceiling Finishes</t>
  </si>
  <si>
    <t>03 Finishes</t>
  </si>
  <si>
    <t>04 Fittings, Furnishings and Equipment</t>
  </si>
  <si>
    <t>05.01 Sanitary Installations</t>
  </si>
  <si>
    <t>05.02 Services Equipment</t>
  </si>
  <si>
    <t>05.03 Disposal Installations</t>
  </si>
  <si>
    <t>05.04 Water Installations</t>
  </si>
  <si>
    <t>05.05 Heat Source (Costs included elsewhere)</t>
  </si>
  <si>
    <t>05.06 Space Heating and Air Conditioning (Costs include other elements)</t>
  </si>
  <si>
    <t>05.07 Ventilating Systems</t>
  </si>
  <si>
    <t>05.08 Electrical Installations</t>
  </si>
  <si>
    <t>05.09 Fuel Installations</t>
  </si>
  <si>
    <t>05.10 Lift and Conveyor Installations</t>
  </si>
  <si>
    <t>05.11 Fire and Lightning Protection</t>
  </si>
  <si>
    <t>05.12 Communications and Security Installations</t>
  </si>
  <si>
    <t>05.13 Special Installations</t>
  </si>
  <si>
    <t>05.14 Builder's Work in Connection with Services (BWIC)</t>
  </si>
  <si>
    <t>05 Services</t>
  </si>
  <si>
    <t>06 Prefabricated Buildings and Building Units</t>
  </si>
  <si>
    <t>07 Work to Existing Building</t>
  </si>
  <si>
    <t xml:space="preserve"> Building Sub-total</t>
  </si>
  <si>
    <t>08.01 Site Preparation Works</t>
  </si>
  <si>
    <t>08.02 Roads, Paths, Pavings and Surfacings</t>
  </si>
  <si>
    <t>08.03 Soft Landscaping, Planting and Irrigation Systems</t>
  </si>
  <si>
    <t>08.04 Fencing, Railings and Walls</t>
  </si>
  <si>
    <t>08.05 External Fixtures</t>
  </si>
  <si>
    <t>08.06 External Drainage</t>
  </si>
  <si>
    <t>08.07 External Services (Costs include other elements)</t>
  </si>
  <si>
    <t>08.08 Minor Building Works and Ancillary Buildings</t>
  </si>
  <si>
    <t>08 External Works</t>
  </si>
  <si>
    <t>00.01 Toxic/Hazardous/Contaminated Material Treatment</t>
  </si>
  <si>
    <t>00.02 Major Demolition Works</t>
  </si>
  <si>
    <t>00.03 Temporary Support to Adjacent Structures</t>
  </si>
  <si>
    <t>00.04 Specialist Groundworks</t>
  </si>
  <si>
    <t>00.05 Temporary Diversion Works (Costs included elsewhere)</t>
  </si>
  <si>
    <t>00.06 Extraordinary Site Investigation</t>
  </si>
  <si>
    <t>00 Facilitating Works</t>
  </si>
  <si>
    <t>09 Preliminaries</t>
  </si>
  <si>
    <t>10 Main Contractor's Overheads and Profit</t>
  </si>
  <si>
    <t xml:space="preserve"> Total (less Design Fees)</t>
  </si>
  <si>
    <t>11 Project/Design Team Fees</t>
  </si>
  <si>
    <t>12 Other Development/Project Costs</t>
  </si>
  <si>
    <t>13 Risk (Clients Contingencies)</t>
  </si>
  <si>
    <t xml:space="preserve"> Total Contract sum</t>
  </si>
  <si>
    <t>Credits:</t>
  </si>
  <si>
    <t>Submitted by</t>
  </si>
  <si>
    <t>Client</t>
  </si>
  <si>
    <t>Architect</t>
  </si>
  <si>
    <t>Concertus</t>
  </si>
  <si>
    <t>General Contractor</t>
  </si>
  <si>
    <t>Barnes Construction</t>
  </si>
  <si>
    <t>Interim Payment</t>
  </si>
  <si>
    <t>Contract:</t>
  </si>
  <si>
    <t>07796 835604</t>
  </si>
  <si>
    <t>Employer:</t>
  </si>
  <si>
    <t>Mr. John George</t>
  </si>
  <si>
    <t>Address:</t>
  </si>
  <si>
    <t>tostconstruction@outlook.com</t>
  </si>
  <si>
    <t>Contractor:</t>
  </si>
  <si>
    <t>Mr. Sam Williams</t>
  </si>
  <si>
    <t>43, Elkingkton Road, Swansea</t>
  </si>
  <si>
    <t>Payment Nr:</t>
  </si>
  <si>
    <t>Period Ending :</t>
  </si>
  <si>
    <t xml:space="preserve">Assessment Date: </t>
  </si>
  <si>
    <t xml:space="preserve">Date of Issue: </t>
  </si>
  <si>
    <t>Our assessment of the above Contract indicates that the following payment is due from the Employer to</t>
  </si>
  <si>
    <t>the Contractor.</t>
  </si>
  <si>
    <t>General Items</t>
  </si>
  <si>
    <t>£</t>
  </si>
  <si>
    <t>Work</t>
  </si>
  <si>
    <t>Disallowed Costs</t>
  </si>
  <si>
    <t>Management Fee @ 0%</t>
  </si>
  <si>
    <t>Gross Valuation</t>
  </si>
  <si>
    <r>
      <rPr>
        <u/>
        <sz val="10"/>
        <color rgb="FF000000"/>
        <rFont val="Arial"/>
      </rPr>
      <t>Less</t>
    </r>
    <r>
      <rPr>
        <sz val="11"/>
        <color rgb="FF000000"/>
        <rFont val="Aptos Narrow"/>
      </rPr>
      <t xml:space="preserve"> Retention @ 0%</t>
    </r>
  </si>
  <si>
    <t>Net Valuation</t>
  </si>
  <si>
    <r>
      <t>Less</t>
    </r>
    <r>
      <rPr>
        <sz val="11"/>
        <color theme="1"/>
        <rFont val="Aptos Narrow"/>
        <family val="2"/>
        <scheme val="minor"/>
      </rPr>
      <t xml:space="preserve"> Previously Certified</t>
    </r>
  </si>
  <si>
    <t xml:space="preserve">Balance Due - </t>
  </si>
  <si>
    <t>Payment To Be Received By:</t>
  </si>
  <si>
    <t>Andrew Hughes</t>
  </si>
  <si>
    <t>Value Added Tax</t>
  </si>
  <si>
    <t>at Standard Rate (17.5%)</t>
  </si>
  <si>
    <t>at Zero Rate</t>
  </si>
  <si>
    <t>Total VAT Payable  £</t>
  </si>
  <si>
    <t>Signed by Project Manager:</t>
  </si>
  <si>
    <t>Ioan Phillip</t>
  </si>
  <si>
    <t>Date:</t>
  </si>
  <si>
    <t>Adjusting Rates for the Project in February 2025</t>
  </si>
  <si>
    <t>Proposed 2 Storey 1FE Secondary School Teaching Block</t>
  </si>
  <si>
    <t>Total Contract Sum Prior to Adjustment:</t>
  </si>
  <si>
    <t>Budget Calculation</t>
  </si>
  <si>
    <t>Example from the Elemental Sheet</t>
  </si>
  <si>
    <t>Proposed Project in February 2025</t>
  </si>
  <si>
    <t>Location:</t>
  </si>
  <si>
    <t>Essex</t>
  </si>
  <si>
    <t>Swansea</t>
  </si>
  <si>
    <t>Date</t>
  </si>
  <si>
    <t>14th Novemeber 2023</t>
  </si>
  <si>
    <t>1st February 2025</t>
  </si>
  <si>
    <t>Tender Price Index:</t>
  </si>
  <si>
    <t>(provisional)</t>
  </si>
  <si>
    <t>(forecasted)</t>
  </si>
  <si>
    <t>Location Factor:</t>
  </si>
  <si>
    <t>(assumed)</t>
  </si>
  <si>
    <t>Pricing Adjustments (£)</t>
  </si>
  <si>
    <t>Tender Price Index Adjustment:</t>
  </si>
  <si>
    <t>Location Factor Adjustment:</t>
  </si>
  <si>
    <t>Indicative  Total  Construction Works Cost:</t>
  </si>
  <si>
    <t>Summary Sheet</t>
  </si>
  <si>
    <t>Element Ref</t>
  </si>
  <si>
    <t>Cost Summary (Prior to Indicies Adjustment)</t>
  </si>
  <si>
    <t>Cost Summary (Updated for Inflation)</t>
  </si>
  <si>
    <t>Cost Sumarry (Updated for Location and Inflation)</t>
  </si>
  <si>
    <t xml:space="preserve">Facilitating Works </t>
  </si>
  <si>
    <t>Subcstructure</t>
  </si>
  <si>
    <t>Superstructure</t>
  </si>
  <si>
    <t>Finishes</t>
  </si>
  <si>
    <t>Fittings, Furnishings and Equipment</t>
  </si>
  <si>
    <t>Services</t>
  </si>
  <si>
    <t>Prefabricated Buildings and Building Units</t>
  </si>
  <si>
    <t>Work to Existing Building</t>
  </si>
  <si>
    <t>External Works</t>
  </si>
  <si>
    <t>Preliminaries</t>
  </si>
  <si>
    <t>Main Contractor's Overheads and Profit</t>
  </si>
  <si>
    <t>Project/Design Team Fees</t>
  </si>
  <si>
    <t>Other Development/Project Costs</t>
  </si>
  <si>
    <t>Risk (Client Contigencies)</t>
  </si>
  <si>
    <t>Total:</t>
  </si>
  <si>
    <r>
      <rPr>
        <b/>
        <sz val="11"/>
        <color rgb="FF000000"/>
        <rFont val="Aptos Narrow"/>
        <scheme val="minor"/>
      </rPr>
      <t>Personal Note:</t>
    </r>
    <r>
      <rPr>
        <sz val="11"/>
        <color rgb="FF000000"/>
        <rFont val="Aptos Narrow"/>
        <scheme val="minor"/>
      </rPr>
      <t xml:space="preserve"> Adjusting for inflation and market conditions first, then refining for location cost differences.</t>
    </r>
  </si>
  <si>
    <t>Queuery Sheet (Addressed through in class discussions)</t>
  </si>
  <si>
    <r>
      <rPr>
        <b/>
        <sz val="11"/>
        <color rgb="FF000000"/>
        <rFont val="Aptos Narrow"/>
        <scheme val="minor"/>
      </rPr>
      <t>Name:</t>
    </r>
    <r>
      <rPr>
        <sz val="11"/>
        <color rgb="FF000000"/>
        <rFont val="Aptos Narrow"/>
        <scheme val="minor"/>
      </rPr>
      <t xml:space="preserve"> Toby George</t>
    </r>
  </si>
  <si>
    <r>
      <rPr>
        <b/>
        <sz val="11"/>
        <color rgb="FF000000"/>
        <rFont val="Aptos Narrow"/>
        <scheme val="minor"/>
      </rPr>
      <t>Lecturer</t>
    </r>
    <r>
      <rPr>
        <sz val="11"/>
        <color rgb="FF000000"/>
        <rFont val="Aptos Narrow"/>
        <scheme val="minor"/>
      </rPr>
      <t xml:space="preserve">: Dr. Deborah Hughes </t>
    </r>
  </si>
  <si>
    <r>
      <rPr>
        <b/>
        <sz val="11"/>
        <color rgb="FF000000"/>
        <rFont val="Aptos Narrow"/>
        <scheme val="minor"/>
      </rPr>
      <t>Project:</t>
    </r>
    <r>
      <rPr>
        <sz val="11"/>
        <color rgb="FF000000"/>
        <rFont val="Aptos Narrow"/>
        <scheme val="minor"/>
      </rPr>
      <t xml:space="preserve"> Two Storey School</t>
    </r>
  </si>
  <si>
    <r>
      <rPr>
        <b/>
        <sz val="11"/>
        <color rgb="FF000000"/>
        <rFont val="Aptos Narrow"/>
        <scheme val="minor"/>
      </rPr>
      <t>Student Email</t>
    </r>
    <r>
      <rPr>
        <sz val="11"/>
        <color rgb="FF000000"/>
        <rFont val="Aptos Narrow"/>
        <scheme val="minor"/>
      </rPr>
      <t>: 2204590@student.uwtsd.ac.uk</t>
    </r>
  </si>
  <si>
    <t xml:space="preserve">Query Number </t>
  </si>
  <si>
    <t xml:space="preserve">Query </t>
  </si>
  <si>
    <t>Response</t>
  </si>
  <si>
    <t>Can I confirm that the Retention and Management Fee is set at 0%?</t>
  </si>
  <si>
    <t>Yes, Retention and Management can be assumed as 0%.</t>
  </si>
  <si>
    <t>Can I confirm with you whether the 688m2 GIFA is acceptable?</t>
  </si>
  <si>
    <t>Yes, 688m2 GIFA can be assumed.</t>
  </si>
  <si>
    <t>Are there any additional allowances or fees required for the budget?</t>
  </si>
  <si>
    <t>No, but can add risk, fees and OH/P if wanted.</t>
  </si>
  <si>
    <t>Can I confirm the Interim Valuation value is acceptable?</t>
  </si>
  <si>
    <t xml:space="preserve">Yes, the value seems reasonable. </t>
  </si>
  <si>
    <t>Can I keep the highlighted elements on the Elemental sheet</t>
  </si>
  <si>
    <t>Yes please.</t>
  </si>
  <si>
    <t>to emphasise which costs have been requested?</t>
  </si>
  <si>
    <t xml:space="preserve">Are you satisified with the selected specifications for substructure, </t>
  </si>
  <si>
    <t>Yes, these specifications can be used.</t>
  </si>
  <si>
    <t>internal doors and flooring?</t>
  </si>
  <si>
    <t>Would you like me to include a price for Services Equipment?</t>
  </si>
  <si>
    <t>No, keep it at £0.</t>
  </si>
  <si>
    <t>Can I confirm the Swansea LF is 220 and Essex LF is 119.</t>
  </si>
  <si>
    <t>Yes, this can be used.</t>
  </si>
  <si>
    <t xml:space="preserve">General Information </t>
  </si>
  <si>
    <t>Elements are based on NRM:1 Rules of Measurement for Elemental Method of Estimating.</t>
  </si>
  <si>
    <t xml:space="preserve">All rates are based on Spon's Architects and Builder's Price Book 2020. </t>
  </si>
  <si>
    <t>The indicies have been adjusted for the Proposed Project in February 2025., following clarification on the indices provided.</t>
  </si>
  <si>
    <t>Cubilce doors are not included as internal door.</t>
  </si>
  <si>
    <t>Double doors have been counted as a single door.</t>
  </si>
  <si>
    <t>Doors in the coriddor and the single doorway leading to the store room have been included in the budget.</t>
  </si>
  <si>
    <t>Due to certain elements being estimated rather than precisely defined, all costs are based on higher end rates.</t>
  </si>
  <si>
    <t>A simple reinforced concrete raft foundation is used for development, up to two storey high.</t>
  </si>
  <si>
    <t>Standard internal doors with a single leaf and saple veneered finish are used.</t>
  </si>
  <si>
    <t>Floor finish; Sheet/board flooring, chipboard 18mm to 22mm thick cardboard flooring t&amp;g joints is used.</t>
  </si>
  <si>
    <t>NRM 1 Procedures</t>
  </si>
  <si>
    <t>Calculations</t>
  </si>
  <si>
    <t>Spons Rates</t>
  </si>
  <si>
    <t xml:space="preserve">1.1.1 Substructure </t>
  </si>
  <si>
    <t>1.1.1 Substructure</t>
  </si>
  <si>
    <t>&lt;--GF (m2)</t>
  </si>
  <si>
    <t>£/m2</t>
  </si>
  <si>
    <t>&lt;--Spons Rate (£/m2)</t>
  </si>
  <si>
    <t>&lt;--GF x Spons Rate</t>
  </si>
  <si>
    <t>nr</t>
  </si>
  <si>
    <t>&lt;--Internal Doors (nr)</t>
  </si>
  <si>
    <t>£/nr</t>
  </si>
  <si>
    <t xml:space="preserve">£ </t>
  </si>
  <si>
    <t>&lt;--Internal Doors x Spons Rate</t>
  </si>
  <si>
    <t>3.02 Floor Finishes</t>
  </si>
  <si>
    <t xml:space="preserve">03.02 Floor FInishes </t>
  </si>
  <si>
    <t>&lt;-- Floor Finishes (m2)</t>
  </si>
  <si>
    <t>&lt;-- Floor Finishes x Spons Rate</t>
  </si>
  <si>
    <t xml:space="preserve">05.02 Services Equipment </t>
  </si>
  <si>
    <t>&lt;--Services Equipment (nr)</t>
  </si>
  <si>
    <t>&lt;--Spons Rate (£/nr)</t>
  </si>
  <si>
    <t>&lt;-- Services Equipment x Spons Rate</t>
  </si>
  <si>
    <t>Clarified with lecturer, Services Equipment as £0 for Elemental Sheet</t>
  </si>
  <si>
    <t>Bill of Quantity (BoQ)</t>
  </si>
  <si>
    <t>Code</t>
  </si>
  <si>
    <t>Item No.</t>
  </si>
  <si>
    <t>Description</t>
  </si>
  <si>
    <t xml:space="preserve">Quantity </t>
  </si>
  <si>
    <t xml:space="preserve">Unit </t>
  </si>
  <si>
    <t>Unit Rate (£)</t>
  </si>
  <si>
    <t>Total (£)</t>
  </si>
  <si>
    <t>1.1.1</t>
  </si>
  <si>
    <t>A</t>
  </si>
  <si>
    <t>Raft foundations, simple reinforced concrete raft on</t>
  </si>
  <si>
    <t>m^2</t>
  </si>
  <si>
    <t>poorer ground for development up to two storey high</t>
  </si>
  <si>
    <t>B</t>
  </si>
  <si>
    <t>Standard doors, cellular core; softwood; softwood</t>
  </si>
  <si>
    <t>architrave; aluminium ironmongery (latch only),</t>
  </si>
  <si>
    <t>single leaf; Sapele veneered finish</t>
  </si>
  <si>
    <t xml:space="preserve">C </t>
  </si>
  <si>
    <t>Sheet/board flooring, chipboard, 18mm to 22m thick</t>
  </si>
  <si>
    <t>chipboard flooring; t&amp;g joints</t>
  </si>
  <si>
    <t>Total carried forward to main summary (£)</t>
  </si>
  <si>
    <r>
      <rPr>
        <b/>
        <sz val="11"/>
        <color rgb="FF000000"/>
        <rFont val="Aptos Narrow"/>
        <scheme val="minor"/>
      </rPr>
      <t>Note:</t>
    </r>
    <r>
      <rPr>
        <sz val="11"/>
        <color rgb="FF000000"/>
        <rFont val="Aptos Narrow"/>
        <scheme val="minor"/>
      </rPr>
      <t xml:space="preserve"> Please refer to the Calculations for reference.</t>
    </r>
  </si>
  <si>
    <t>Summary = Value of work + profit (%) - (%) retention </t>
  </si>
  <si>
    <t>Value add 8% then ddt 5%</t>
  </si>
  <si>
    <t>S1:</t>
  </si>
  <si>
    <t>(Nett Rate)</t>
  </si>
  <si>
    <t>S2:</t>
  </si>
  <si>
    <t>Labour</t>
  </si>
  <si>
    <t>say 40%</t>
  </si>
  <si>
    <t>Say 84.99</t>
  </si>
  <si>
    <t>Material</t>
  </si>
  <si>
    <t>say 60%</t>
  </si>
  <si>
    <t>Say 12.33</t>
  </si>
  <si>
    <t>Plant</t>
  </si>
  <si>
    <t>Say 2.68</t>
  </si>
  <si>
    <t>S2.2:</t>
  </si>
  <si>
    <t>S3:</t>
  </si>
  <si>
    <t xml:space="preserve">Labour </t>
  </si>
  <si>
    <t>S1: Ddt OH/P % from material</t>
  </si>
  <si>
    <t>S3 might be wrong</t>
  </si>
  <si>
    <t>S2: Spons % breakdown</t>
  </si>
  <si>
    <t>This is better but can do (-) for cash out</t>
  </si>
  <si>
    <t>S4:</t>
  </si>
  <si>
    <t>(Gross Rate)</t>
  </si>
  <si>
    <t>S2.2: % breakdown to Nett Rate</t>
  </si>
  <si>
    <t>S3: Difference in material volume</t>
  </si>
  <si>
    <t>Month</t>
  </si>
  <si>
    <t>S4: Add OH/P % from material</t>
  </si>
  <si>
    <t>Cost</t>
  </si>
  <si>
    <t>Profit</t>
  </si>
  <si>
    <t>Retention</t>
  </si>
  <si>
    <t>Cash in</t>
  </si>
  <si>
    <t>Cash out</t>
  </si>
  <si>
    <t>Cash flow</t>
  </si>
  <si>
    <t>No cost or retention for the first month, as just cash coming out of the bank. Cash flow would be -cost (1st month)</t>
  </si>
  <si>
    <t>Cost = to pay (leaving bank account at the end of the month)</t>
  </si>
  <si>
    <t>Profit = Profit on last months cost (add)</t>
  </si>
  <si>
    <t>Retention = ddt on the profit</t>
  </si>
  <si>
    <t>Cash in = Total from the cost, profit and retention</t>
  </si>
  <si>
    <t>Cash out = From the current month</t>
  </si>
  <si>
    <t xml:space="preserve">Cash flow = Previous cash flow + cash in - cash out </t>
  </si>
  <si>
    <t>Total Project Cost - is a negative value</t>
  </si>
  <si>
    <t>Project 1</t>
  </si>
  <si>
    <t>Project 2</t>
  </si>
  <si>
    <t>Project 3</t>
  </si>
  <si>
    <t>Total Project Cost</t>
  </si>
  <si>
    <t xml:space="preserve">Cash out </t>
  </si>
  <si>
    <t xml:space="preserve">Exam marks </t>
  </si>
  <si>
    <t>6 MODULES</t>
  </si>
  <si>
    <t>5 MODULES</t>
  </si>
  <si>
    <t xml:space="preserve">Student Halls of Residence Cash Flow Forecast </t>
  </si>
  <si>
    <t>Cost (£)</t>
  </si>
  <si>
    <t>Profit (£)</t>
  </si>
  <si>
    <t>Retention (£)</t>
  </si>
  <si>
    <t>Cash in (£)</t>
  </si>
  <si>
    <t>Cash out (£)</t>
  </si>
  <si>
    <t>Cash flow (£)</t>
  </si>
  <si>
    <t>12 Month Project Completion</t>
  </si>
  <si>
    <t>12 Month Project Completion: 40% Retention Return</t>
  </si>
  <si>
    <t>6 Months After Project Completion: 60% Retention Return</t>
  </si>
  <si>
    <t>Forecasting the Cash Flow for the Student Halls of Residence with the Following Economic Conditions:</t>
  </si>
  <si>
    <t> </t>
  </si>
  <si>
    <t>Estimated cost of works: £16 million</t>
  </si>
  <si>
    <t>Duration: 12 months</t>
  </si>
  <si>
    <t>Profit: 9%</t>
  </si>
  <si>
    <t xml:space="preserve">Retention: 4% with 40% returned at the end of the project and the rest after 6 months. </t>
  </si>
  <si>
    <t>Please Note that for some reason the two figures in the Retention table have gone blank but the table above is what the figures should be.</t>
  </si>
  <si>
    <t>1. Calculate the cash-flow for the Student Halls of Residence.</t>
  </si>
  <si>
    <r>
      <rPr>
        <sz val="11"/>
        <color rgb="FF000000"/>
        <rFont val="Aptos Narrow"/>
      </rPr>
      <t xml:space="preserve">The </t>
    </r>
    <r>
      <rPr>
        <b/>
        <sz val="11"/>
        <color rgb="FF000000"/>
        <rFont val="Aptos Narrow"/>
      </rPr>
      <t>Cash Flow</t>
    </r>
    <r>
      <rPr>
        <sz val="11"/>
        <color rgb="FF000000"/>
        <rFont val="Aptos Narrow"/>
      </rPr>
      <t xml:space="preserve"> following the 12 month project completion is </t>
    </r>
    <r>
      <rPr>
        <b/>
        <sz val="11"/>
        <color rgb="FF000000"/>
        <rFont val="Aptos Narrow"/>
      </rPr>
      <t>£1,127,257.60.</t>
    </r>
    <r>
      <rPr>
        <sz val="11"/>
        <color rgb="FF000000"/>
        <rFont val="Aptos Narrow"/>
      </rPr>
      <t xml:space="preserve"> After, 40% retention return is </t>
    </r>
    <r>
      <rPr>
        <b/>
        <sz val="11"/>
        <color rgb="FF000000"/>
        <rFont val="Aptos Narrow"/>
      </rPr>
      <t xml:space="preserve">£450,903.04. </t>
    </r>
  </si>
  <si>
    <r>
      <rPr>
        <sz val="11"/>
        <color rgb="FF242424"/>
        <rFont val="Aptos Narrow"/>
      </rPr>
      <t xml:space="preserve">The remaining retention after 6 months is </t>
    </r>
    <r>
      <rPr>
        <b/>
        <sz val="11"/>
        <color rgb="FF242424"/>
        <rFont val="Aptos Narrow"/>
      </rPr>
      <t>£721,444.86.</t>
    </r>
  </si>
  <si>
    <t>2. When does the project become profitable?</t>
  </si>
  <si>
    <r>
      <rPr>
        <sz val="11"/>
        <color rgb="FF000000"/>
        <rFont val="Aptos Narrow"/>
      </rPr>
      <t xml:space="preserve">The project becomes </t>
    </r>
    <r>
      <rPr>
        <b/>
        <sz val="11"/>
        <color rgb="FF000000"/>
        <rFont val="Aptos Narrow"/>
      </rPr>
      <t>profitable</t>
    </r>
    <r>
      <rPr>
        <sz val="11"/>
        <color rgb="FF000000"/>
        <rFont val="Aptos Narrow"/>
      </rPr>
      <t xml:space="preserve"> at </t>
    </r>
    <r>
      <rPr>
        <b/>
        <sz val="11"/>
        <color rgb="FF000000"/>
        <rFont val="Aptos Narrow"/>
      </rPr>
      <t>month 10</t>
    </r>
    <r>
      <rPr>
        <sz val="11"/>
        <color rgb="FF000000"/>
        <rFont val="Aptos Narrow"/>
      </rPr>
      <t xml:space="preserve"> with a cash flow of </t>
    </r>
    <r>
      <rPr>
        <b/>
        <sz val="11"/>
        <color rgb="FF000000"/>
        <rFont val="Aptos Narrow"/>
      </rPr>
      <t>£386,720.00.</t>
    </r>
  </si>
  <si>
    <t>Whole Life Cycle with Potential Future Expansion in Year 5</t>
  </si>
  <si>
    <t>Whole Life Costing Over 30 Years</t>
  </si>
  <si>
    <t>Recurring Costs</t>
  </si>
  <si>
    <t xml:space="preserve">Frequency </t>
  </si>
  <si>
    <t>Total  Per Year (£)</t>
  </si>
  <si>
    <t>Pumps</t>
  </si>
  <si>
    <t>Without Service</t>
  </si>
  <si>
    <t>With Service Level 1</t>
  </si>
  <si>
    <t>With Service Level 2</t>
  </si>
  <si>
    <t>With Service Level 3</t>
  </si>
  <si>
    <t>Service Charge</t>
  </si>
  <si>
    <t>Twice a Year</t>
  </si>
  <si>
    <t>Small Pump</t>
  </si>
  <si>
    <t>Service Report</t>
  </si>
  <si>
    <t>Large Pump</t>
  </si>
  <si>
    <t>Standard Call Out Charge</t>
  </si>
  <si>
    <t>Assumption Twice a Year</t>
  </si>
  <si>
    <t>Priority Call Out Charge</t>
  </si>
  <si>
    <t>Assumption 0 a Year</t>
  </si>
  <si>
    <t xml:space="preserve">Pump Replacement </t>
  </si>
  <si>
    <t>Every 8 Years</t>
  </si>
  <si>
    <t>Average Parts Cost</t>
  </si>
  <si>
    <t>Two Parts a Year</t>
  </si>
  <si>
    <t xml:space="preserve">Total Accumulated (£) </t>
  </si>
  <si>
    <t>Fixed Costs (£)</t>
  </si>
  <si>
    <t>Whole Life Costing Without Service over 30 Years</t>
  </si>
  <si>
    <t>Whole Life Costing With Service over 30 Years</t>
  </si>
  <si>
    <t>30 Years Whole Life Costing WITHOUT Service</t>
  </si>
  <si>
    <t>30 Years Whole Life Costing WITH Service (Levels)</t>
  </si>
  <si>
    <t>Service Level 1 (£12,000 per year)</t>
  </si>
  <si>
    <t xml:space="preserve">Standard Call Out </t>
  </si>
  <si>
    <t>Large Pump (with 10% discount)</t>
  </si>
  <si>
    <t>Service Level 2 (£15,000 per year)</t>
  </si>
  <si>
    <t>Parts Replacement</t>
  </si>
  <si>
    <t>Service Level 3 (£20,000 per year)</t>
  </si>
  <si>
    <t xml:space="preserve">Total WITHOUT Service per Pump </t>
  </si>
  <si>
    <t>Recommendations over 30 Years (screenshot), Please see the Full Report.</t>
  </si>
  <si>
    <t>Note: Please see the full 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</si>
</sst>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Red]\-&quot;£&quot;#,##0"/>
    <numFmt numFmtId="165" formatCode="_-[$£-809]* #,##0.00_-;\-[$£-809]* #,##0.00_-;_-[$£-809]* &quot;-&quot;??_-;_-@_-"/>
    <numFmt numFmtId="166" formatCode="&quot;£&quot;#,##0.00;[Red]\-&quot;£&quot;#,##0.00"/>
    <numFmt numFmtId="167" formatCode="0.0"/>
  </numFmts>
  <fonts count="29">
    <font>
      <sz val="11"/>
      <color theme="1"/>
      <name val="Aptos Narrow"/>
      <family val="2"/>
      <scheme val="minor"/>
    </font>
    <font>
      <u/>
      <sz val="11"/>
      <color theme="1"/>
      <name val="Aptos Narrow"/>
      <family val="2"/>
      <scheme val="minor"/>
    </font>
    <font>
      <b/>
      <sz val="11"/>
      <color rgb="FF000000"/>
      <name val="Aptos Narrow"/>
      <scheme val="minor"/>
    </font>
    <font>
      <sz val="11"/>
      <color rgb="FF000000"/>
      <name val="Aptos Narrow"/>
      <scheme val="minor"/>
    </font>
    <font>
      <u/>
      <sz val="11"/>
      <color rgb="FF000000"/>
      <name val="Aptos Narrow"/>
      <scheme val="minor"/>
    </font>
    <font>
      <b/>
      <u/>
      <sz val="11"/>
      <color rgb="FF000000"/>
      <name val="Aptos Narrow"/>
      <scheme val="minor"/>
    </font>
    <font>
      <sz val="11"/>
      <color rgb="FFFF0000"/>
      <name val="Aptos Narrow"/>
      <scheme val="minor"/>
    </font>
    <font>
      <sz val="11"/>
      <color rgb="FF000000"/>
      <name val="Calibri"/>
      <charset val="1"/>
    </font>
    <font>
      <u/>
      <sz val="11"/>
      <color theme="10"/>
      <name val="Aptos Narrow"/>
      <family val="2"/>
      <scheme val="minor"/>
    </font>
    <font>
      <sz val="11"/>
      <color rgb="FF000000"/>
      <name val="Aptos Narrow"/>
      <charset val="1"/>
    </font>
    <font>
      <sz val="11"/>
      <color rgb="FFFF0000"/>
      <name val="Aptos Narrow"/>
      <charset val="1"/>
    </font>
    <font>
      <b/>
      <sz val="11"/>
      <color theme="1"/>
      <name val="Aptos Narrow"/>
      <family val="2"/>
      <scheme val="minor"/>
    </font>
    <font>
      <sz val="16"/>
      <name val="Arial"/>
      <family val="2"/>
    </font>
    <font>
      <b/>
      <sz val="10"/>
      <name val="Arial"/>
      <family val="2"/>
    </font>
    <font>
      <b/>
      <sz val="11"/>
      <name val="Times New Roman"/>
      <family val="1"/>
    </font>
    <font>
      <b/>
      <sz val="10"/>
      <name val="Arial"/>
    </font>
    <font>
      <u/>
      <sz val="10"/>
      <name val="Arial"/>
      <family val="2"/>
    </font>
    <font>
      <b/>
      <u/>
      <sz val="10"/>
      <name val="Arial"/>
      <family val="2"/>
    </font>
    <font>
      <b/>
      <sz val="9"/>
      <name val="Arial"/>
      <family val="2"/>
    </font>
    <font>
      <u/>
      <sz val="10"/>
      <color rgb="FF000000"/>
      <name val="Arial"/>
    </font>
    <font>
      <sz val="11"/>
      <color rgb="FF000000"/>
      <name val="Aptos Narrow"/>
    </font>
    <font>
      <u/>
      <sz val="10"/>
      <color rgb="FF000000"/>
      <name val="Arial"/>
      <family val="2"/>
    </font>
    <font>
      <sz val="11"/>
      <color rgb="FF242424"/>
      <name val="Aptos Narrow"/>
      <charset val="1"/>
    </font>
    <font>
      <b/>
      <u/>
      <sz val="11"/>
      <color theme="1"/>
      <name val="Aptos Narrow"/>
      <family val="2"/>
      <scheme val="minor"/>
    </font>
    <font>
      <b/>
      <sz val="11"/>
      <color rgb="FF000000"/>
      <name val="Aptos Narrow"/>
    </font>
    <font>
      <sz val="11"/>
      <color rgb="FF242424"/>
      <name val="Aptos Narrow"/>
    </font>
    <font>
      <b/>
      <sz val="11"/>
      <color rgb="FF242424"/>
      <name val="Aptos Narrow"/>
    </font>
    <font>
      <b/>
      <i/>
      <sz val="11"/>
      <color theme="1"/>
      <name val="Aptos Narrow"/>
      <family val="2"/>
      <scheme val="minor"/>
    </font>
    <font>
      <sz val="13.5"/>
      <color rgb="FF000000"/>
      <name val="Times New Roman"/>
      <charset val="1"/>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41"/>
        <bgColor indexed="64"/>
      </patternFill>
    </fill>
    <fill>
      <patternFill patternType="solid">
        <fgColor indexed="43"/>
        <bgColor indexed="64"/>
      </patternFill>
    </fill>
    <fill>
      <patternFill patternType="solid">
        <fgColor theme="5" tint="0.79998168889431442"/>
        <bgColor indexed="64"/>
      </patternFill>
    </fill>
  </fills>
  <borders count="73">
    <border>
      <left/>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top/>
      <bottom/>
      <diagonal/>
    </border>
    <border>
      <left style="thin">
        <color rgb="FF000000"/>
      </left>
      <right/>
      <top/>
      <bottom style="medium">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double">
        <color indexed="64"/>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bottom style="double">
        <color rgb="FF000000"/>
      </bottom>
      <diagonal/>
    </border>
    <border>
      <left style="thin">
        <color rgb="FF000000"/>
      </left>
      <right style="thin">
        <color rgb="FF000000"/>
      </right>
      <top/>
      <bottom style="double">
        <color rgb="FF000000"/>
      </bottom>
      <diagonal/>
    </border>
    <border>
      <left/>
      <right/>
      <top/>
      <bottom style="double">
        <color rgb="FF000000"/>
      </bottom>
      <diagonal/>
    </border>
    <border>
      <left style="thin">
        <color rgb="FF000000"/>
      </left>
      <right style="thin">
        <color rgb="FF000000"/>
      </right>
      <top style="thin">
        <color rgb="FF000000"/>
      </top>
      <bottom style="double">
        <color rgb="FF000000"/>
      </bottom>
      <diagonal/>
    </border>
    <border>
      <left/>
      <right style="thin">
        <color rgb="FF000000"/>
      </right>
      <top style="thin">
        <color rgb="FF000000"/>
      </top>
      <bottom style="double">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medium">
        <color rgb="FF000000"/>
      </top>
      <bottom/>
      <diagonal/>
    </border>
    <border>
      <left style="thin">
        <color rgb="FF000000"/>
      </left>
      <right/>
      <top style="thin">
        <color rgb="FF000000"/>
      </top>
      <bottom style="thin">
        <color rgb="FF000000"/>
      </bottom>
      <diagonal/>
    </border>
    <border>
      <left/>
      <right style="thin">
        <color rgb="FF000000"/>
      </right>
      <top/>
      <bottom style="double">
        <color rgb="FF000000"/>
      </bottom>
      <diagonal/>
    </border>
    <border>
      <left/>
      <right style="thin">
        <color rgb="FF000000"/>
      </right>
      <top style="thin">
        <color rgb="FF000000"/>
      </top>
      <bottom/>
      <diagonal/>
    </border>
    <border>
      <left/>
      <right/>
      <top style="medium">
        <color rgb="FF000000"/>
      </top>
      <bottom style="medium">
        <color rgb="FF000000"/>
      </bottom>
      <diagonal/>
    </border>
    <border>
      <left/>
      <right style="thin">
        <color rgb="FF000000"/>
      </right>
      <top/>
      <bottom style="medium">
        <color rgb="FF000000"/>
      </bottom>
      <diagonal/>
    </border>
    <border>
      <left/>
      <right style="medium">
        <color rgb="FF000000"/>
      </right>
      <top/>
      <bottom style="double">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bottom style="double">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2">
    <xf numFmtId="0" fontId="0" fillId="0" borderId="0"/>
    <xf numFmtId="0" fontId="8" fillId="0" borderId="0" applyNumberFormat="0" applyFill="0" applyBorder="0" applyAlignment="0" applyProtection="0"/>
  </cellStyleXfs>
  <cellXfs count="291">
    <xf numFmtId="0" fontId="0" fillId="0" borderId="0" xfId="0"/>
    <xf numFmtId="0" fontId="1" fillId="0" borderId="0" xfId="0" applyFont="1"/>
    <xf numFmtId="0" fontId="4" fillId="0" borderId="0" xfId="0" applyFont="1"/>
    <xf numFmtId="15" fontId="0" fillId="0" borderId="0" xfId="0" applyNumberFormat="1"/>
    <xf numFmtId="10" fontId="0" fillId="0" borderId="0" xfId="0" applyNumberFormat="1"/>
    <xf numFmtId="0" fontId="0" fillId="2" borderId="0" xfId="0" applyFill="1"/>
    <xf numFmtId="15" fontId="0" fillId="2" borderId="0" xfId="0" applyNumberFormat="1" applyFill="1"/>
    <xf numFmtId="0" fontId="0" fillId="2" borderId="1" xfId="0" applyFill="1" applyBorder="1"/>
    <xf numFmtId="0" fontId="0" fillId="0" borderId="2" xfId="0" applyBorder="1"/>
    <xf numFmtId="0" fontId="0" fillId="0" borderId="1" xfId="0" applyBorder="1"/>
    <xf numFmtId="0" fontId="0" fillId="3" borderId="1" xfId="0" applyFill="1" applyBorder="1"/>
    <xf numFmtId="0" fontId="0" fillId="0" borderId="3" xfId="0" applyBorder="1"/>
    <xf numFmtId="0" fontId="0" fillId="0" borderId="4" xfId="0" applyBorder="1"/>
    <xf numFmtId="0" fontId="0" fillId="0" borderId="0" xfId="0" applyAlignment="1">
      <alignment horizontal="left"/>
    </xf>
    <xf numFmtId="164" fontId="0" fillId="0" borderId="0" xfId="0" applyNumberFormat="1" applyAlignment="1">
      <alignment horizontal="left"/>
    </xf>
    <xf numFmtId="164" fontId="0" fillId="0" borderId="8" xfId="0" applyNumberFormat="1" applyBorder="1"/>
    <xf numFmtId="0" fontId="0" fillId="2" borderId="8" xfId="0" applyFill="1" applyBorder="1"/>
    <xf numFmtId="0" fontId="0" fillId="0" borderId="8" xfId="0" applyBorder="1"/>
    <xf numFmtId="0" fontId="0" fillId="0" borderId="9" xfId="0" applyBorder="1"/>
    <xf numFmtId="0" fontId="0" fillId="3" borderId="8" xfId="0" applyFill="1" applyBorder="1"/>
    <xf numFmtId="0" fontId="0" fillId="0" borderId="10" xfId="0" applyBorder="1"/>
    <xf numFmtId="0" fontId="7" fillId="0" borderId="0" xfId="0" applyFont="1"/>
    <xf numFmtId="0" fontId="0" fillId="0" borderId="0" xfId="0" applyAlignment="1">
      <alignment wrapText="1"/>
    </xf>
    <xf numFmtId="0" fontId="6" fillId="0" borderId="0" xfId="0" applyFont="1" applyAlignment="1">
      <alignment wrapText="1"/>
    </xf>
    <xf numFmtId="0" fontId="3" fillId="0" borderId="0" xfId="0" applyFont="1" applyAlignment="1">
      <alignment wrapText="1"/>
    </xf>
    <xf numFmtId="0" fontId="8" fillId="0" borderId="0" xfId="1"/>
    <xf numFmtId="0" fontId="0" fillId="0" borderId="10" xfId="0" applyBorder="1" applyAlignment="1">
      <alignment horizontal="left"/>
    </xf>
    <xf numFmtId="165" fontId="0" fillId="2" borderId="8" xfId="0" applyNumberFormat="1" applyFill="1" applyBorder="1"/>
    <xf numFmtId="0" fontId="10" fillId="0" borderId="0" xfId="0" applyFont="1" applyAlignment="1">
      <alignment wrapText="1"/>
    </xf>
    <xf numFmtId="16" fontId="0" fillId="0" borderId="0" xfId="0" applyNumberFormat="1"/>
    <xf numFmtId="165" fontId="0" fillId="0" borderId="0" xfId="0" applyNumberFormat="1"/>
    <xf numFmtId="0" fontId="0" fillId="0" borderId="10" xfId="0" applyBorder="1" applyAlignment="1">
      <alignment horizontal="center" wrapText="1"/>
    </xf>
    <xf numFmtId="0" fontId="11" fillId="0" borderId="0" xfId="0" applyFont="1" applyAlignment="1">
      <alignment wrapText="1"/>
    </xf>
    <xf numFmtId="166" fontId="0" fillId="2" borderId="8" xfId="0" applyNumberFormat="1" applyFill="1" applyBorder="1"/>
    <xf numFmtId="2" fontId="0" fillId="0" borderId="0" xfId="0" applyNumberFormat="1"/>
    <xf numFmtId="0" fontId="0" fillId="2" borderId="12" xfId="0" applyFill="1" applyBorder="1"/>
    <xf numFmtId="0" fontId="0" fillId="2" borderId="15" xfId="0" applyFill="1" applyBorder="1"/>
    <xf numFmtId="165" fontId="0" fillId="2" borderId="12" xfId="0" applyNumberFormat="1" applyFill="1" applyBorder="1"/>
    <xf numFmtId="165" fontId="0" fillId="2" borderId="0" xfId="0" applyNumberFormat="1" applyFill="1"/>
    <xf numFmtId="0" fontId="12" fillId="4" borderId="17" xfId="0" applyFont="1" applyFill="1" applyBorder="1" applyAlignment="1">
      <alignment horizontal="centerContinuous"/>
    </xf>
    <xf numFmtId="0" fontId="0" fillId="4" borderId="18" xfId="0" applyFill="1" applyBorder="1" applyAlignment="1">
      <alignment horizontal="centerContinuous"/>
    </xf>
    <xf numFmtId="0" fontId="12" fillId="4" borderId="18" xfId="0" applyFont="1" applyFill="1" applyBorder="1" applyAlignment="1">
      <alignment horizontal="centerContinuous"/>
    </xf>
    <xf numFmtId="3" fontId="0" fillId="4" borderId="18" xfId="0" applyNumberFormat="1" applyFill="1" applyBorder="1" applyAlignment="1">
      <alignment horizontal="centerContinuous"/>
    </xf>
    <xf numFmtId="0" fontId="0" fillId="4" borderId="19" xfId="0" applyFill="1" applyBorder="1" applyAlignment="1">
      <alignment horizontal="centerContinuous"/>
    </xf>
    <xf numFmtId="0" fontId="0" fillId="5" borderId="20" xfId="0" applyFill="1" applyBorder="1"/>
    <xf numFmtId="0" fontId="0" fillId="5" borderId="21" xfId="0" applyFill="1" applyBorder="1"/>
    <xf numFmtId="3" fontId="0" fillId="5" borderId="21" xfId="0" applyNumberFormat="1" applyFill="1" applyBorder="1"/>
    <xf numFmtId="0" fontId="0" fillId="5" borderId="22" xfId="0" applyFill="1" applyBorder="1"/>
    <xf numFmtId="0" fontId="0" fillId="5" borderId="23" xfId="0" applyFill="1" applyBorder="1"/>
    <xf numFmtId="0" fontId="13" fillId="5" borderId="0" xfId="0" applyFont="1" applyFill="1"/>
    <xf numFmtId="0" fontId="0" fillId="5" borderId="0" xfId="0" applyFill="1"/>
    <xf numFmtId="3" fontId="0" fillId="5" borderId="0" xfId="0" applyNumberFormat="1" applyFill="1" applyAlignment="1">
      <alignment horizontal="right"/>
    </xf>
    <xf numFmtId="1" fontId="13" fillId="5" borderId="0" xfId="0" applyNumberFormat="1" applyFont="1" applyFill="1" applyAlignment="1">
      <alignment horizontal="right"/>
    </xf>
    <xf numFmtId="0" fontId="0" fillId="5" borderId="24" xfId="0" applyFill="1" applyBorder="1"/>
    <xf numFmtId="3" fontId="0" fillId="5" borderId="0" xfId="0" applyNumberFormat="1" applyFill="1"/>
    <xf numFmtId="0" fontId="0" fillId="5" borderId="23" xfId="0" applyFill="1" applyBorder="1" applyAlignment="1">
      <alignment vertical="center"/>
    </xf>
    <xf numFmtId="0" fontId="15" fillId="5" borderId="0" xfId="0" applyFont="1" applyFill="1"/>
    <xf numFmtId="0" fontId="14" fillId="5" borderId="0" xfId="0" applyFont="1" applyFill="1"/>
    <xf numFmtId="0" fontId="13" fillId="5" borderId="0" xfId="0" applyFont="1" applyFill="1" applyAlignment="1">
      <alignment horizontal="left"/>
    </xf>
    <xf numFmtId="0" fontId="0" fillId="5" borderId="0" xfId="0" quotePrefix="1" applyFill="1"/>
    <xf numFmtId="0" fontId="0" fillId="5" borderId="0" xfId="0" applyFill="1" applyAlignment="1">
      <alignment horizontal="right"/>
    </xf>
    <xf numFmtId="15" fontId="13" fillId="5" borderId="0" xfId="0" applyNumberFormat="1" applyFont="1" applyFill="1"/>
    <xf numFmtId="15" fontId="13" fillId="5" borderId="0" xfId="0" applyNumberFormat="1" applyFont="1" applyFill="1" applyAlignment="1">
      <alignment horizontal="left"/>
    </xf>
    <xf numFmtId="15" fontId="0" fillId="5" borderId="0" xfId="0" quotePrefix="1" applyNumberFormat="1" applyFill="1" applyAlignment="1">
      <alignment horizontal="left"/>
    </xf>
    <xf numFmtId="0" fontId="0" fillId="5" borderId="25" xfId="0" applyFill="1" applyBorder="1"/>
    <xf numFmtId="0" fontId="0" fillId="5" borderId="26" xfId="0" applyFill="1" applyBorder="1"/>
    <xf numFmtId="3" fontId="0" fillId="5" borderId="26" xfId="0" applyNumberFormat="1" applyFill="1" applyBorder="1"/>
    <xf numFmtId="0" fontId="0" fillId="5" borderId="27" xfId="0" applyFill="1" applyBorder="1"/>
    <xf numFmtId="0" fontId="0" fillId="0" borderId="20" xfId="0" applyBorder="1"/>
    <xf numFmtId="0" fontId="0" fillId="0" borderId="21" xfId="0" applyBorder="1"/>
    <xf numFmtId="3" fontId="0" fillId="0" borderId="21" xfId="0" applyNumberFormat="1" applyBorder="1"/>
    <xf numFmtId="0" fontId="0" fillId="0" borderId="22" xfId="0" applyBorder="1"/>
    <xf numFmtId="0" fontId="0" fillId="0" borderId="23" xfId="0" applyBorder="1"/>
    <xf numFmtId="3" fontId="0" fillId="0" borderId="0" xfId="0" applyNumberFormat="1"/>
    <xf numFmtId="0" fontId="0" fillId="0" borderId="24" xfId="0" applyBorder="1"/>
    <xf numFmtId="0" fontId="0" fillId="0" borderId="23" xfId="0" applyBorder="1" applyAlignment="1">
      <alignment horizontal="center"/>
    </xf>
    <xf numFmtId="3" fontId="0" fillId="0" borderId="0" xfId="0" applyNumberFormat="1" applyAlignment="1">
      <alignment horizontal="right"/>
    </xf>
    <xf numFmtId="3" fontId="13" fillId="0" borderId="0" xfId="0" applyNumberFormat="1" applyFont="1"/>
    <xf numFmtId="0" fontId="15" fillId="0" borderId="23" xfId="0" applyFont="1" applyBorder="1" applyAlignment="1">
      <alignment horizontal="center"/>
    </xf>
    <xf numFmtId="0" fontId="15" fillId="0" borderId="0" xfId="0" applyFont="1"/>
    <xf numFmtId="3" fontId="15" fillId="0" borderId="0" xfId="0" applyNumberFormat="1" applyFont="1" applyAlignment="1">
      <alignment horizontal="right"/>
    </xf>
    <xf numFmtId="4" fontId="0" fillId="0" borderId="0" xfId="0" applyNumberFormat="1"/>
    <xf numFmtId="0" fontId="16" fillId="0" borderId="0" xfId="0" applyFont="1"/>
    <xf numFmtId="3" fontId="13" fillId="0" borderId="0" xfId="0" applyNumberFormat="1" applyFont="1" applyAlignment="1">
      <alignment horizontal="right"/>
    </xf>
    <xf numFmtId="3" fontId="13" fillId="0" borderId="28" xfId="0" applyNumberFormat="1" applyFont="1" applyBorder="1" applyAlignment="1">
      <alignment horizontal="right"/>
    </xf>
    <xf numFmtId="0" fontId="15" fillId="0" borderId="23" xfId="0" applyFont="1" applyBorder="1"/>
    <xf numFmtId="3" fontId="15" fillId="0" borderId="0" xfId="0" applyNumberFormat="1" applyFont="1"/>
    <xf numFmtId="0" fontId="17" fillId="0" borderId="0" xfId="0" applyFont="1"/>
    <xf numFmtId="0" fontId="15" fillId="0" borderId="0" xfId="0" applyFont="1" applyAlignment="1">
      <alignment horizontal="right"/>
    </xf>
    <xf numFmtId="15" fontId="15" fillId="0" borderId="28" xfId="0" applyNumberFormat="1" applyFont="1" applyBorder="1"/>
    <xf numFmtId="0" fontId="0" fillId="0" borderId="25" xfId="0" applyBorder="1" applyAlignment="1">
      <alignment horizontal="center"/>
    </xf>
    <xf numFmtId="0" fontId="0" fillId="0" borderId="26" xfId="0" applyBorder="1"/>
    <xf numFmtId="3" fontId="0" fillId="0" borderId="26" xfId="0" applyNumberFormat="1" applyBorder="1"/>
    <xf numFmtId="0" fontId="0" fillId="0" borderId="27" xfId="0" applyBorder="1"/>
    <xf numFmtId="0" fontId="15" fillId="5" borderId="23" xfId="0" applyFont="1" applyFill="1" applyBorder="1" applyAlignment="1">
      <alignment horizontal="center"/>
    </xf>
    <xf numFmtId="0" fontId="0" fillId="5" borderId="23" xfId="0" applyFill="1" applyBorder="1" applyAlignment="1">
      <alignment horizontal="right"/>
    </xf>
    <xf numFmtId="3" fontId="0" fillId="5" borderId="28" xfId="0" applyNumberFormat="1" applyFill="1" applyBorder="1"/>
    <xf numFmtId="0" fontId="13" fillId="5" borderId="0" xfId="0" applyFont="1" applyFill="1" applyAlignment="1">
      <alignment horizontal="right"/>
    </xf>
    <xf numFmtId="0" fontId="18" fillId="0" borderId="0" xfId="0" applyFont="1" applyAlignment="1">
      <alignment horizontal="right"/>
    </xf>
    <xf numFmtId="164" fontId="15" fillId="0" borderId="28" xfId="0" applyNumberFormat="1" applyFont="1" applyBorder="1"/>
    <xf numFmtId="0" fontId="0" fillId="0" borderId="28" xfId="0" applyBorder="1"/>
    <xf numFmtId="3" fontId="0" fillId="0" borderId="28" xfId="0" applyNumberFormat="1" applyBorder="1"/>
    <xf numFmtId="0" fontId="0" fillId="0" borderId="25" xfId="0" applyBorder="1"/>
    <xf numFmtId="0" fontId="21" fillId="0" borderId="0" xfId="0" applyFont="1"/>
    <xf numFmtId="0" fontId="0" fillId="0" borderId="14" xfId="0" applyBorder="1"/>
    <xf numFmtId="0" fontId="0" fillId="0" borderId="13" xfId="0" applyBorder="1"/>
    <xf numFmtId="0" fontId="0" fillId="0" borderId="12" xfId="0" applyBorder="1"/>
    <xf numFmtId="0" fontId="0" fillId="0" borderId="15" xfId="0" applyBorder="1"/>
    <xf numFmtId="165" fontId="0" fillId="0" borderId="12" xfId="0" applyNumberFormat="1" applyBorder="1"/>
    <xf numFmtId="0" fontId="0" fillId="0" borderId="16" xfId="0" applyBorder="1"/>
    <xf numFmtId="165" fontId="0" fillId="0" borderId="13" xfId="0" applyNumberFormat="1" applyBorder="1"/>
    <xf numFmtId="14" fontId="0" fillId="0" borderId="28" xfId="0" applyNumberFormat="1" applyBorder="1"/>
    <xf numFmtId="4" fontId="15" fillId="0" borderId="29" xfId="0" applyNumberFormat="1" applyFont="1" applyBorder="1"/>
    <xf numFmtId="4" fontId="13" fillId="5" borderId="29" xfId="0" applyNumberFormat="1" applyFont="1" applyFill="1" applyBorder="1"/>
    <xf numFmtId="4" fontId="0" fillId="5" borderId="0" xfId="0" applyNumberFormat="1" applyFill="1"/>
    <xf numFmtId="0" fontId="11" fillId="0" borderId="0" xfId="0" applyFont="1"/>
    <xf numFmtId="166" fontId="0" fillId="0" borderId="8" xfId="0" applyNumberFormat="1" applyBorder="1"/>
    <xf numFmtId="166" fontId="0" fillId="3" borderId="8" xfId="0" applyNumberFormat="1" applyFill="1" applyBorder="1"/>
    <xf numFmtId="0" fontId="0" fillId="0" borderId="1" xfId="0" applyBorder="1" applyAlignment="1">
      <alignment wrapText="1"/>
    </xf>
    <xf numFmtId="0" fontId="0" fillId="0" borderId="33" xfId="0" applyBorder="1"/>
    <xf numFmtId="0" fontId="0" fillId="0" borderId="35" xfId="0" applyBorder="1"/>
    <xf numFmtId="0" fontId="0" fillId="6" borderId="30" xfId="0" applyFill="1" applyBorder="1" applyAlignment="1">
      <alignment wrapText="1"/>
    </xf>
    <xf numFmtId="0" fontId="0" fillId="6" borderId="31" xfId="0" applyFill="1" applyBorder="1"/>
    <xf numFmtId="0" fontId="0" fillId="6" borderId="32" xfId="0" applyFill="1" applyBorder="1"/>
    <xf numFmtId="0" fontId="0" fillId="6" borderId="30" xfId="0" applyFill="1" applyBorder="1"/>
    <xf numFmtId="166" fontId="0" fillId="0" borderId="37" xfId="0" applyNumberFormat="1" applyBorder="1"/>
    <xf numFmtId="0" fontId="22" fillId="0" borderId="0" xfId="0" applyFont="1"/>
    <xf numFmtId="165" fontId="11" fillId="0" borderId="39" xfId="0" applyNumberFormat="1" applyFont="1" applyBorder="1"/>
    <xf numFmtId="0" fontId="1" fillId="0" borderId="3" xfId="0" applyFont="1" applyBorder="1"/>
    <xf numFmtId="4" fontId="13" fillId="0" borderId="39" xfId="0" applyNumberFormat="1" applyFont="1" applyBorder="1" applyAlignment="1">
      <alignment horizontal="right"/>
    </xf>
    <xf numFmtId="4" fontId="15" fillId="0" borderId="10" xfId="0" applyNumberFormat="1" applyFont="1" applyBorder="1"/>
    <xf numFmtId="4" fontId="13" fillId="0" borderId="10" xfId="0" applyNumberFormat="1" applyFont="1" applyBorder="1"/>
    <xf numFmtId="2" fontId="22" fillId="0" borderId="10" xfId="0" applyNumberFormat="1" applyFont="1" applyBorder="1"/>
    <xf numFmtId="4" fontId="13" fillId="0" borderId="39" xfId="0" applyNumberFormat="1" applyFont="1" applyBorder="1"/>
    <xf numFmtId="4" fontId="13" fillId="0" borderId="10" xfId="0" applyNumberFormat="1" applyFont="1" applyBorder="1" applyAlignment="1">
      <alignment horizontal="right"/>
    </xf>
    <xf numFmtId="3" fontId="13" fillId="0" borderId="10" xfId="0" applyNumberFormat="1" applyFont="1" applyBorder="1"/>
    <xf numFmtId="0" fontId="0" fillId="2" borderId="2" xfId="0" applyFill="1" applyBorder="1"/>
    <xf numFmtId="2" fontId="0" fillId="0" borderId="10" xfId="0" applyNumberFormat="1" applyBorder="1"/>
    <xf numFmtId="0" fontId="0" fillId="0" borderId="10" xfId="0" applyBorder="1" applyAlignment="1">
      <alignment horizontal="right"/>
    </xf>
    <xf numFmtId="0" fontId="11" fillId="0" borderId="39" xfId="0" applyFont="1" applyBorder="1"/>
    <xf numFmtId="2" fontId="11" fillId="0" borderId="39" xfId="0" applyNumberFormat="1" applyFont="1" applyBorder="1"/>
    <xf numFmtId="165" fontId="0" fillId="0" borderId="11" xfId="0" applyNumberFormat="1" applyBorder="1"/>
    <xf numFmtId="166" fontId="0" fillId="2" borderId="37" xfId="0" applyNumberFormat="1" applyFill="1" applyBorder="1"/>
    <xf numFmtId="166" fontId="0" fillId="0" borderId="12" xfId="0" applyNumberFormat="1" applyBorder="1"/>
    <xf numFmtId="0" fontId="0" fillId="3" borderId="0" xfId="0" applyFill="1"/>
    <xf numFmtId="166" fontId="0" fillId="2" borderId="12" xfId="0" applyNumberFormat="1" applyFill="1" applyBorder="1"/>
    <xf numFmtId="166" fontId="0" fillId="2" borderId="12" xfId="0" applyNumberFormat="1" applyFill="1" applyBorder="1" applyAlignment="1">
      <alignment horizontal="right"/>
    </xf>
    <xf numFmtId="166" fontId="0" fillId="3" borderId="12" xfId="0" applyNumberFormat="1" applyFill="1" applyBorder="1"/>
    <xf numFmtId="165" fontId="0" fillId="0" borderId="37" xfId="0" applyNumberFormat="1" applyBorder="1"/>
    <xf numFmtId="0" fontId="0" fillId="2" borderId="9" xfId="0" applyFill="1" applyBorder="1"/>
    <xf numFmtId="0" fontId="11" fillId="2" borderId="3" xfId="0" applyFont="1" applyFill="1" applyBorder="1"/>
    <xf numFmtId="166" fontId="0" fillId="2" borderId="9" xfId="0" applyNumberFormat="1" applyFill="1" applyBorder="1"/>
    <xf numFmtId="166" fontId="11" fillId="2" borderId="37" xfId="0" applyNumberFormat="1" applyFont="1" applyFill="1" applyBorder="1"/>
    <xf numFmtId="0" fontId="11" fillId="2" borderId="9" xfId="0" applyFont="1" applyFill="1" applyBorder="1"/>
    <xf numFmtId="0" fontId="11" fillId="2" borderId="4" xfId="0" applyFont="1" applyFill="1" applyBorder="1"/>
    <xf numFmtId="165" fontId="11" fillId="2" borderId="40" xfId="0" applyNumberFormat="1" applyFont="1" applyFill="1" applyBorder="1"/>
    <xf numFmtId="165" fontId="11" fillId="2" borderId="41" xfId="0" applyNumberFormat="1" applyFont="1" applyFill="1" applyBorder="1"/>
    <xf numFmtId="9" fontId="0" fillId="0" borderId="0" xfId="0" applyNumberFormat="1"/>
    <xf numFmtId="0" fontId="11" fillId="0" borderId="10" xfId="0" applyFont="1" applyBorder="1"/>
    <xf numFmtId="0" fontId="0" fillId="0" borderId="43" xfId="0" applyBorder="1"/>
    <xf numFmtId="0" fontId="0" fillId="0" borderId="44" xfId="0" applyBorder="1"/>
    <xf numFmtId="0" fontId="0" fillId="0" borderId="48" xfId="0" applyBorder="1"/>
    <xf numFmtId="0" fontId="0" fillId="0" borderId="49" xfId="0" applyBorder="1"/>
    <xf numFmtId="0" fontId="11" fillId="6" borderId="46" xfId="0" applyFont="1" applyFill="1" applyBorder="1"/>
    <xf numFmtId="0" fontId="11" fillId="6" borderId="49" xfId="0" applyFont="1" applyFill="1" applyBorder="1"/>
    <xf numFmtId="0" fontId="11" fillId="6" borderId="48" xfId="0" applyFont="1" applyFill="1" applyBorder="1"/>
    <xf numFmtId="0" fontId="0" fillId="0" borderId="46" xfId="0" applyBorder="1" applyAlignment="1">
      <alignment horizontal="center"/>
    </xf>
    <xf numFmtId="0" fontId="0" fillId="0" borderId="1" xfId="0" applyBorder="1" applyAlignment="1">
      <alignment horizontal="center"/>
    </xf>
    <xf numFmtId="0" fontId="0" fillId="0" borderId="51" xfId="0" applyBorder="1" applyAlignment="1">
      <alignment horizontal="center"/>
    </xf>
    <xf numFmtId="0" fontId="0" fillId="0" borderId="52" xfId="0" applyBorder="1"/>
    <xf numFmtId="0" fontId="0" fillId="0" borderId="53" xfId="0" applyBorder="1"/>
    <xf numFmtId="0" fontId="3" fillId="0" borderId="42" xfId="0" applyFont="1" applyBorder="1"/>
    <xf numFmtId="0" fontId="3" fillId="0" borderId="1" xfId="0" applyFont="1" applyBorder="1"/>
    <xf numFmtId="0" fontId="9" fillId="0" borderId="48" xfId="0" applyFont="1" applyBorder="1"/>
    <xf numFmtId="0" fontId="9" fillId="0" borderId="0" xfId="0" applyFont="1"/>
    <xf numFmtId="0" fontId="3" fillId="0" borderId="0" xfId="0" applyFont="1"/>
    <xf numFmtId="165" fontId="11" fillId="0" borderId="33" xfId="0" applyNumberFormat="1" applyFont="1" applyBorder="1"/>
    <xf numFmtId="165" fontId="23" fillId="0" borderId="34" xfId="0" applyNumberFormat="1" applyFont="1" applyBorder="1"/>
    <xf numFmtId="165" fontId="11" fillId="0" borderId="45" xfId="0" applyNumberFormat="1" applyFont="1" applyBorder="1"/>
    <xf numFmtId="165" fontId="11" fillId="0" borderId="4" xfId="0" applyNumberFormat="1" applyFont="1" applyBorder="1"/>
    <xf numFmtId="167" fontId="11" fillId="0" borderId="3" xfId="0" applyNumberFormat="1" applyFont="1" applyBorder="1" applyAlignment="1">
      <alignment horizontal="center" wrapText="1"/>
    </xf>
    <xf numFmtId="165" fontId="0" fillId="0" borderId="47" xfId="0" applyNumberFormat="1" applyBorder="1"/>
    <xf numFmtId="165" fontId="0" fillId="0" borderId="48" xfId="0" applyNumberFormat="1" applyBorder="1"/>
    <xf numFmtId="167" fontId="0" fillId="0" borderId="46" xfId="0" applyNumberFormat="1" applyBorder="1" applyAlignment="1">
      <alignment horizontal="center"/>
    </xf>
    <xf numFmtId="0" fontId="11" fillId="0" borderId="50" xfId="0" applyFont="1" applyBorder="1"/>
    <xf numFmtId="165" fontId="0" fillId="0" borderId="49" xfId="0" applyNumberFormat="1" applyBorder="1"/>
    <xf numFmtId="165" fontId="11" fillId="0" borderId="50" xfId="0" applyNumberFormat="1" applyFont="1" applyBorder="1"/>
    <xf numFmtId="0" fontId="23" fillId="6" borderId="42" xfId="0" applyFont="1" applyFill="1" applyBorder="1" applyAlignment="1">
      <alignment horizontal="center"/>
    </xf>
    <xf numFmtId="0" fontId="11" fillId="6" borderId="57" xfId="0" applyFont="1" applyFill="1" applyBorder="1" applyAlignment="1">
      <alignment horizontal="center"/>
    </xf>
    <xf numFmtId="0" fontId="11" fillId="6" borderId="43" xfId="0" applyFont="1" applyFill="1" applyBorder="1" applyAlignment="1">
      <alignment horizontal="center"/>
    </xf>
    <xf numFmtId="0" fontId="11" fillId="6" borderId="44" xfId="0" applyFont="1" applyFill="1" applyBorder="1" applyAlignment="1">
      <alignment horizontal="center"/>
    </xf>
    <xf numFmtId="167" fontId="0" fillId="0" borderId="46" xfId="0" applyNumberFormat="1" applyBorder="1" applyAlignment="1">
      <alignment horizontal="center" wrapText="1"/>
    </xf>
    <xf numFmtId="167" fontId="0" fillId="0" borderId="54" xfId="0" applyNumberFormat="1" applyBorder="1" applyAlignment="1">
      <alignment horizontal="center"/>
    </xf>
    <xf numFmtId="0" fontId="0" fillId="0" borderId="11" xfId="0" applyBorder="1"/>
    <xf numFmtId="165" fontId="0" fillId="0" borderId="55" xfId="0" applyNumberFormat="1" applyBorder="1"/>
    <xf numFmtId="165" fontId="0" fillId="0" borderId="56" xfId="0" applyNumberFormat="1" applyBorder="1"/>
    <xf numFmtId="167" fontId="0" fillId="0" borderId="1" xfId="0" applyNumberFormat="1" applyBorder="1" applyAlignment="1">
      <alignment horizontal="center"/>
    </xf>
    <xf numFmtId="165" fontId="0" fillId="0" borderId="2" xfId="0" applyNumberFormat="1" applyBorder="1"/>
    <xf numFmtId="167" fontId="0" fillId="0" borderId="1" xfId="0" applyNumberFormat="1" applyBorder="1" applyAlignment="1">
      <alignment horizontal="center" wrapText="1"/>
    </xf>
    <xf numFmtId="167" fontId="0" fillId="0" borderId="54" xfId="0" applyNumberFormat="1" applyBorder="1" applyAlignment="1">
      <alignment horizontal="center" wrapText="1"/>
    </xf>
    <xf numFmtId="0" fontId="0" fillId="0" borderId="0" xfId="0" applyAlignment="1">
      <alignment horizontal="center"/>
    </xf>
    <xf numFmtId="0" fontId="0" fillId="0" borderId="55" xfId="0" applyBorder="1"/>
    <xf numFmtId="0" fontId="0" fillId="0" borderId="8" xfId="0" applyBorder="1" applyAlignment="1">
      <alignment horizontal="center"/>
    </xf>
    <xf numFmtId="2" fontId="0" fillId="0" borderId="8" xfId="0" applyNumberFormat="1" applyBorder="1" applyAlignment="1">
      <alignment horizontal="center"/>
    </xf>
    <xf numFmtId="0" fontId="0" fillId="0" borderId="58" xfId="0" applyBorder="1"/>
    <xf numFmtId="0" fontId="0" fillId="0" borderId="12" xfId="0" applyBorder="1" applyAlignment="1">
      <alignment horizontal="center"/>
    </xf>
    <xf numFmtId="2" fontId="0" fillId="0" borderId="12" xfId="0" applyNumberFormat="1" applyBorder="1"/>
    <xf numFmtId="0" fontId="11" fillId="6" borderId="58" xfId="0" applyFont="1" applyFill="1" applyBorder="1" applyAlignment="1">
      <alignment horizontal="center"/>
    </xf>
    <xf numFmtId="0" fontId="11" fillId="6" borderId="11" xfId="0" applyFont="1" applyFill="1" applyBorder="1" applyAlignment="1">
      <alignment horizontal="center"/>
    </xf>
    <xf numFmtId="0" fontId="11" fillId="6" borderId="55" xfId="0" applyFont="1" applyFill="1" applyBorder="1" applyAlignment="1">
      <alignment horizontal="center"/>
    </xf>
    <xf numFmtId="0" fontId="11" fillId="6" borderId="14" xfId="0" applyFont="1" applyFill="1" applyBorder="1" applyAlignment="1">
      <alignment horizontal="center"/>
    </xf>
    <xf numFmtId="165" fontId="0" fillId="0" borderId="59" xfId="0" applyNumberFormat="1" applyBorder="1"/>
    <xf numFmtId="165" fontId="11" fillId="0" borderId="14" xfId="0" applyNumberFormat="1" applyFont="1" applyBorder="1"/>
    <xf numFmtId="165" fontId="0" fillId="0" borderId="8" xfId="0" applyNumberFormat="1" applyBorder="1"/>
    <xf numFmtId="165" fontId="0" fillId="0" borderId="35" xfId="0" applyNumberFormat="1" applyBorder="1"/>
    <xf numFmtId="165" fontId="0" fillId="0" borderId="0" xfId="0" applyNumberFormat="1" applyAlignment="1">
      <alignment horizontal="center"/>
    </xf>
    <xf numFmtId="0" fontId="0" fillId="6" borderId="10" xfId="0" applyFill="1" applyBorder="1"/>
    <xf numFmtId="0" fontId="11" fillId="6" borderId="0" xfId="0" applyFont="1" applyFill="1" applyAlignment="1">
      <alignment horizontal="center"/>
    </xf>
    <xf numFmtId="0" fontId="11" fillId="6" borderId="10" xfId="0" applyFont="1" applyFill="1" applyBorder="1"/>
    <xf numFmtId="0" fontId="0" fillId="0" borderId="47" xfId="0" applyBorder="1"/>
    <xf numFmtId="0" fontId="11" fillId="6" borderId="55" xfId="0" applyFont="1" applyFill="1" applyBorder="1"/>
    <xf numFmtId="0" fontId="11" fillId="6" borderId="47" xfId="0" applyFont="1" applyFill="1" applyBorder="1"/>
    <xf numFmtId="0" fontId="11" fillId="6" borderId="58" xfId="0" applyFont="1" applyFill="1" applyBorder="1"/>
    <xf numFmtId="0" fontId="0" fillId="0" borderId="36" xfId="0" applyBorder="1"/>
    <xf numFmtId="0" fontId="11" fillId="0" borderId="36" xfId="0" applyFont="1" applyBorder="1"/>
    <xf numFmtId="0" fontId="11" fillId="0" borderId="58" xfId="0" applyFont="1" applyBorder="1"/>
    <xf numFmtId="0" fontId="11" fillId="0" borderId="8" xfId="0" applyFont="1" applyBorder="1"/>
    <xf numFmtId="0" fontId="11" fillId="6" borderId="8" xfId="0" applyFont="1" applyFill="1" applyBorder="1" applyAlignment="1">
      <alignment horizontal="center"/>
    </xf>
    <xf numFmtId="0" fontId="11" fillId="6" borderId="12" xfId="0" applyFont="1" applyFill="1" applyBorder="1" applyAlignment="1">
      <alignment horizontal="center"/>
    </xf>
    <xf numFmtId="165" fontId="11" fillId="6" borderId="12" xfId="0" applyNumberFormat="1" applyFont="1" applyFill="1" applyBorder="1" applyAlignment="1">
      <alignment horizontal="center"/>
    </xf>
    <xf numFmtId="0" fontId="0" fillId="6" borderId="60" xfId="0" applyFill="1" applyBorder="1"/>
    <xf numFmtId="0" fontId="0" fillId="0" borderId="0" xfId="0" applyAlignment="1">
      <alignment horizontal="right"/>
    </xf>
    <xf numFmtId="0" fontId="11" fillId="6" borderId="5" xfId="0" applyFont="1" applyFill="1" applyBorder="1" applyAlignment="1">
      <alignment horizontal="center"/>
    </xf>
    <xf numFmtId="0" fontId="11" fillId="6" borderId="7" xfId="0" applyFont="1" applyFill="1" applyBorder="1" applyAlignment="1">
      <alignment horizontal="center"/>
    </xf>
    <xf numFmtId="165" fontId="0" fillId="0" borderId="33" xfId="0" applyNumberFormat="1" applyBorder="1"/>
    <xf numFmtId="165" fontId="0" fillId="0" borderId="9" xfId="0" applyNumberFormat="1" applyBorder="1"/>
    <xf numFmtId="165" fontId="0" fillId="0" borderId="34" xfId="0" applyNumberFormat="1" applyBorder="1"/>
    <xf numFmtId="0" fontId="11" fillId="6" borderId="5" xfId="0" applyFont="1" applyFill="1" applyBorder="1"/>
    <xf numFmtId="0" fontId="11" fillId="6" borderId="61" xfId="0" applyFont="1" applyFill="1" applyBorder="1"/>
    <xf numFmtId="0" fontId="11" fillId="6" borderId="6" xfId="0" applyFont="1" applyFill="1" applyBorder="1"/>
    <xf numFmtId="0" fontId="0" fillId="0" borderId="45" xfId="0" applyBorder="1"/>
    <xf numFmtId="0" fontId="0" fillId="0" borderId="62" xfId="0" applyBorder="1"/>
    <xf numFmtId="0" fontId="0" fillId="0" borderId="46" xfId="0" applyBorder="1"/>
    <xf numFmtId="0" fontId="0" fillId="0" borderId="54" xfId="0" applyBorder="1"/>
    <xf numFmtId="0" fontId="11" fillId="6" borderId="30" xfId="0" applyFont="1" applyFill="1" applyBorder="1"/>
    <xf numFmtId="0" fontId="11" fillId="6" borderId="31" xfId="0" applyFont="1" applyFill="1" applyBorder="1"/>
    <xf numFmtId="0" fontId="20" fillId="0" borderId="1" xfId="0" applyFont="1" applyBorder="1"/>
    <xf numFmtId="0" fontId="20" fillId="0" borderId="3" xfId="0" applyFont="1" applyBorder="1"/>
    <xf numFmtId="0" fontId="0" fillId="6" borderId="44" xfId="0" applyFill="1" applyBorder="1"/>
    <xf numFmtId="0" fontId="11" fillId="6" borderId="32" xfId="0" applyFont="1" applyFill="1" applyBorder="1"/>
    <xf numFmtId="0" fontId="25" fillId="0" borderId="1" xfId="0" applyFont="1" applyBorder="1"/>
    <xf numFmtId="165" fontId="11" fillId="0" borderId="63" xfId="0" applyNumberFormat="1" applyFont="1" applyBorder="1"/>
    <xf numFmtId="0" fontId="11" fillId="6" borderId="7" xfId="0" applyFont="1" applyFill="1" applyBorder="1" applyAlignment="1">
      <alignment horizontal="right"/>
    </xf>
    <xf numFmtId="0" fontId="11" fillId="6" borderId="11" xfId="0" applyFont="1" applyFill="1" applyBorder="1" applyAlignment="1">
      <alignment wrapText="1"/>
    </xf>
    <xf numFmtId="0" fontId="11" fillId="6" borderId="14" xfId="0" applyFont="1" applyFill="1" applyBorder="1"/>
    <xf numFmtId="0" fontId="11" fillId="6" borderId="13" xfId="0" applyFont="1" applyFill="1" applyBorder="1"/>
    <xf numFmtId="0" fontId="11" fillId="6" borderId="13" xfId="0" applyFont="1" applyFill="1" applyBorder="1" applyAlignment="1">
      <alignment wrapText="1"/>
    </xf>
    <xf numFmtId="0" fontId="11" fillId="6" borderId="6" xfId="0" applyFont="1" applyFill="1" applyBorder="1" applyAlignment="1">
      <alignment horizontal="center"/>
    </xf>
    <xf numFmtId="165" fontId="0" fillId="0" borderId="64" xfId="0" applyNumberFormat="1" applyBorder="1"/>
    <xf numFmtId="165" fontId="0" fillId="0" borderId="65" xfId="0" applyNumberFormat="1" applyBorder="1"/>
    <xf numFmtId="0" fontId="1" fillId="0" borderId="1" xfId="0" applyFont="1" applyBorder="1"/>
    <xf numFmtId="0" fontId="4" fillId="0" borderId="1" xfId="0" applyFont="1" applyBorder="1"/>
    <xf numFmtId="0" fontId="5" fillId="0" borderId="3" xfId="0" applyFont="1" applyBorder="1"/>
    <xf numFmtId="165" fontId="11" fillId="0" borderId="66" xfId="0" applyNumberFormat="1" applyFont="1" applyBorder="1"/>
    <xf numFmtId="0" fontId="23" fillId="6" borderId="42" xfId="0" applyFont="1" applyFill="1" applyBorder="1"/>
    <xf numFmtId="165" fontId="0" fillId="0" borderId="58" xfId="0" applyNumberFormat="1" applyBorder="1"/>
    <xf numFmtId="165" fontId="11" fillId="0" borderId="37" xfId="0" applyNumberFormat="1" applyFont="1" applyBorder="1"/>
    <xf numFmtId="165" fontId="11" fillId="0" borderId="40" xfId="0" applyNumberFormat="1" applyFont="1" applyBorder="1"/>
    <xf numFmtId="165" fontId="11" fillId="0" borderId="38" xfId="0" applyNumberFormat="1" applyFont="1" applyBorder="1"/>
    <xf numFmtId="0" fontId="11" fillId="0" borderId="47" xfId="0" applyFont="1" applyBorder="1" applyAlignment="1">
      <alignment horizontal="right"/>
    </xf>
    <xf numFmtId="0" fontId="11" fillId="0" borderId="35" xfId="0" applyFont="1" applyBorder="1" applyAlignment="1">
      <alignment horizontal="right"/>
    </xf>
    <xf numFmtId="0" fontId="2" fillId="0" borderId="0" xfId="0" applyFont="1"/>
    <xf numFmtId="165" fontId="11" fillId="0" borderId="55" xfId="0" applyNumberFormat="1" applyFont="1" applyBorder="1"/>
    <xf numFmtId="0" fontId="0" fillId="6" borderId="43" xfId="0" applyFill="1" applyBorder="1"/>
    <xf numFmtId="0" fontId="11" fillId="6" borderId="42" xfId="0" applyFont="1" applyFill="1" applyBorder="1"/>
    <xf numFmtId="0" fontId="11" fillId="6" borderId="67" xfId="0" applyFont="1" applyFill="1" applyBorder="1"/>
    <xf numFmtId="0" fontId="11" fillId="6" borderId="68" xfId="0" applyFont="1" applyFill="1" applyBorder="1"/>
    <xf numFmtId="0" fontId="11" fillId="0" borderId="6" xfId="0" applyFont="1" applyBorder="1"/>
    <xf numFmtId="0" fontId="11" fillId="0" borderId="69" xfId="0" applyFont="1" applyBorder="1"/>
    <xf numFmtId="165" fontId="0" fillId="0" borderId="15" xfId="0" applyNumberFormat="1" applyBorder="1"/>
    <xf numFmtId="0" fontId="11" fillId="0" borderId="70" xfId="0" applyFont="1" applyBorder="1"/>
    <xf numFmtId="165" fontId="0" fillId="0" borderId="71" xfId="0" applyNumberFormat="1" applyBorder="1"/>
    <xf numFmtId="165" fontId="0" fillId="0" borderId="53" xfId="0" applyNumberFormat="1" applyBorder="1"/>
    <xf numFmtId="0" fontId="0" fillId="6" borderId="14" xfId="0" applyFill="1" applyBorder="1"/>
    <xf numFmtId="0" fontId="27" fillId="0" borderId="0" xfId="0" applyFont="1"/>
    <xf numFmtId="0" fontId="11" fillId="6" borderId="72" xfId="0" applyFont="1" applyFill="1" applyBorder="1" applyAlignment="1">
      <alignment horizontal="center"/>
    </xf>
    <xf numFmtId="165" fontId="11" fillId="0" borderId="34" xfId="0" applyNumberFormat="1" applyFont="1" applyBorder="1"/>
    <xf numFmtId="0" fontId="28" fillId="0" borderId="0" xfId="0" applyFont="1"/>
    <xf numFmtId="0" fontId="8" fillId="5" borderId="0" xfId="1" applyFill="1" applyAlignment="1">
      <alignment vertical="center" wrapText="1"/>
    </xf>
    <xf numFmtId="0" fontId="8" fillId="0" borderId="0" xfId="1" applyAlignment="1">
      <alignment vertical="center" wrapText="1"/>
    </xf>
    <xf numFmtId="0" fontId="8" fillId="0" borderId="24" xfId="1" applyBorder="1" applyAlignment="1">
      <alignment vertical="center" wrapText="1"/>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a:ea typeface="Arial"/>
                <a:cs typeface="Arial"/>
              </a:defRPr>
            </a:pPr>
            <a:r>
              <a:rPr lang="en-US"/>
              <a:t>Whole Life Costing for Pumping Station Over 30 Years</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Arial"/>
              <a:ea typeface="Arial"/>
              <a:cs typeface="Arial"/>
            </a:defRPr>
          </a:pPr>
          <a:endParaRPr lang="en-US"/>
        </a:p>
      </c:txPr>
    </c:title>
    <c:autoTitleDeleted val="0"/>
    <c:plotArea>
      <c:layout/>
      <c:barChart>
        <c:barDir val="col"/>
        <c:grouping val="clustered"/>
        <c:varyColors val="0"/>
        <c:ser>
          <c:idx val="0"/>
          <c:order val="0"/>
          <c:tx>
            <c:strRef>
              <c:f>'Whole Life Costing '!$N$5</c:f>
              <c:strCache>
                <c:ptCount val="1"/>
                <c:pt idx="0">
                  <c:v>Small Pump</c:v>
                </c:pt>
              </c:strCache>
            </c:strRef>
          </c:tx>
          <c:spPr>
            <a:solidFill>
              <a:schemeClr val="accent1"/>
            </a:solidFill>
            <a:ln>
              <a:noFill/>
            </a:ln>
            <a:effectLst/>
          </c:spPr>
          <c:invertIfNegative val="0"/>
          <c:cat>
            <c:strRef>
              <c:f>'Whole Life Costing '!$O$4:$R$4</c:f>
              <c:strCache>
                <c:ptCount val="4"/>
                <c:pt idx="0">
                  <c:v>Without Service</c:v>
                </c:pt>
                <c:pt idx="1">
                  <c:v>With Service Level 1</c:v>
                </c:pt>
                <c:pt idx="2">
                  <c:v>With Service Level 2</c:v>
                </c:pt>
                <c:pt idx="3">
                  <c:v>With Service Level 3</c:v>
                </c:pt>
              </c:strCache>
            </c:strRef>
          </c:cat>
          <c:val>
            <c:numRef>
              <c:f>'Whole Life Costing '!$O$5:$R$5</c:f>
              <c:numCache>
                <c:formatCode>_-[$£-809]* #,##0.00_-;\-[$£-809]* #,##0.00_-;_-[$£-809]* "-"??_-;_-@_-</c:formatCode>
                <c:ptCount val="4"/>
                <c:pt idx="0">
                  <c:v>1500000</c:v>
                </c:pt>
                <c:pt idx="1">
                  <c:v>1755000</c:v>
                </c:pt>
                <c:pt idx="2">
                  <c:v>1845000</c:v>
                </c:pt>
                <c:pt idx="3">
                  <c:v>1650000</c:v>
                </c:pt>
              </c:numCache>
            </c:numRef>
          </c:val>
          <c:extLst>
            <c:ext xmlns:c16="http://schemas.microsoft.com/office/drawing/2014/chart" uri="{C3380CC4-5D6E-409C-BE32-E72D297353CC}">
              <c16:uniqueId val="{00000001-BDAA-47B5-842F-F5232491EED9}"/>
            </c:ext>
          </c:extLst>
        </c:ser>
        <c:ser>
          <c:idx val="1"/>
          <c:order val="1"/>
          <c:tx>
            <c:strRef>
              <c:f>'Whole Life Costing '!$N$6</c:f>
              <c:strCache>
                <c:ptCount val="1"/>
                <c:pt idx="0">
                  <c:v>Large Pump</c:v>
                </c:pt>
              </c:strCache>
            </c:strRef>
          </c:tx>
          <c:spPr>
            <a:solidFill>
              <a:schemeClr val="accent2"/>
            </a:solidFill>
            <a:ln>
              <a:noFill/>
            </a:ln>
            <a:effectLst/>
          </c:spPr>
          <c:invertIfNegative val="0"/>
          <c:cat>
            <c:strRef>
              <c:f>'Whole Life Costing '!$O$4:$R$4</c:f>
              <c:strCache>
                <c:ptCount val="4"/>
                <c:pt idx="0">
                  <c:v>Without Service</c:v>
                </c:pt>
                <c:pt idx="1">
                  <c:v>With Service Level 1</c:v>
                </c:pt>
                <c:pt idx="2">
                  <c:v>With Service Level 2</c:v>
                </c:pt>
                <c:pt idx="3">
                  <c:v>With Service Level 3</c:v>
                </c:pt>
              </c:strCache>
            </c:strRef>
          </c:cat>
          <c:val>
            <c:numRef>
              <c:f>'Whole Life Costing '!$O$6:$R$6</c:f>
              <c:numCache>
                <c:formatCode>_-[$£-809]* #,##0.00_-;\-[$£-809]* #,##0.00_-;_-[$£-809]* "-"??_-;_-@_-</c:formatCode>
                <c:ptCount val="4"/>
                <c:pt idx="0">
                  <c:v>2250000</c:v>
                </c:pt>
                <c:pt idx="1">
                  <c:v>2469000</c:v>
                </c:pt>
                <c:pt idx="2">
                  <c:v>2550000</c:v>
                </c:pt>
                <c:pt idx="3">
                  <c:v>2340000</c:v>
                </c:pt>
              </c:numCache>
            </c:numRef>
          </c:val>
          <c:extLst>
            <c:ext xmlns:c16="http://schemas.microsoft.com/office/drawing/2014/chart" uri="{C3380CC4-5D6E-409C-BE32-E72D297353CC}">
              <c16:uniqueId val="{00000003-BDAA-47B5-842F-F5232491EED9}"/>
            </c:ext>
          </c:extLst>
        </c:ser>
        <c:dLbls>
          <c:showLegendKey val="0"/>
          <c:showVal val="0"/>
          <c:showCatName val="0"/>
          <c:showSerName val="0"/>
          <c:showPercent val="0"/>
          <c:showBubbleSize val="0"/>
        </c:dLbls>
        <c:gapWidth val="219"/>
        <c:overlap val="-27"/>
        <c:axId val="1351873032"/>
        <c:axId val="1351875080"/>
      </c:barChart>
      <c:catAx>
        <c:axId val="13518730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ptos Narrow"/>
                <a:ea typeface="Aptos Narrow"/>
                <a:cs typeface="Aptos Narrow"/>
              </a:defRPr>
            </a:pPr>
            <a:endParaRPr lang="en-US"/>
          </a:p>
        </c:txPr>
        <c:crossAx val="1351875080"/>
        <c:crosses val="autoZero"/>
        <c:auto val="1"/>
        <c:lblAlgn val="ctr"/>
        <c:lblOffset val="100"/>
        <c:noMultiLvlLbl val="0"/>
      </c:catAx>
      <c:valAx>
        <c:axId val="13518750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a:ea typeface="Arial"/>
                    <a:cs typeface="Arial"/>
                  </a:defRPr>
                </a:pPr>
                <a:r>
                  <a:rPr lang="en-US"/>
                  <a:t>Cost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a:ea typeface="Arial"/>
                  <a:cs typeface="Arial"/>
                </a:defRPr>
              </a:pPr>
              <a:endParaRPr lang="en-US"/>
            </a:p>
          </c:txPr>
        </c:title>
        <c:numFmt formatCode="_-[$£-809]* #,##0.00_-;\-[$£-809]* #,##0.00_-;_-[$£-809]*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Arial"/>
                <a:ea typeface="Arial"/>
                <a:cs typeface="Arial"/>
              </a:defRPr>
            </a:pPr>
            <a:endParaRPr lang="en-US"/>
          </a:p>
        </c:txPr>
        <c:crossAx val="13518730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1" u="none" strike="noStrike" kern="1200" baseline="0">
              <a:solidFill>
                <a:schemeClr val="tx1">
                  <a:lumMod val="65000"/>
                  <a:lumOff val="35000"/>
                </a:schemeClr>
              </a:solidFill>
              <a:latin typeface="Arial"/>
              <a:ea typeface="Arial"/>
              <a:cs typeface="Arial"/>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 dir="row">_xlchart.v1.2</cx:f>
      </cx:strDim>
      <cx:numDim type="val">
        <cx:f dir="row">_xlchart.v1.3</cx:f>
      </cx:numDim>
    </cx:data>
    <cx:data id="1">
      <cx:strDim type="cat">
        <cx:f dir="row">_xlchart.v1.2</cx:f>
      </cx:strDim>
      <cx:numDim type="val">
        <cx:f dir="row">_xlchart.v1.4</cx:f>
      </cx:numDim>
    </cx:data>
  </cx:chartData>
  <cx:chart>
    <cx:title pos="t" align="ctr" overlay="0">
      <cx:tx>
        <cx:txData>
          <cx:v>Whole Life Costing for Pumping Station Over 30 Years</cx:v>
        </cx:txData>
      </cx:tx>
      <cx:txPr>
        <a:bodyPr rot="0" spcFirstLastPara="1" vertOverflow="ellipsis" vert="horz" wrap="square" lIns="38100" tIns="19050" rIns="38100" bIns="19050" anchor="ctr" anchorCtr="1" compatLnSpc="0"/>
        <a:lstStyle/>
        <a:p>
          <a:pPr algn="ctr" rtl="0">
            <a:defRPr sz="1400" b="1" i="0" u="none" strike="noStrike" kern="1200" spc="0" baseline="0">
              <a:solidFill>
                <a:sysClr val="windowText" lastClr="000000">
                  <a:lumMod val="65000"/>
                  <a:lumOff val="35000"/>
                </a:sysClr>
              </a:solidFill>
              <a:latin typeface="Arial" panose="020B0604020202020204" pitchFamily="34" charset="0"/>
              <a:ea typeface="Arial" panose="020B0604020202020204" pitchFamily="34" charset="0"/>
              <a:cs typeface="Arial" panose="020B0604020202020204" pitchFamily="34" charset="0"/>
            </a:defRPr>
          </a:pPr>
          <a:r>
            <a:rPr kumimoji="0" lang="en-US" sz="1400" b="1" i="0" u="none" strike="noStrike" kern="1200" cap="none" spc="0" normalizeH="0" baseline="0" noProof="0">
              <a:ln>
                <a:noFill/>
              </a:ln>
              <a:solidFill>
                <a:sysClr val="windowText" lastClr="000000">
                  <a:lumMod val="65000"/>
                  <a:lumOff val="35000"/>
                </a:sysClr>
              </a:solidFill>
              <a:effectLst/>
              <a:uLnTx/>
              <a:uFillTx/>
              <a:latin typeface="Arial" panose="020B0604020202020204" pitchFamily="34" charset="0"/>
              <a:cs typeface="Arial" panose="020B0604020202020204" pitchFamily="34" charset="0"/>
            </a:rPr>
            <a:t>Whole Life Costing for Pumping Station Over 30 Years</a:t>
          </a:r>
        </a:p>
      </cx:txPr>
    </cx:title>
    <cx:plotArea>
      <cx:plotAreaRegion>
        <cx:series layoutId="boxWhisker" uniqueId="{1BE04B6A-79FC-4885-8590-ED567F5DF7E6}">
          <cx:tx>
            <cx:txData>
              <cx:f>_xlchart.v1.0</cx:f>
              <cx:v>Small Pump</cx:v>
            </cx:txData>
          </cx:tx>
          <cx:dataId val="0"/>
          <cx:layoutPr>
            <cx:statistics quartileMethod="exclusive"/>
          </cx:layoutPr>
        </cx:series>
        <cx:series layoutId="boxWhisker" uniqueId="{CDBC81A2-D994-4745-A15E-3CA5BBC33E5F}">
          <cx:tx>
            <cx:txData>
              <cx:f>_xlchart.v1.1</cx:f>
              <cx:v>Large Pump</cx:v>
            </cx:txData>
          </cx:tx>
          <cx:dataId val="1"/>
          <cx:layoutPr>
            <cx:statistics quartileMethod="exclusive"/>
          </cx:layoutPr>
        </cx:series>
      </cx:plotAreaRegion>
      <cx:axis id="0">
        <cx:catScaling/>
        <cx:title>
          <cx:tx>
            <cx:txData>
              <cx:v>Services</cx:v>
            </cx:txData>
          </cx:tx>
          <cx:txPr>
            <a:bodyPr vertOverflow="overflow" horzOverflow="overflow" wrap="square" lIns="0" tIns="0" rIns="0" bIns="0"/>
            <a:lstStyle/>
            <a:p>
              <a:pPr algn="ctr" rtl="0">
                <a:defRPr sz="1000" b="0" i="0">
                  <a:solidFill>
                    <a:srgbClr val="595959"/>
                  </a:solidFill>
                  <a:latin typeface="Arial" panose="020B0604020202020204" pitchFamily="34" charset="0"/>
                  <a:ea typeface="Arial" panose="020B0604020202020204" pitchFamily="34" charset="0"/>
                  <a:cs typeface="Arial" panose="020B0604020202020204" pitchFamily="34" charset="0"/>
                </a:defRPr>
              </a:pPr>
              <a:r>
                <a:rPr>
                  <a:latin typeface="Arial" panose="020B0604020202020204" pitchFamily="34" charset="0"/>
                  <a:cs typeface="Arial" panose="020B0604020202020204" pitchFamily="34" charset="0"/>
                </a:rPr>
                <a:t>Services</a:t>
              </a:r>
            </a:p>
          </cx:txPr>
        </cx:title>
        <cx:majorGridlines/>
        <cx:tickLabels/>
        <cx:txPr>
          <a:bodyPr vertOverflow="overflow" horzOverflow="overflow" wrap="square" lIns="0" tIns="0" rIns="0" bIns="0"/>
          <a:lstStyle/>
          <a:p>
            <a:pPr algn="ctr" rtl="0">
              <a:defRPr sz="1200" b="0" i="0">
                <a:solidFill>
                  <a:srgbClr val="000000"/>
                </a:solidFill>
                <a:latin typeface="Arial" panose="020B0604020202020204" pitchFamily="34" charset="0"/>
                <a:ea typeface="Arial" panose="020B0604020202020204" pitchFamily="34" charset="0"/>
                <a:cs typeface="Arial" panose="020B0604020202020204" pitchFamily="34" charset="0"/>
              </a:defRPr>
            </a:pPr>
            <a:endParaRPr>
              <a:latin typeface="Arial" panose="020B0604020202020204" pitchFamily="34" charset="0"/>
              <a:cs typeface="Arial" panose="020B0604020202020204" pitchFamily="34" charset="0"/>
            </a:endParaRPr>
          </a:p>
        </cx:txPr>
      </cx:axis>
      <cx:axis id="1">
        <cx:valScaling/>
        <cx:title>
          <cx:tx>
            <cx:txData>
              <cx:v>Cost (£)</cx:v>
            </cx:txData>
          </cx:tx>
          <cx:txPr>
            <a:bodyPr vertOverflow="overflow" horzOverflow="overflow" wrap="square" lIns="0" tIns="0" rIns="0" bIns="0"/>
            <a:lstStyle/>
            <a:p>
              <a:pPr algn="ctr" rtl="0">
                <a:defRPr sz="1000" b="0" i="0">
                  <a:solidFill>
                    <a:srgbClr val="595959"/>
                  </a:solidFill>
                  <a:latin typeface="Arial" panose="020B0604020202020204" pitchFamily="34" charset="0"/>
                  <a:ea typeface="Arial" panose="020B0604020202020204" pitchFamily="34" charset="0"/>
                  <a:cs typeface="Arial" panose="020B0604020202020204" pitchFamily="34" charset="0"/>
                </a:defRPr>
              </a:pPr>
              <a:r>
                <a:rPr>
                  <a:latin typeface="Arial" panose="020B0604020202020204" pitchFamily="34" charset="0"/>
                  <a:cs typeface="Arial" panose="020B0604020202020204" pitchFamily="34" charset="0"/>
                </a:rPr>
                <a:t>Cost (£)</a:t>
              </a:r>
            </a:p>
          </cx:txPr>
        </cx:title>
        <cx:majorGridlines/>
        <cx:tickLabels/>
        <cx:txPr>
          <a:bodyPr vertOverflow="overflow" horzOverflow="overflow" wrap="square" lIns="0" tIns="0" rIns="0" bIns="0"/>
          <a:lstStyle/>
          <a:p>
            <a:pPr algn="ctr" rtl="0">
              <a:defRPr sz="1200" b="0" i="0">
                <a:solidFill>
                  <a:srgbClr val="000000"/>
                </a:solidFill>
                <a:latin typeface="Arial" panose="020B0604020202020204" pitchFamily="34" charset="0"/>
                <a:ea typeface="Arial" panose="020B0604020202020204" pitchFamily="34" charset="0"/>
                <a:cs typeface="Arial" panose="020B0604020202020204" pitchFamily="34" charset="0"/>
              </a:defRPr>
            </a:pPr>
            <a:endParaRPr>
              <a:latin typeface="Arial" panose="020B0604020202020204" pitchFamily="34" charset="0"/>
              <a:cs typeface="Arial" panose="020B0604020202020204" pitchFamily="34" charset="0"/>
            </a:endParaRPr>
          </a:p>
        </cx:txPr>
      </cx:axis>
    </cx:plotArea>
    <cx:legend pos="t" align="ctr" overlay="0">
      <cx:txPr>
        <a:bodyPr vertOverflow="overflow" horzOverflow="overflow" wrap="square" lIns="0" tIns="0" rIns="0" bIns="0"/>
        <a:lstStyle/>
        <a:p>
          <a:pPr algn="ctr" rtl="0">
            <a:defRPr sz="1200" b="0" i="1">
              <a:solidFill>
                <a:srgbClr val="000000"/>
              </a:solidFill>
              <a:latin typeface="Arial" panose="020B0604020202020204" pitchFamily="34" charset="0"/>
              <a:ea typeface="Arial" panose="020B0604020202020204" pitchFamily="34" charset="0"/>
              <a:cs typeface="Arial" panose="020B0604020202020204" pitchFamily="34" charset="0"/>
            </a:defRPr>
          </a:pPr>
          <a:endParaRPr i="1">
            <a:latin typeface="Arial" panose="020B0604020202020204" pitchFamily="34" charset="0"/>
            <a:cs typeface="Arial" panose="020B0604020202020204" pitchFamily="34" charset="0"/>
          </a:endParaRPr>
        </a:p>
      </cx:txPr>
    </cx:legend>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3" Type="http://schemas.openxmlformats.org/officeDocument/2006/relationships/image" Target="../media/image12.png"/><Relationship Id="rId7" Type="http://schemas.openxmlformats.org/officeDocument/2006/relationships/image" Target="../media/image16.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5.png"/><Relationship Id="rId5" Type="http://schemas.openxmlformats.org/officeDocument/2006/relationships/image" Target="../media/image14.png"/><Relationship Id="rId4" Type="http://schemas.openxmlformats.org/officeDocument/2006/relationships/image" Target="../media/image13.png"/></Relationships>
</file>

<file path=xl/drawings/_rels/drawing4.xml.rels><?xml version="1.0" encoding="UTF-8" standalone="yes"?>
<Relationships xmlns="http://schemas.openxmlformats.org/package/2006/relationships"><Relationship Id="rId1" Type="http://schemas.openxmlformats.org/officeDocument/2006/relationships/image" Target="../media/image17.tmp"/></Relationships>
</file>

<file path=xl/drawings/_rels/drawing5.xml.rels><?xml version="1.0" encoding="UTF-8" standalone="yes"?>
<Relationships xmlns="http://schemas.openxmlformats.org/package/2006/relationships"><Relationship Id="rId8" Type="http://schemas.openxmlformats.org/officeDocument/2006/relationships/image" Target="../media/image23.png"/><Relationship Id="rId3" Type="http://schemas.openxmlformats.org/officeDocument/2006/relationships/chart" Target="../charts/chart1.xml"/><Relationship Id="rId7" Type="http://schemas.openxmlformats.org/officeDocument/2006/relationships/image" Target="../media/image22.png"/><Relationship Id="rId2" Type="http://schemas.openxmlformats.org/officeDocument/2006/relationships/image" Target="../media/image19.tmp"/><Relationship Id="rId1" Type="http://schemas.openxmlformats.org/officeDocument/2006/relationships/image" Target="../media/image18.png"/><Relationship Id="rId6" Type="http://schemas.openxmlformats.org/officeDocument/2006/relationships/image" Target="../media/image21.png"/><Relationship Id="rId5" Type="http://schemas.openxmlformats.org/officeDocument/2006/relationships/image" Target="../media/image20.png"/><Relationship Id="rId4" Type="http://schemas.microsoft.com/office/2014/relationships/chartEx" Target="../charts/chartEx1.xml"/></Relationships>
</file>

<file path=xl/drawings/_rels/drawing6.xml.rels><?xml version="1.0" encoding="UTF-8" standalone="yes"?>
<Relationships xmlns="http://schemas.openxmlformats.org/package/2006/relationships"><Relationship Id="rId1" Type="http://schemas.openxmlformats.org/officeDocument/2006/relationships/image" Target="../media/image24.tmp"/></Relationships>
</file>

<file path=xl/drawings/drawing1.xml><?xml version="1.0" encoding="utf-8"?>
<xdr:wsDr xmlns:xdr="http://schemas.openxmlformats.org/drawingml/2006/spreadsheetDrawing" xmlns:a="http://schemas.openxmlformats.org/drawingml/2006/main">
  <xdr:twoCellAnchor editAs="oneCell">
    <xdr:from>
      <xdr:col>3</xdr:col>
      <xdr:colOff>2343150</xdr:colOff>
      <xdr:row>5</xdr:row>
      <xdr:rowOff>57150</xdr:rowOff>
    </xdr:from>
    <xdr:to>
      <xdr:col>3</xdr:col>
      <xdr:colOff>3190875</xdr:colOff>
      <xdr:row>8</xdr:row>
      <xdr:rowOff>123825</xdr:rowOff>
    </xdr:to>
    <xdr:pic>
      <xdr:nvPicPr>
        <xdr:cNvPr id="2" name="Picture 1">
          <a:extLst>
            <a:ext uri="{FF2B5EF4-FFF2-40B4-BE49-F238E27FC236}">
              <a16:creationId xmlns:a16="http://schemas.microsoft.com/office/drawing/2014/main" id="{8251B47C-A86D-619E-B1EB-A3881A0D430F}"/>
            </a:ext>
          </a:extLst>
        </xdr:cNvPr>
        <xdr:cNvPicPr>
          <a:picLocks noChangeAspect="1"/>
        </xdr:cNvPicPr>
      </xdr:nvPicPr>
      <xdr:blipFill>
        <a:blip xmlns:r="http://schemas.openxmlformats.org/officeDocument/2006/relationships" r:embed="rId1"/>
        <a:stretch>
          <a:fillRect/>
        </a:stretch>
      </xdr:blipFill>
      <xdr:spPr>
        <a:xfrm>
          <a:off x="8620125" y="1009650"/>
          <a:ext cx="847725" cy="638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2</xdr:col>
      <xdr:colOff>552450</xdr:colOff>
      <xdr:row>21</xdr:row>
      <xdr:rowOff>47625</xdr:rowOff>
    </xdr:to>
    <xdr:pic>
      <xdr:nvPicPr>
        <xdr:cNvPr id="4" name="Picture 3">
          <a:extLst>
            <a:ext uri="{FF2B5EF4-FFF2-40B4-BE49-F238E27FC236}">
              <a16:creationId xmlns:a16="http://schemas.microsoft.com/office/drawing/2014/main" id="{25873511-BBD9-F069-AF7D-856465FA1809}"/>
            </a:ext>
          </a:extLst>
        </xdr:cNvPr>
        <xdr:cNvPicPr>
          <a:picLocks noChangeAspect="1"/>
        </xdr:cNvPicPr>
      </xdr:nvPicPr>
      <xdr:blipFill>
        <a:blip xmlns:r="http://schemas.openxmlformats.org/officeDocument/2006/relationships" r:embed="rId1"/>
        <a:stretch>
          <a:fillRect/>
        </a:stretch>
      </xdr:blipFill>
      <xdr:spPr>
        <a:xfrm>
          <a:off x="609600" y="1914525"/>
          <a:ext cx="3371850" cy="2524125"/>
        </a:xfrm>
        <a:prstGeom prst="rect">
          <a:avLst/>
        </a:prstGeom>
      </xdr:spPr>
    </xdr:pic>
    <xdr:clientData/>
  </xdr:twoCellAnchor>
  <xdr:twoCellAnchor editAs="oneCell">
    <xdr:from>
      <xdr:col>0</xdr:col>
      <xdr:colOff>495300</xdr:colOff>
      <xdr:row>24</xdr:row>
      <xdr:rowOff>47625</xdr:rowOff>
    </xdr:from>
    <xdr:to>
      <xdr:col>3</xdr:col>
      <xdr:colOff>57150</xdr:colOff>
      <xdr:row>27</xdr:row>
      <xdr:rowOff>152400</xdr:rowOff>
    </xdr:to>
    <xdr:pic>
      <xdr:nvPicPr>
        <xdr:cNvPr id="6" name="Picture 5">
          <a:extLst>
            <a:ext uri="{FF2B5EF4-FFF2-40B4-BE49-F238E27FC236}">
              <a16:creationId xmlns:a16="http://schemas.microsoft.com/office/drawing/2014/main" id="{4927B5DB-2FD9-31CA-1A1F-13A9E2633F04}"/>
            </a:ext>
            <a:ext uri="{147F2762-F138-4A5C-976F-8EAC2B608ADB}">
              <a16:predDERef xmlns:a16="http://schemas.microsoft.com/office/drawing/2014/main" pred="{25873511-BBD9-F069-AF7D-856465FA1809}"/>
            </a:ext>
          </a:extLst>
        </xdr:cNvPr>
        <xdr:cNvPicPr>
          <a:picLocks noChangeAspect="1"/>
        </xdr:cNvPicPr>
      </xdr:nvPicPr>
      <xdr:blipFill>
        <a:blip xmlns:r="http://schemas.openxmlformats.org/officeDocument/2006/relationships" r:embed="rId2"/>
        <a:stretch>
          <a:fillRect/>
        </a:stretch>
      </xdr:blipFill>
      <xdr:spPr>
        <a:xfrm>
          <a:off x="495300" y="5010150"/>
          <a:ext cx="3667125" cy="676275"/>
        </a:xfrm>
        <a:prstGeom prst="rect">
          <a:avLst/>
        </a:prstGeom>
      </xdr:spPr>
    </xdr:pic>
    <xdr:clientData/>
  </xdr:twoCellAnchor>
  <xdr:twoCellAnchor editAs="oneCell">
    <xdr:from>
      <xdr:col>1</xdr:col>
      <xdr:colOff>0</xdr:colOff>
      <xdr:row>31</xdr:row>
      <xdr:rowOff>76200</xdr:rowOff>
    </xdr:from>
    <xdr:to>
      <xdr:col>3</xdr:col>
      <xdr:colOff>152400</xdr:colOff>
      <xdr:row>47</xdr:row>
      <xdr:rowOff>47625</xdr:rowOff>
    </xdr:to>
    <xdr:pic>
      <xdr:nvPicPr>
        <xdr:cNvPr id="10" name="Picture 9">
          <a:extLst>
            <a:ext uri="{FF2B5EF4-FFF2-40B4-BE49-F238E27FC236}">
              <a16:creationId xmlns:a16="http://schemas.microsoft.com/office/drawing/2014/main" id="{A61944BA-9D97-6B94-8810-1CB6BFD59FA1}"/>
            </a:ext>
            <a:ext uri="{147F2762-F138-4A5C-976F-8EAC2B608ADB}">
              <a16:predDERef xmlns:a16="http://schemas.microsoft.com/office/drawing/2014/main" pred="{68CD3EE7-A6E6-8CA0-3A76-E4ACC855210A}"/>
            </a:ext>
          </a:extLst>
        </xdr:cNvPr>
        <xdr:cNvPicPr>
          <a:picLocks noChangeAspect="1"/>
        </xdr:cNvPicPr>
      </xdr:nvPicPr>
      <xdr:blipFill>
        <a:blip xmlns:r="http://schemas.openxmlformats.org/officeDocument/2006/relationships" r:embed="rId3"/>
        <a:stretch>
          <a:fillRect/>
        </a:stretch>
      </xdr:blipFill>
      <xdr:spPr>
        <a:xfrm>
          <a:off x="609600" y="8029575"/>
          <a:ext cx="3648075" cy="3019425"/>
        </a:xfrm>
        <a:prstGeom prst="rect">
          <a:avLst/>
        </a:prstGeom>
      </xdr:spPr>
    </xdr:pic>
    <xdr:clientData/>
  </xdr:twoCellAnchor>
  <xdr:twoCellAnchor editAs="oneCell">
    <xdr:from>
      <xdr:col>0</xdr:col>
      <xdr:colOff>571500</xdr:colOff>
      <xdr:row>50</xdr:row>
      <xdr:rowOff>95250</xdr:rowOff>
    </xdr:from>
    <xdr:to>
      <xdr:col>3</xdr:col>
      <xdr:colOff>266700</xdr:colOff>
      <xdr:row>66</xdr:row>
      <xdr:rowOff>133350</xdr:rowOff>
    </xdr:to>
    <xdr:pic>
      <xdr:nvPicPr>
        <xdr:cNvPr id="2" name="Picture 1">
          <a:extLst>
            <a:ext uri="{FF2B5EF4-FFF2-40B4-BE49-F238E27FC236}">
              <a16:creationId xmlns:a16="http://schemas.microsoft.com/office/drawing/2014/main" id="{ADC621E8-FAFF-2E4B-860F-ADF59055B9B3}"/>
            </a:ext>
            <a:ext uri="{147F2762-F138-4A5C-976F-8EAC2B608ADB}">
              <a16:predDERef xmlns:a16="http://schemas.microsoft.com/office/drawing/2014/main" pred="{79BB087A-F0A2-3A32-BFF3-3AB1C3FB493C}"/>
            </a:ext>
          </a:extLst>
        </xdr:cNvPr>
        <xdr:cNvPicPr>
          <a:picLocks noChangeAspect="1"/>
        </xdr:cNvPicPr>
      </xdr:nvPicPr>
      <xdr:blipFill>
        <a:blip xmlns:r="http://schemas.openxmlformats.org/officeDocument/2006/relationships" r:embed="rId4"/>
        <a:stretch>
          <a:fillRect/>
        </a:stretch>
      </xdr:blipFill>
      <xdr:spPr>
        <a:xfrm>
          <a:off x="571500" y="11668125"/>
          <a:ext cx="3800475" cy="3267075"/>
        </a:xfrm>
        <a:prstGeom prst="rect">
          <a:avLst/>
        </a:prstGeom>
      </xdr:spPr>
    </xdr:pic>
    <xdr:clientData/>
  </xdr:twoCellAnchor>
  <xdr:twoCellAnchor>
    <xdr:from>
      <xdr:col>6</xdr:col>
      <xdr:colOff>1200150</xdr:colOff>
      <xdr:row>10</xdr:row>
      <xdr:rowOff>152400</xdr:rowOff>
    </xdr:from>
    <xdr:to>
      <xdr:col>7</xdr:col>
      <xdr:colOff>142875</xdr:colOff>
      <xdr:row>17</xdr:row>
      <xdr:rowOff>28575</xdr:rowOff>
    </xdr:to>
    <xdr:cxnSp macro="">
      <xdr:nvCxnSpPr>
        <xdr:cNvPr id="13" name="Straight Connector 12">
          <a:extLst>
            <a:ext uri="{FF2B5EF4-FFF2-40B4-BE49-F238E27FC236}">
              <a16:creationId xmlns:a16="http://schemas.microsoft.com/office/drawing/2014/main" id="{AE56238A-E771-DE6B-7624-408B133A5655}"/>
            </a:ext>
            <a:ext uri="{147F2762-F138-4A5C-976F-8EAC2B608ADB}">
              <a16:predDERef xmlns:a16="http://schemas.microsoft.com/office/drawing/2014/main" pred="{A397B263-C107-E745-E42B-8F2EE9C1C607}"/>
            </a:ext>
          </a:extLst>
        </xdr:cNvPr>
        <xdr:cNvCxnSpPr>
          <a:cxnSpLocks/>
        </xdr:cNvCxnSpPr>
      </xdr:nvCxnSpPr>
      <xdr:spPr>
        <a:xfrm>
          <a:off x="8086725" y="4781550"/>
          <a:ext cx="1066800" cy="1209675"/>
        </a:xfrm>
        <a:prstGeom prst="line">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editAs="oneCell">
    <xdr:from>
      <xdr:col>7</xdr:col>
      <xdr:colOff>180975</xdr:colOff>
      <xdr:row>22</xdr:row>
      <xdr:rowOff>161925</xdr:rowOff>
    </xdr:from>
    <xdr:to>
      <xdr:col>14</xdr:col>
      <xdr:colOff>333375</xdr:colOff>
      <xdr:row>29</xdr:row>
      <xdr:rowOff>95250</xdr:rowOff>
    </xdr:to>
    <xdr:pic>
      <xdr:nvPicPr>
        <xdr:cNvPr id="18" name="Picture 17">
          <a:extLst>
            <a:ext uri="{FF2B5EF4-FFF2-40B4-BE49-F238E27FC236}">
              <a16:creationId xmlns:a16="http://schemas.microsoft.com/office/drawing/2014/main" id="{7CE94931-CB5F-2AB7-E042-F5D4A0482C2E}"/>
            </a:ext>
            <a:ext uri="{147F2762-F138-4A5C-976F-8EAC2B608ADB}">
              <a16:predDERef xmlns:a16="http://schemas.microsoft.com/office/drawing/2014/main" pred="{AE56238A-E771-DE6B-7624-408B133A5655}"/>
            </a:ext>
          </a:extLst>
        </xdr:cNvPr>
        <xdr:cNvPicPr>
          <a:picLocks noChangeAspect="1"/>
        </xdr:cNvPicPr>
      </xdr:nvPicPr>
      <xdr:blipFill>
        <a:blip xmlns:r="http://schemas.openxmlformats.org/officeDocument/2006/relationships" r:embed="rId5"/>
        <a:stretch>
          <a:fillRect/>
        </a:stretch>
      </xdr:blipFill>
      <xdr:spPr>
        <a:xfrm>
          <a:off x="9191625" y="7077075"/>
          <a:ext cx="4572000" cy="1266825"/>
        </a:xfrm>
        <a:prstGeom prst="rect">
          <a:avLst/>
        </a:prstGeom>
      </xdr:spPr>
    </xdr:pic>
    <xdr:clientData/>
  </xdr:twoCellAnchor>
  <xdr:twoCellAnchor>
    <xdr:from>
      <xdr:col>6</xdr:col>
      <xdr:colOff>1314450</xdr:colOff>
      <xdr:row>26</xdr:row>
      <xdr:rowOff>104775</xdr:rowOff>
    </xdr:from>
    <xdr:to>
      <xdr:col>7</xdr:col>
      <xdr:colOff>323850</xdr:colOff>
      <xdr:row>29</xdr:row>
      <xdr:rowOff>0</xdr:rowOff>
    </xdr:to>
    <xdr:cxnSp macro="">
      <xdr:nvCxnSpPr>
        <xdr:cNvPr id="17" name="Straight Connector 16">
          <a:extLst>
            <a:ext uri="{FF2B5EF4-FFF2-40B4-BE49-F238E27FC236}">
              <a16:creationId xmlns:a16="http://schemas.microsoft.com/office/drawing/2014/main" id="{7E3CB693-8C43-9B79-C1C9-7E6D808B77D4}"/>
            </a:ext>
            <a:ext uri="{147F2762-F138-4A5C-976F-8EAC2B608ADB}">
              <a16:predDERef xmlns:a16="http://schemas.microsoft.com/office/drawing/2014/main" pred="{7CE94931-CB5F-2AB7-E042-F5D4A0482C2E}"/>
            </a:ext>
          </a:extLst>
        </xdr:cNvPr>
        <xdr:cNvCxnSpPr>
          <a:cxnSpLocks/>
        </xdr:cNvCxnSpPr>
      </xdr:nvCxnSpPr>
      <xdr:spPr>
        <a:xfrm>
          <a:off x="8201025" y="7781925"/>
          <a:ext cx="1133475" cy="466725"/>
        </a:xfrm>
        <a:prstGeom prst="line">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editAs="oneCell">
    <xdr:from>
      <xdr:col>7</xdr:col>
      <xdr:colOff>171450</xdr:colOff>
      <xdr:row>29</xdr:row>
      <xdr:rowOff>133350</xdr:rowOff>
    </xdr:from>
    <xdr:to>
      <xdr:col>14</xdr:col>
      <xdr:colOff>314325</xdr:colOff>
      <xdr:row>34</xdr:row>
      <xdr:rowOff>38100</xdr:rowOff>
    </xdr:to>
    <xdr:pic>
      <xdr:nvPicPr>
        <xdr:cNvPr id="19" name="Picture 18">
          <a:extLst>
            <a:ext uri="{FF2B5EF4-FFF2-40B4-BE49-F238E27FC236}">
              <a16:creationId xmlns:a16="http://schemas.microsoft.com/office/drawing/2014/main" id="{695FAE1F-5AF1-AF49-3620-13378CD50513}"/>
            </a:ext>
            <a:ext uri="{147F2762-F138-4A5C-976F-8EAC2B608ADB}">
              <a16:predDERef xmlns:a16="http://schemas.microsoft.com/office/drawing/2014/main" pred="{7E3CB693-8C43-9B79-C1C9-7E6D808B77D4}"/>
            </a:ext>
          </a:extLst>
        </xdr:cNvPr>
        <xdr:cNvPicPr>
          <a:picLocks noChangeAspect="1"/>
        </xdr:cNvPicPr>
      </xdr:nvPicPr>
      <xdr:blipFill>
        <a:blip xmlns:r="http://schemas.openxmlformats.org/officeDocument/2006/relationships" r:embed="rId6"/>
        <a:stretch>
          <a:fillRect/>
        </a:stretch>
      </xdr:blipFill>
      <xdr:spPr>
        <a:xfrm>
          <a:off x="10191750" y="8382000"/>
          <a:ext cx="4562475" cy="857250"/>
        </a:xfrm>
        <a:prstGeom prst="rect">
          <a:avLst/>
        </a:prstGeom>
      </xdr:spPr>
    </xdr:pic>
    <xdr:clientData/>
  </xdr:twoCellAnchor>
  <xdr:twoCellAnchor>
    <xdr:from>
      <xdr:col>6</xdr:col>
      <xdr:colOff>1219200</xdr:colOff>
      <xdr:row>30</xdr:row>
      <xdr:rowOff>95250</xdr:rowOff>
    </xdr:from>
    <xdr:to>
      <xdr:col>7</xdr:col>
      <xdr:colOff>152400</xdr:colOff>
      <xdr:row>32</xdr:row>
      <xdr:rowOff>95250</xdr:rowOff>
    </xdr:to>
    <xdr:cxnSp macro="">
      <xdr:nvCxnSpPr>
        <xdr:cNvPr id="21" name="Straight Connector 20">
          <a:extLst>
            <a:ext uri="{FF2B5EF4-FFF2-40B4-BE49-F238E27FC236}">
              <a16:creationId xmlns:a16="http://schemas.microsoft.com/office/drawing/2014/main" id="{14067E42-94F3-15B2-9413-A501B47CEF31}"/>
            </a:ext>
            <a:ext uri="{147F2762-F138-4A5C-976F-8EAC2B608ADB}">
              <a16:predDERef xmlns:a16="http://schemas.microsoft.com/office/drawing/2014/main" pred="{695FAE1F-5AF1-AF49-3620-13378CD50513}"/>
            </a:ext>
          </a:extLst>
        </xdr:cNvPr>
        <xdr:cNvCxnSpPr>
          <a:cxnSpLocks/>
          <a:extLst>
            <a:ext uri="{5F17804C-33F3-41E3-A699-7DCFA2EF7971}">
              <a16:cxnDERefs xmlns:a16="http://schemas.microsoft.com/office/drawing/2014/main" st="{00000000-0000-0000-0000-000000000000}" end="{695FAE1F-5AF1-AF49-3620-13378CD50513}"/>
            </a:ext>
          </a:extLst>
        </xdr:cNvCxnSpPr>
      </xdr:nvCxnSpPr>
      <xdr:spPr>
        <a:xfrm flipV="1">
          <a:off x="8239125" y="8534400"/>
          <a:ext cx="1057275" cy="381000"/>
        </a:xfrm>
        <a:prstGeom prst="line">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editAs="oneCell">
    <xdr:from>
      <xdr:col>7</xdr:col>
      <xdr:colOff>28575</xdr:colOff>
      <xdr:row>49</xdr:row>
      <xdr:rowOff>180975</xdr:rowOff>
    </xdr:from>
    <xdr:to>
      <xdr:col>14</xdr:col>
      <xdr:colOff>180975</xdr:colOff>
      <xdr:row>59</xdr:row>
      <xdr:rowOff>161925</xdr:rowOff>
    </xdr:to>
    <xdr:pic>
      <xdr:nvPicPr>
        <xdr:cNvPr id="24" name="Picture 23">
          <a:extLst>
            <a:ext uri="{FF2B5EF4-FFF2-40B4-BE49-F238E27FC236}">
              <a16:creationId xmlns:a16="http://schemas.microsoft.com/office/drawing/2014/main" id="{E7714092-644E-BDE1-E4F9-12EB309134B9}"/>
            </a:ext>
            <a:ext uri="{147F2762-F138-4A5C-976F-8EAC2B608ADB}">
              <a16:predDERef xmlns:a16="http://schemas.microsoft.com/office/drawing/2014/main" pred="{FA9BCC2F-2569-5C97-D92E-B42C4E1A85C1}"/>
            </a:ext>
          </a:extLst>
        </xdr:cNvPr>
        <xdr:cNvPicPr>
          <a:picLocks noChangeAspect="1"/>
        </xdr:cNvPicPr>
      </xdr:nvPicPr>
      <xdr:blipFill>
        <a:blip xmlns:r="http://schemas.openxmlformats.org/officeDocument/2006/relationships" r:embed="rId7"/>
        <a:stretch>
          <a:fillRect/>
        </a:stretch>
      </xdr:blipFill>
      <xdr:spPr>
        <a:xfrm>
          <a:off x="9039225" y="12239625"/>
          <a:ext cx="4572000" cy="2066925"/>
        </a:xfrm>
        <a:prstGeom prst="rect">
          <a:avLst/>
        </a:prstGeom>
      </xdr:spPr>
    </xdr:pic>
    <xdr:clientData/>
  </xdr:twoCellAnchor>
  <xdr:twoCellAnchor editAs="oneCell">
    <xdr:from>
      <xdr:col>7</xdr:col>
      <xdr:colOff>152400</xdr:colOff>
      <xdr:row>7</xdr:row>
      <xdr:rowOff>47625</xdr:rowOff>
    </xdr:from>
    <xdr:to>
      <xdr:col>14</xdr:col>
      <xdr:colOff>304800</xdr:colOff>
      <xdr:row>17</xdr:row>
      <xdr:rowOff>123825</xdr:rowOff>
    </xdr:to>
    <xdr:pic>
      <xdr:nvPicPr>
        <xdr:cNvPr id="3" name="Picture 2">
          <a:extLst>
            <a:ext uri="{FF2B5EF4-FFF2-40B4-BE49-F238E27FC236}">
              <a16:creationId xmlns:a16="http://schemas.microsoft.com/office/drawing/2014/main" id="{E532166B-64A6-8151-AA1E-53C33CC815DC}"/>
            </a:ext>
            <a:ext uri="{147F2762-F138-4A5C-976F-8EAC2B608ADB}">
              <a16:predDERef xmlns:a16="http://schemas.microsoft.com/office/drawing/2014/main" pred="{E7714092-644E-BDE1-E4F9-12EB309134B9}"/>
            </a:ext>
          </a:extLst>
        </xdr:cNvPr>
        <xdr:cNvPicPr>
          <a:picLocks noChangeAspect="1"/>
        </xdr:cNvPicPr>
      </xdr:nvPicPr>
      <xdr:blipFill>
        <a:blip xmlns:r="http://schemas.openxmlformats.org/officeDocument/2006/relationships" r:embed="rId8"/>
        <a:stretch>
          <a:fillRect/>
        </a:stretch>
      </xdr:blipFill>
      <xdr:spPr>
        <a:xfrm>
          <a:off x="9296400" y="4105275"/>
          <a:ext cx="4572000" cy="1981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504825</xdr:colOff>
      <xdr:row>3</xdr:row>
      <xdr:rowOff>133350</xdr:rowOff>
    </xdr:from>
    <xdr:to>
      <xdr:col>18</xdr:col>
      <xdr:colOff>200025</xdr:colOff>
      <xdr:row>17</xdr:row>
      <xdr:rowOff>161925</xdr:rowOff>
    </xdr:to>
    <xdr:pic>
      <xdr:nvPicPr>
        <xdr:cNvPr id="4" name="Picture 3">
          <a:extLst>
            <a:ext uri="{FF2B5EF4-FFF2-40B4-BE49-F238E27FC236}">
              <a16:creationId xmlns:a16="http://schemas.microsoft.com/office/drawing/2014/main" id="{C631232F-1834-EDCE-DD33-10CAEB063AC9}"/>
            </a:ext>
            <a:ext uri="{147F2762-F138-4A5C-976F-8EAC2B608ADB}">
              <a16:predDERef xmlns:a16="http://schemas.microsoft.com/office/drawing/2014/main" pred="{A9A4626D-E8AB-AFFA-E64C-6817FB7CE64A}"/>
            </a:ext>
          </a:extLst>
        </xdr:cNvPr>
        <xdr:cNvPicPr>
          <a:picLocks noChangeAspect="1"/>
        </xdr:cNvPicPr>
      </xdr:nvPicPr>
      <xdr:blipFill>
        <a:blip xmlns:r="http://schemas.openxmlformats.org/officeDocument/2006/relationships" r:embed="rId1"/>
        <a:stretch>
          <a:fillRect/>
        </a:stretch>
      </xdr:blipFill>
      <xdr:spPr>
        <a:xfrm>
          <a:off x="7810500" y="704850"/>
          <a:ext cx="4572000" cy="2695575"/>
        </a:xfrm>
        <a:prstGeom prst="rect">
          <a:avLst/>
        </a:prstGeom>
      </xdr:spPr>
    </xdr:pic>
    <xdr:clientData/>
  </xdr:twoCellAnchor>
  <xdr:twoCellAnchor editAs="oneCell">
    <xdr:from>
      <xdr:col>19</xdr:col>
      <xdr:colOff>457200</xdr:colOff>
      <xdr:row>2</xdr:row>
      <xdr:rowOff>76200</xdr:rowOff>
    </xdr:from>
    <xdr:to>
      <xdr:col>26</xdr:col>
      <xdr:colOff>533400</xdr:colOff>
      <xdr:row>4</xdr:row>
      <xdr:rowOff>85725</xdr:rowOff>
    </xdr:to>
    <xdr:pic>
      <xdr:nvPicPr>
        <xdr:cNvPr id="5" name="Picture 4">
          <a:extLst>
            <a:ext uri="{FF2B5EF4-FFF2-40B4-BE49-F238E27FC236}">
              <a16:creationId xmlns:a16="http://schemas.microsoft.com/office/drawing/2014/main" id="{F06AD121-34DC-FC88-BA2E-FCD638801D2A}"/>
            </a:ext>
            <a:ext uri="{147F2762-F138-4A5C-976F-8EAC2B608ADB}">
              <a16:predDERef xmlns:a16="http://schemas.microsoft.com/office/drawing/2014/main" pred="{C631232F-1834-EDCE-DD33-10CAEB063AC9}"/>
            </a:ext>
          </a:extLst>
        </xdr:cNvPr>
        <xdr:cNvPicPr>
          <a:picLocks noChangeAspect="1"/>
        </xdr:cNvPicPr>
      </xdr:nvPicPr>
      <xdr:blipFill>
        <a:blip xmlns:r="http://schemas.openxmlformats.org/officeDocument/2006/relationships" r:embed="rId2"/>
        <a:stretch>
          <a:fillRect/>
        </a:stretch>
      </xdr:blipFill>
      <xdr:spPr>
        <a:xfrm>
          <a:off x="12773025" y="457200"/>
          <a:ext cx="4343400" cy="390525"/>
        </a:xfrm>
        <a:prstGeom prst="rect">
          <a:avLst/>
        </a:prstGeom>
      </xdr:spPr>
    </xdr:pic>
    <xdr:clientData/>
  </xdr:twoCellAnchor>
  <xdr:twoCellAnchor editAs="oneCell">
    <xdr:from>
      <xdr:col>14</xdr:col>
      <xdr:colOff>600075</xdr:colOff>
      <xdr:row>35</xdr:row>
      <xdr:rowOff>57150</xdr:rowOff>
    </xdr:from>
    <xdr:to>
      <xdr:col>22</xdr:col>
      <xdr:colOff>295275</xdr:colOff>
      <xdr:row>46</xdr:row>
      <xdr:rowOff>9525</xdr:rowOff>
    </xdr:to>
    <xdr:pic>
      <xdr:nvPicPr>
        <xdr:cNvPr id="6" name="Picture 5">
          <a:extLst>
            <a:ext uri="{FF2B5EF4-FFF2-40B4-BE49-F238E27FC236}">
              <a16:creationId xmlns:a16="http://schemas.microsoft.com/office/drawing/2014/main" id="{7904E45E-4636-38ED-172E-FD54B2CDE83C}"/>
            </a:ext>
            <a:ext uri="{147F2762-F138-4A5C-976F-8EAC2B608ADB}">
              <a16:predDERef xmlns:a16="http://schemas.microsoft.com/office/drawing/2014/main" pred="{F06AD121-34DC-FC88-BA2E-FCD638801D2A}"/>
            </a:ext>
          </a:extLst>
        </xdr:cNvPr>
        <xdr:cNvPicPr>
          <a:picLocks noChangeAspect="1"/>
        </xdr:cNvPicPr>
      </xdr:nvPicPr>
      <xdr:blipFill>
        <a:blip xmlns:r="http://schemas.openxmlformats.org/officeDocument/2006/relationships" r:embed="rId3"/>
        <a:stretch>
          <a:fillRect/>
        </a:stretch>
      </xdr:blipFill>
      <xdr:spPr>
        <a:xfrm>
          <a:off x="9867900" y="6724650"/>
          <a:ext cx="4572000" cy="2047875"/>
        </a:xfrm>
        <a:prstGeom prst="rect">
          <a:avLst/>
        </a:prstGeom>
      </xdr:spPr>
    </xdr:pic>
    <xdr:clientData/>
  </xdr:twoCellAnchor>
  <xdr:twoCellAnchor editAs="oneCell">
    <xdr:from>
      <xdr:col>15</xdr:col>
      <xdr:colOff>0</xdr:colOff>
      <xdr:row>47</xdr:row>
      <xdr:rowOff>0</xdr:rowOff>
    </xdr:from>
    <xdr:to>
      <xdr:col>20</xdr:col>
      <xdr:colOff>381000</xdr:colOff>
      <xdr:row>71</xdr:row>
      <xdr:rowOff>0</xdr:rowOff>
    </xdr:to>
    <xdr:pic>
      <xdr:nvPicPr>
        <xdr:cNvPr id="7" name="Picture 6">
          <a:extLst>
            <a:ext uri="{FF2B5EF4-FFF2-40B4-BE49-F238E27FC236}">
              <a16:creationId xmlns:a16="http://schemas.microsoft.com/office/drawing/2014/main" id="{F87D8DE0-A052-8751-1781-B280C1D40775}"/>
            </a:ext>
            <a:ext uri="{147F2762-F138-4A5C-976F-8EAC2B608ADB}">
              <a16:predDERef xmlns:a16="http://schemas.microsoft.com/office/drawing/2014/main" pred="{7904E45E-4636-38ED-172E-FD54B2CDE83C}"/>
            </a:ext>
          </a:extLst>
        </xdr:cNvPr>
        <xdr:cNvPicPr>
          <a:picLocks noChangeAspect="1"/>
        </xdr:cNvPicPr>
      </xdr:nvPicPr>
      <xdr:blipFill>
        <a:blip xmlns:r="http://schemas.openxmlformats.org/officeDocument/2006/relationships" r:embed="rId4"/>
        <a:stretch>
          <a:fillRect/>
        </a:stretch>
      </xdr:blipFill>
      <xdr:spPr>
        <a:xfrm>
          <a:off x="9877425" y="8953500"/>
          <a:ext cx="3429000" cy="4572000"/>
        </a:xfrm>
        <a:prstGeom prst="rect">
          <a:avLst/>
        </a:prstGeom>
      </xdr:spPr>
    </xdr:pic>
    <xdr:clientData/>
  </xdr:twoCellAnchor>
  <xdr:twoCellAnchor editAs="oneCell">
    <xdr:from>
      <xdr:col>5</xdr:col>
      <xdr:colOff>247650</xdr:colOff>
      <xdr:row>59</xdr:row>
      <xdr:rowOff>133350</xdr:rowOff>
    </xdr:from>
    <xdr:to>
      <xdr:col>6</xdr:col>
      <xdr:colOff>9525</xdr:colOff>
      <xdr:row>79</xdr:row>
      <xdr:rowOff>66675</xdr:rowOff>
    </xdr:to>
    <xdr:pic>
      <xdr:nvPicPr>
        <xdr:cNvPr id="2" name="Picture 1">
          <a:extLst>
            <a:ext uri="{FF2B5EF4-FFF2-40B4-BE49-F238E27FC236}">
              <a16:creationId xmlns:a16="http://schemas.microsoft.com/office/drawing/2014/main" id="{39D0E382-DCC8-0786-D707-CC028B552B8C}"/>
            </a:ext>
            <a:ext uri="{147F2762-F138-4A5C-976F-8EAC2B608ADB}">
              <a16:predDERef xmlns:a16="http://schemas.microsoft.com/office/drawing/2014/main" pred="{F87D8DE0-A052-8751-1781-B280C1D40775}"/>
            </a:ext>
          </a:extLst>
        </xdr:cNvPr>
        <xdr:cNvPicPr>
          <a:picLocks noChangeAspect="1"/>
        </xdr:cNvPicPr>
      </xdr:nvPicPr>
      <xdr:blipFill>
        <a:blip xmlns:r="http://schemas.openxmlformats.org/officeDocument/2006/relationships" r:embed="rId5"/>
        <a:stretch>
          <a:fillRect/>
        </a:stretch>
      </xdr:blipFill>
      <xdr:spPr>
        <a:xfrm>
          <a:off x="4076700" y="11372850"/>
          <a:ext cx="666750" cy="3743325"/>
        </a:xfrm>
        <a:prstGeom prst="rect">
          <a:avLst/>
        </a:prstGeom>
      </xdr:spPr>
    </xdr:pic>
    <xdr:clientData/>
  </xdr:twoCellAnchor>
  <xdr:twoCellAnchor editAs="oneCell">
    <xdr:from>
      <xdr:col>0</xdr:col>
      <xdr:colOff>-1571625</xdr:colOff>
      <xdr:row>0</xdr:row>
      <xdr:rowOff>-38100</xdr:rowOff>
    </xdr:from>
    <xdr:to>
      <xdr:col>0</xdr:col>
      <xdr:colOff>-1571625</xdr:colOff>
      <xdr:row>0</xdr:row>
      <xdr:rowOff>-38100</xdr:rowOff>
    </xdr:to>
    <xdr:pic>
      <xdr:nvPicPr>
        <xdr:cNvPr id="8" name="Picture 7">
          <a:extLst>
            <a:ext uri="{FF2B5EF4-FFF2-40B4-BE49-F238E27FC236}">
              <a16:creationId xmlns:a16="http://schemas.microsoft.com/office/drawing/2014/main" id="{C62B88A3-A4C3-F507-A6D7-9508418E21DB}"/>
            </a:ext>
            <a:ext uri="{147F2762-F138-4A5C-976F-8EAC2B608ADB}">
              <a16:predDERef xmlns:a16="http://schemas.microsoft.com/office/drawing/2014/main" pred="{39D0E382-DCC8-0786-D707-CC028B552B8C}"/>
            </a:ext>
          </a:extLst>
        </xdr:cNvPr>
        <xdr:cNvPicPr>
          <a:picLocks noChangeAspect="1"/>
        </xdr:cNvPicPr>
      </xdr:nvPicPr>
      <xdr:blipFill>
        <a:blip xmlns:r="http://schemas.openxmlformats.org/officeDocument/2006/relationships" r:embed="rId6"/>
        <a:stretch>
          <a:fillRect/>
        </a:stretch>
      </xdr:blipFill>
      <xdr:spPr>
        <a:xfrm>
          <a:off x="-1571625" y="-38100"/>
          <a:ext cx="0" cy="0"/>
        </a:xfrm>
        <a:prstGeom prst="rect">
          <a:avLst/>
        </a:prstGeom>
      </xdr:spPr>
    </xdr:pic>
    <xdr:clientData/>
  </xdr:twoCellAnchor>
  <xdr:twoCellAnchor editAs="oneCell">
    <xdr:from>
      <xdr:col>29</xdr:col>
      <xdr:colOff>276225</xdr:colOff>
      <xdr:row>19</xdr:row>
      <xdr:rowOff>57150</xdr:rowOff>
    </xdr:from>
    <xdr:to>
      <xdr:col>36</xdr:col>
      <xdr:colOff>581025</xdr:colOff>
      <xdr:row>41</xdr:row>
      <xdr:rowOff>123825</xdr:rowOff>
    </xdr:to>
    <xdr:pic>
      <xdr:nvPicPr>
        <xdr:cNvPr id="10" name="Picture 9">
          <a:extLst>
            <a:ext uri="{FF2B5EF4-FFF2-40B4-BE49-F238E27FC236}">
              <a16:creationId xmlns:a16="http://schemas.microsoft.com/office/drawing/2014/main" id="{A832DB29-6389-C13D-FBCD-D7DA21B55B58}"/>
            </a:ext>
            <a:ext uri="{147F2762-F138-4A5C-976F-8EAC2B608ADB}">
              <a16:predDERef xmlns:a16="http://schemas.microsoft.com/office/drawing/2014/main" pred="{C62B88A3-A4C3-F507-A6D7-9508418E21DB}"/>
            </a:ext>
          </a:extLst>
        </xdr:cNvPr>
        <xdr:cNvPicPr>
          <a:picLocks noChangeAspect="1"/>
        </xdr:cNvPicPr>
      </xdr:nvPicPr>
      <xdr:blipFill>
        <a:blip xmlns:r="http://schemas.openxmlformats.org/officeDocument/2006/relationships" r:embed="rId7"/>
        <a:stretch>
          <a:fillRect/>
        </a:stretch>
      </xdr:blipFill>
      <xdr:spPr>
        <a:xfrm>
          <a:off x="19164300" y="3676650"/>
          <a:ext cx="4572000" cy="42576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352425</xdr:colOff>
      <xdr:row>18</xdr:row>
      <xdr:rowOff>57150</xdr:rowOff>
    </xdr:from>
    <xdr:to>
      <xdr:col>16</xdr:col>
      <xdr:colOff>552450</xdr:colOff>
      <xdr:row>23</xdr:row>
      <xdr:rowOff>95250</xdr:rowOff>
    </xdr:to>
    <xdr:pic>
      <xdr:nvPicPr>
        <xdr:cNvPr id="6" name="Picture 5" descr="A close-up of a line&#10;&#10;AI-generated content may be incorrect.">
          <a:extLst>
            <a:ext uri="{FF2B5EF4-FFF2-40B4-BE49-F238E27FC236}">
              <a16:creationId xmlns:a16="http://schemas.microsoft.com/office/drawing/2014/main" id="{90FD4917-11C6-B875-BC20-D706B051D6AE}"/>
            </a:ext>
          </a:extLst>
        </xdr:cNvPr>
        <xdr:cNvPicPr>
          <a:picLocks noChangeAspect="1"/>
        </xdr:cNvPicPr>
      </xdr:nvPicPr>
      <xdr:blipFill>
        <a:blip xmlns:r="http://schemas.openxmlformats.org/officeDocument/2006/relationships" r:embed="rId1"/>
        <a:stretch>
          <a:fillRect/>
        </a:stretch>
      </xdr:blipFill>
      <xdr:spPr>
        <a:xfrm>
          <a:off x="9667875" y="3486150"/>
          <a:ext cx="5343525" cy="10191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161925</xdr:colOff>
      <xdr:row>20</xdr:row>
      <xdr:rowOff>76200</xdr:rowOff>
    </xdr:from>
    <xdr:to>
      <xdr:col>13</xdr:col>
      <xdr:colOff>1095375</xdr:colOff>
      <xdr:row>50</xdr:row>
      <xdr:rowOff>76200</xdr:rowOff>
    </xdr:to>
    <xdr:pic>
      <xdr:nvPicPr>
        <xdr:cNvPr id="2" name="Picture 1">
          <a:extLst>
            <a:ext uri="{FF2B5EF4-FFF2-40B4-BE49-F238E27FC236}">
              <a16:creationId xmlns:a16="http://schemas.microsoft.com/office/drawing/2014/main" id="{57EBF91A-E14B-BE90-CEC5-FB0D7C581D3F}"/>
            </a:ext>
          </a:extLst>
        </xdr:cNvPr>
        <xdr:cNvPicPr>
          <a:picLocks noChangeAspect="1"/>
        </xdr:cNvPicPr>
      </xdr:nvPicPr>
      <xdr:blipFill>
        <a:blip xmlns:r="http://schemas.openxmlformats.org/officeDocument/2006/relationships" r:embed="rId1"/>
        <a:stretch>
          <a:fillRect/>
        </a:stretch>
      </xdr:blipFill>
      <xdr:spPr>
        <a:xfrm>
          <a:off x="9610725" y="3400425"/>
          <a:ext cx="4591050" cy="5791200"/>
        </a:xfrm>
        <a:prstGeom prst="rect">
          <a:avLst/>
        </a:prstGeom>
      </xdr:spPr>
    </xdr:pic>
    <xdr:clientData/>
  </xdr:twoCellAnchor>
  <xdr:twoCellAnchor editAs="oneCell">
    <xdr:from>
      <xdr:col>5</xdr:col>
      <xdr:colOff>95250</xdr:colOff>
      <xdr:row>1</xdr:row>
      <xdr:rowOff>171450</xdr:rowOff>
    </xdr:from>
    <xdr:to>
      <xdr:col>12</xdr:col>
      <xdr:colOff>581025</xdr:colOff>
      <xdr:row>19</xdr:row>
      <xdr:rowOff>57150</xdr:rowOff>
    </xdr:to>
    <xdr:pic>
      <xdr:nvPicPr>
        <xdr:cNvPr id="3" name="Picture 2">
          <a:extLst>
            <a:ext uri="{FF2B5EF4-FFF2-40B4-BE49-F238E27FC236}">
              <a16:creationId xmlns:a16="http://schemas.microsoft.com/office/drawing/2014/main" id="{8DC00AE2-6776-39C2-6960-6A58AB14E614}"/>
            </a:ext>
            <a:ext uri="{147F2762-F138-4A5C-976F-8EAC2B608ADB}">
              <a16:predDERef xmlns:a16="http://schemas.microsoft.com/office/drawing/2014/main" pred="{57EBF91A-E14B-BE90-CEC5-FB0D7C581D3F}"/>
            </a:ext>
          </a:extLst>
        </xdr:cNvPr>
        <xdr:cNvPicPr>
          <a:picLocks noChangeAspect="1"/>
        </xdr:cNvPicPr>
      </xdr:nvPicPr>
      <xdr:blipFill>
        <a:blip xmlns:r="http://schemas.openxmlformats.org/officeDocument/2006/relationships" r:embed="rId2"/>
        <a:stretch>
          <a:fillRect/>
        </a:stretch>
      </xdr:blipFill>
      <xdr:spPr>
        <a:xfrm>
          <a:off x="6448425" y="361950"/>
          <a:ext cx="6629400" cy="2895600"/>
        </a:xfrm>
        <a:prstGeom prst="rect">
          <a:avLst/>
        </a:prstGeom>
      </xdr:spPr>
    </xdr:pic>
    <xdr:clientData/>
  </xdr:twoCellAnchor>
  <xdr:twoCellAnchor>
    <xdr:from>
      <xdr:col>13</xdr:col>
      <xdr:colOff>1209675</xdr:colOff>
      <xdr:row>6</xdr:row>
      <xdr:rowOff>104775</xdr:rowOff>
    </xdr:from>
    <xdr:to>
      <xdr:col>17</xdr:col>
      <xdr:colOff>390525</xdr:colOff>
      <xdr:row>20</xdr:row>
      <xdr:rowOff>180975</xdr:rowOff>
    </xdr:to>
    <xdr:graphicFrame macro="">
      <xdr:nvGraphicFramePr>
        <xdr:cNvPr id="8" name="Chart 7">
          <a:extLst>
            <a:ext uri="{FF2B5EF4-FFF2-40B4-BE49-F238E27FC236}">
              <a16:creationId xmlns:a16="http://schemas.microsoft.com/office/drawing/2014/main" id="{6C384FC1-352B-7610-0C2F-6D2AEECA712F}"/>
            </a:ext>
            <a:ext uri="{147F2762-F138-4A5C-976F-8EAC2B608ADB}">
              <a16:predDERef xmlns:a16="http://schemas.microsoft.com/office/drawing/2014/main" pred="{8DC00AE2-6776-39C2-6960-6A58AB14E6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1209675</xdr:colOff>
      <xdr:row>21</xdr:row>
      <xdr:rowOff>76200</xdr:rowOff>
    </xdr:from>
    <xdr:to>
      <xdr:col>18</xdr:col>
      <xdr:colOff>266700</xdr:colOff>
      <xdr:row>38</xdr:row>
      <xdr:rowOff>76200</xdr:rowOff>
    </xdr:to>
    <mc:AlternateContent xmlns:mc="http://schemas.openxmlformats.org/markup-compatibility/2006">
      <mc:Choice xmlns:cx1="http://schemas.microsoft.com/office/drawing/2015/9/8/chartex" Requires="cx1">
        <xdr:graphicFrame macro="">
          <xdr:nvGraphicFramePr>
            <xdr:cNvPr id="9" name="Chart 8">
              <a:extLst>
                <a:ext uri="{FF2B5EF4-FFF2-40B4-BE49-F238E27FC236}">
                  <a16:creationId xmlns:a16="http://schemas.microsoft.com/office/drawing/2014/main" id="{BD867125-1E5E-1352-2570-B0809D1B42BB}"/>
                </a:ext>
                <a:ext uri="{147F2762-F138-4A5C-976F-8EAC2B608ADB}">
                  <a16:predDERef xmlns:a16="http://schemas.microsoft.com/office/drawing/2014/main" pred="{6C384FC1-352B-7610-0C2F-6D2AEECA712F}"/>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4"/>
            </a:graphicData>
          </a:graphic>
        </xdr:graphicFrame>
      </mc:Choice>
      <mc:Fallback>
        <xdr:sp macro="" textlink="">
          <xdr:nvSpPr>
            <xdr:cNvPr id="0" name=""/>
            <xdr:cNvSpPr>
              <a:spLocks noTextEdit="1"/>
            </xdr:cNvSpPr>
          </xdr:nvSpPr>
          <xdr:spPr>
            <a:xfrm>
              <a:off x="0" y="0"/>
              <a:ext cx="0" cy="0"/>
            </a:xfrm>
            <a:prstGeom prst="rect">
              <a:avLst/>
            </a:prstGeom>
            <a:solidFill>
              <a:prstClr val="white"/>
            </a:solidFill>
            <a:ln w="1">
              <a:solidFill>
                <a:prstClr val="green"/>
              </a:solidFill>
            </a:ln>
          </xdr:spPr>
          <xdr:txBody>
            <a:bodyPr vertOverflow="clip" horzOverflow="clip"/>
            <a:lstStyle/>
            <a:p>
              <a:r>
                <a:rPr sz="1100"/>
                <a:t>This chart isn't available in your version of Excel.
Editing this shape or saving this workbook in a different file format will permanently break the chart.</a:t>
              </a:r>
            </a:p>
          </xdr:txBody>
        </xdr:sp>
      </mc:Fallback>
    </mc:AlternateContent>
    <xdr:clientData/>
  </xdr:twoCellAnchor>
  <xdr:twoCellAnchor editAs="oneCell">
    <xdr:from>
      <xdr:col>13</xdr:col>
      <xdr:colOff>1228725</xdr:colOff>
      <xdr:row>40</xdr:row>
      <xdr:rowOff>0</xdr:rowOff>
    </xdr:from>
    <xdr:to>
      <xdr:col>15</xdr:col>
      <xdr:colOff>228600</xdr:colOff>
      <xdr:row>64</xdr:row>
      <xdr:rowOff>0</xdr:rowOff>
    </xdr:to>
    <xdr:pic>
      <xdr:nvPicPr>
        <xdr:cNvPr id="11" name="Picture 10">
          <a:extLst>
            <a:ext uri="{FF2B5EF4-FFF2-40B4-BE49-F238E27FC236}">
              <a16:creationId xmlns:a16="http://schemas.microsoft.com/office/drawing/2014/main" id="{98D8121B-B5A5-19CB-EB82-9762E7367BD8}"/>
            </a:ext>
            <a:ext uri="{147F2762-F138-4A5C-976F-8EAC2B608ADB}">
              <a16:predDERef xmlns:a16="http://schemas.microsoft.com/office/drawing/2014/main" pred="{BD867125-1E5E-1352-2570-B0809D1B42BB}"/>
            </a:ext>
          </a:extLst>
        </xdr:cNvPr>
        <xdr:cNvPicPr>
          <a:picLocks noChangeAspect="1"/>
        </xdr:cNvPicPr>
      </xdr:nvPicPr>
      <xdr:blipFill>
        <a:blip xmlns:r="http://schemas.openxmlformats.org/officeDocument/2006/relationships" r:embed="rId5"/>
        <a:stretch>
          <a:fillRect/>
        </a:stretch>
      </xdr:blipFill>
      <xdr:spPr>
        <a:xfrm>
          <a:off x="14335125" y="7696200"/>
          <a:ext cx="1943100" cy="4572000"/>
        </a:xfrm>
        <a:prstGeom prst="rect">
          <a:avLst/>
        </a:prstGeom>
      </xdr:spPr>
    </xdr:pic>
    <xdr:clientData/>
  </xdr:twoCellAnchor>
  <xdr:twoCellAnchor editAs="oneCell">
    <xdr:from>
      <xdr:col>15</xdr:col>
      <xdr:colOff>581025</xdr:colOff>
      <xdr:row>40</xdr:row>
      <xdr:rowOff>114300</xdr:rowOff>
    </xdr:from>
    <xdr:to>
      <xdr:col>17</xdr:col>
      <xdr:colOff>1219200</xdr:colOff>
      <xdr:row>51</xdr:row>
      <xdr:rowOff>0</xdr:rowOff>
    </xdr:to>
    <xdr:pic>
      <xdr:nvPicPr>
        <xdr:cNvPr id="12" name="Picture 11">
          <a:extLst>
            <a:ext uri="{FF2B5EF4-FFF2-40B4-BE49-F238E27FC236}">
              <a16:creationId xmlns:a16="http://schemas.microsoft.com/office/drawing/2014/main" id="{20E6BF83-E724-C8F0-E470-A07806412003}"/>
            </a:ext>
            <a:ext uri="{147F2762-F138-4A5C-976F-8EAC2B608ADB}">
              <a16:predDERef xmlns:a16="http://schemas.microsoft.com/office/drawing/2014/main" pred="{98D8121B-B5A5-19CB-EB82-9762E7367BD8}"/>
            </a:ext>
          </a:extLst>
        </xdr:cNvPr>
        <xdr:cNvPicPr>
          <a:picLocks noChangeAspect="1"/>
        </xdr:cNvPicPr>
      </xdr:nvPicPr>
      <xdr:blipFill>
        <a:blip xmlns:r="http://schemas.openxmlformats.org/officeDocument/2006/relationships" r:embed="rId6"/>
        <a:stretch>
          <a:fillRect/>
        </a:stretch>
      </xdr:blipFill>
      <xdr:spPr>
        <a:xfrm>
          <a:off x="16630650" y="7810500"/>
          <a:ext cx="3086100" cy="1981200"/>
        </a:xfrm>
        <a:prstGeom prst="rect">
          <a:avLst/>
        </a:prstGeom>
      </xdr:spPr>
    </xdr:pic>
    <xdr:clientData/>
  </xdr:twoCellAnchor>
  <xdr:twoCellAnchor editAs="oneCell">
    <xdr:from>
      <xdr:col>15</xdr:col>
      <xdr:colOff>552450</xdr:colOff>
      <xdr:row>51</xdr:row>
      <xdr:rowOff>66675</xdr:rowOff>
    </xdr:from>
    <xdr:to>
      <xdr:col>17</xdr:col>
      <xdr:colOff>1247775</xdr:colOff>
      <xdr:row>64</xdr:row>
      <xdr:rowOff>133350</xdr:rowOff>
    </xdr:to>
    <xdr:pic>
      <xdr:nvPicPr>
        <xdr:cNvPr id="13" name="Picture 12">
          <a:extLst>
            <a:ext uri="{FF2B5EF4-FFF2-40B4-BE49-F238E27FC236}">
              <a16:creationId xmlns:a16="http://schemas.microsoft.com/office/drawing/2014/main" id="{24DC0593-2329-7641-93EC-22465E7333F0}"/>
            </a:ext>
            <a:ext uri="{147F2762-F138-4A5C-976F-8EAC2B608ADB}">
              <a16:predDERef xmlns:a16="http://schemas.microsoft.com/office/drawing/2014/main" pred="{20E6BF83-E724-C8F0-E470-A07806412003}"/>
            </a:ext>
          </a:extLst>
        </xdr:cNvPr>
        <xdr:cNvPicPr>
          <a:picLocks noChangeAspect="1"/>
        </xdr:cNvPicPr>
      </xdr:nvPicPr>
      <xdr:blipFill>
        <a:blip xmlns:r="http://schemas.openxmlformats.org/officeDocument/2006/relationships" r:embed="rId7"/>
        <a:stretch>
          <a:fillRect/>
        </a:stretch>
      </xdr:blipFill>
      <xdr:spPr>
        <a:xfrm>
          <a:off x="16602075" y="9858375"/>
          <a:ext cx="3143250" cy="2543175"/>
        </a:xfrm>
        <a:prstGeom prst="rect">
          <a:avLst/>
        </a:prstGeom>
      </xdr:spPr>
    </xdr:pic>
    <xdr:clientData/>
  </xdr:twoCellAnchor>
  <xdr:twoCellAnchor editAs="oneCell">
    <xdr:from>
      <xdr:col>0</xdr:col>
      <xdr:colOff>552450</xdr:colOff>
      <xdr:row>38</xdr:row>
      <xdr:rowOff>95250</xdr:rowOff>
    </xdr:from>
    <xdr:to>
      <xdr:col>4</xdr:col>
      <xdr:colOff>257175</xdr:colOff>
      <xdr:row>56</xdr:row>
      <xdr:rowOff>95250</xdr:rowOff>
    </xdr:to>
    <xdr:pic>
      <xdr:nvPicPr>
        <xdr:cNvPr id="15" name="Picture 14">
          <a:extLst>
            <a:ext uri="{FF2B5EF4-FFF2-40B4-BE49-F238E27FC236}">
              <a16:creationId xmlns:a16="http://schemas.microsoft.com/office/drawing/2014/main" id="{F1B6F31E-CCFF-00AC-807C-5F3153E38D73}"/>
            </a:ext>
            <a:ext uri="{147F2762-F138-4A5C-976F-8EAC2B608ADB}">
              <a16:predDERef xmlns:a16="http://schemas.microsoft.com/office/drawing/2014/main" pred="{24DC0593-2329-7641-93EC-22465E7333F0}"/>
            </a:ext>
          </a:extLst>
        </xdr:cNvPr>
        <xdr:cNvPicPr>
          <a:picLocks noChangeAspect="1"/>
        </xdr:cNvPicPr>
      </xdr:nvPicPr>
      <xdr:blipFill>
        <a:blip xmlns:r="http://schemas.openxmlformats.org/officeDocument/2006/relationships" r:embed="rId8"/>
        <a:stretch>
          <a:fillRect/>
        </a:stretch>
      </xdr:blipFill>
      <xdr:spPr>
        <a:xfrm>
          <a:off x="552450" y="6886575"/>
          <a:ext cx="4572000" cy="3429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17</xdr:col>
      <xdr:colOff>0</xdr:colOff>
      <xdr:row>35</xdr:row>
      <xdr:rowOff>0</xdr:rowOff>
    </xdr:from>
    <xdr:to>
      <xdr:col>22</xdr:col>
      <xdr:colOff>219075</xdr:colOff>
      <xdr:row>55</xdr:row>
      <xdr:rowOff>28575</xdr:rowOff>
    </xdr:to>
    <xdr:pic>
      <xdr:nvPicPr>
        <xdr:cNvPr id="2" name="Picture 1" descr="Picture">
          <a:extLst>
            <a:ext uri="{FF2B5EF4-FFF2-40B4-BE49-F238E27FC236}">
              <a16:creationId xmlns:a16="http://schemas.microsoft.com/office/drawing/2014/main" id="{11D68C67-E5B4-2339-F5C5-52200D8C170B}"/>
            </a:ext>
          </a:extLst>
        </xdr:cNvPr>
        <xdr:cNvPicPr>
          <a:picLocks noChangeAspect="1"/>
        </xdr:cNvPicPr>
      </xdr:nvPicPr>
      <xdr:blipFill>
        <a:blip xmlns:r="http://schemas.openxmlformats.org/officeDocument/2006/relationships" r:embed="rId1"/>
        <a:stretch>
          <a:fillRect/>
        </a:stretch>
      </xdr:blipFill>
      <xdr:spPr>
        <a:xfrm>
          <a:off x="14925675" y="6219825"/>
          <a:ext cx="4572000" cy="38385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hyperlink" Target="mailto:tostconstruction@outlook.com"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7"/>
  <sheetViews>
    <sheetView workbookViewId="0">
      <selection activeCell="F20" sqref="F20"/>
    </sheetView>
  </sheetViews>
  <sheetFormatPr defaultRowHeight="15"/>
  <cols>
    <col min="1" max="1" width="65.140625" customWidth="1"/>
    <col min="2" max="2" width="17" customWidth="1"/>
    <col min="6" max="6" width="37.7109375" customWidth="1"/>
  </cols>
  <sheetData>
    <row r="1" spans="1:6">
      <c r="A1" t="s">
        <v>0</v>
      </c>
    </row>
    <row r="3" spans="1:6">
      <c r="A3" t="s">
        <v>1</v>
      </c>
    </row>
    <row r="5" spans="1:6">
      <c r="A5" t="s">
        <v>2</v>
      </c>
      <c r="F5" s="2"/>
    </row>
    <row r="7" spans="1:6">
      <c r="A7" s="264" t="s">
        <v>3</v>
      </c>
      <c r="B7" s="248"/>
    </row>
    <row r="8" spans="1:6">
      <c r="A8" s="242" t="s">
        <v>4</v>
      </c>
      <c r="B8" s="258">
        <v>15178</v>
      </c>
    </row>
    <row r="9" spans="1:6">
      <c r="A9" s="9" t="s">
        <v>5</v>
      </c>
      <c r="B9" s="259">
        <v>2470710.5</v>
      </c>
    </row>
    <row r="10" spans="1:6">
      <c r="A10" s="260" t="s">
        <v>6</v>
      </c>
      <c r="B10" s="259">
        <v>175323</v>
      </c>
    </row>
    <row r="11" spans="1:6">
      <c r="A11" s="9" t="s">
        <v>7</v>
      </c>
      <c r="B11" s="263">
        <f>SUM(B8+B9+B10)</f>
        <v>2661211.5</v>
      </c>
      <c r="F11" s="1"/>
    </row>
    <row r="12" spans="1:6">
      <c r="A12" s="261" t="s">
        <v>8</v>
      </c>
      <c r="B12" s="259">
        <v>0</v>
      </c>
    </row>
    <row r="13" spans="1:6">
      <c r="A13" s="172" t="s">
        <v>9</v>
      </c>
      <c r="B13" s="263">
        <f>SUM(B11+B12)</f>
        <v>2661211.5</v>
      </c>
    </row>
    <row r="14" spans="1:6">
      <c r="A14" s="261" t="s">
        <v>10</v>
      </c>
      <c r="B14" s="234">
        <v>10000</v>
      </c>
    </row>
    <row r="15" spans="1:6">
      <c r="A15" s="9" t="s">
        <v>11</v>
      </c>
      <c r="B15" s="263">
        <f>SUM(B13+B14)</f>
        <v>2671211.5</v>
      </c>
    </row>
    <row r="16" spans="1:6">
      <c r="A16" s="261" t="s">
        <v>12</v>
      </c>
      <c r="B16" s="259">
        <v>56521</v>
      </c>
    </row>
    <row r="17" spans="1:2">
      <c r="A17" s="172" t="s">
        <v>13</v>
      </c>
      <c r="B17" s="263">
        <f>SUM(B15+B16)</f>
        <v>2727732.5</v>
      </c>
    </row>
    <row r="18" spans="1:2">
      <c r="A18" s="172" t="s">
        <v>14</v>
      </c>
      <c r="B18" s="263">
        <f>SUM(B19+B20+B21+B22)</f>
        <v>0</v>
      </c>
    </row>
    <row r="19" spans="1:2">
      <c r="A19" s="9" t="s">
        <v>15</v>
      </c>
      <c r="B19" s="259">
        <v>0</v>
      </c>
    </row>
    <row r="20" spans="1:2">
      <c r="A20" s="9" t="s">
        <v>16</v>
      </c>
      <c r="B20" s="259">
        <v>0</v>
      </c>
    </row>
    <row r="21" spans="1:2">
      <c r="A21" s="9" t="s">
        <v>17</v>
      </c>
      <c r="B21" s="259">
        <v>0</v>
      </c>
    </row>
    <row r="22" spans="1:2">
      <c r="A22" s="261" t="s">
        <v>18</v>
      </c>
      <c r="B22" s="259">
        <v>0</v>
      </c>
    </row>
    <row r="23" spans="1:2">
      <c r="A23" s="172" t="s">
        <v>19</v>
      </c>
      <c r="B23" s="263">
        <f>SUM(B17+B18)</f>
        <v>2727732.5</v>
      </c>
    </row>
    <row r="24" spans="1:2">
      <c r="A24" s="172" t="s">
        <v>20</v>
      </c>
      <c r="B24" s="259">
        <v>3399490.4</v>
      </c>
    </row>
    <row r="25" spans="1:2">
      <c r="A25" s="9" t="s">
        <v>21</v>
      </c>
      <c r="B25" s="263">
        <f>SUM(B18+B23)</f>
        <v>2727732.5</v>
      </c>
    </row>
    <row r="26" spans="1:2">
      <c r="A26" s="261" t="s">
        <v>22</v>
      </c>
      <c r="B26" s="259">
        <v>3915643.39</v>
      </c>
    </row>
    <row r="27" spans="1:2">
      <c r="A27" s="261" t="s">
        <v>23</v>
      </c>
      <c r="B27" s="263">
        <f>SUM(B25+B26)</f>
        <v>6643375.8900000006</v>
      </c>
    </row>
    <row r="28" spans="1:2">
      <c r="A28" s="262" t="s">
        <v>24</v>
      </c>
      <c r="B28" s="236">
        <f>B27*0.175</f>
        <v>1162590.7807499999</v>
      </c>
    </row>
    <row r="29" spans="1:2">
      <c r="B29" s="30"/>
    </row>
    <row r="30" spans="1:2">
      <c r="B30" s="30"/>
    </row>
    <row r="31" spans="1:2">
      <c r="B31" s="30"/>
    </row>
    <row r="32" spans="1:2">
      <c r="B32" s="30"/>
    </row>
    <row r="33" spans="2:2">
      <c r="B33" s="30"/>
    </row>
    <row r="34" spans="2:2">
      <c r="B34" s="30"/>
    </row>
    <row r="35" spans="2:2">
      <c r="B35" s="30"/>
    </row>
    <row r="36" spans="2:2">
      <c r="B36" s="30"/>
    </row>
    <row r="37" spans="2:2">
      <c r="B37" s="3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17D21-830A-45B6-8B53-1E685B77B17C}">
  <dimension ref="B2:O102"/>
  <sheetViews>
    <sheetView topLeftCell="A40" workbookViewId="0">
      <selection activeCell="F35" sqref="F35"/>
    </sheetView>
  </sheetViews>
  <sheetFormatPr defaultRowHeight="15"/>
  <cols>
    <col min="2" max="2" width="62.85546875" customWidth="1"/>
    <col min="3" max="3" width="38.42578125" customWidth="1"/>
    <col min="4" max="4" width="20.140625" customWidth="1"/>
    <col min="5" max="5" width="29.7109375" customWidth="1"/>
    <col min="6" max="6" width="25" customWidth="1"/>
    <col min="7" max="7" width="13.85546875" customWidth="1"/>
    <col min="10" max="10" width="27.7109375" customWidth="1"/>
    <col min="11" max="11" width="26.5703125" bestFit="1" customWidth="1"/>
    <col min="13" max="13" width="30.28515625" bestFit="1" customWidth="1"/>
    <col min="14" max="14" width="26.85546875" bestFit="1" customWidth="1"/>
    <col min="15" max="15" width="36.5703125" bestFit="1" customWidth="1"/>
  </cols>
  <sheetData>
    <row r="2" spans="2:5">
      <c r="B2" t="s">
        <v>25</v>
      </c>
    </row>
    <row r="3" spans="2:5">
      <c r="B3" t="s">
        <v>26</v>
      </c>
      <c r="C3" t="s">
        <v>27</v>
      </c>
    </row>
    <row r="4" spans="2:5">
      <c r="B4" t="s">
        <v>28</v>
      </c>
      <c r="C4" t="s">
        <v>29</v>
      </c>
    </row>
    <row r="5" spans="2:5">
      <c r="B5" t="s">
        <v>30</v>
      </c>
      <c r="C5" s="13" t="s">
        <v>31</v>
      </c>
    </row>
    <row r="6" spans="2:5">
      <c r="B6" t="s">
        <v>32</v>
      </c>
      <c r="C6" t="s">
        <v>33</v>
      </c>
    </row>
    <row r="7" spans="2:5">
      <c r="B7" t="s">
        <v>34</v>
      </c>
      <c r="C7" s="5" t="s">
        <v>35</v>
      </c>
      <c r="D7" t="s">
        <v>36</v>
      </c>
    </row>
    <row r="8" spans="2:5">
      <c r="B8" t="s">
        <v>37</v>
      </c>
      <c r="C8" t="s">
        <v>38</v>
      </c>
    </row>
    <row r="9" spans="2:5">
      <c r="B9" t="s">
        <v>39</v>
      </c>
      <c r="C9" t="s">
        <v>40</v>
      </c>
    </row>
    <row r="10" spans="2:5">
      <c r="B10" t="s">
        <v>41</v>
      </c>
      <c r="C10" t="s">
        <v>42</v>
      </c>
    </row>
    <row r="11" spans="2:5" ht="29.25">
      <c r="B11" t="s">
        <v>43</v>
      </c>
      <c r="C11" t="s">
        <v>44</v>
      </c>
      <c r="D11" s="6">
        <v>45244</v>
      </c>
      <c r="E11" s="22" t="s">
        <v>45</v>
      </c>
    </row>
    <row r="12" spans="2:5">
      <c r="C12" t="s">
        <v>46</v>
      </c>
      <c r="D12" s="3">
        <v>45244</v>
      </c>
    </row>
    <row r="13" spans="2:5" ht="15.75" customHeight="1">
      <c r="B13" t="s">
        <v>47</v>
      </c>
      <c r="C13" s="23" t="s">
        <v>48</v>
      </c>
    </row>
    <row r="14" spans="2:5" ht="29.25">
      <c r="B14" t="s">
        <v>49</v>
      </c>
      <c r="C14" s="23" t="s">
        <v>50</v>
      </c>
    </row>
    <row r="15" spans="2:5">
      <c r="B15" t="s">
        <v>51</v>
      </c>
      <c r="C15" t="s">
        <v>52</v>
      </c>
    </row>
    <row r="16" spans="2:5">
      <c r="B16" t="s">
        <v>53</v>
      </c>
      <c r="C16" t="s">
        <v>54</v>
      </c>
    </row>
    <row r="17" spans="2:5">
      <c r="B17" t="s">
        <v>55</v>
      </c>
      <c r="C17" t="s">
        <v>56</v>
      </c>
    </row>
    <row r="18" spans="2:5">
      <c r="B18" t="s">
        <v>57</v>
      </c>
      <c r="C18" t="s">
        <v>58</v>
      </c>
    </row>
    <row r="19" spans="2:5">
      <c r="B19" t="s">
        <v>59</v>
      </c>
      <c r="C19" t="s">
        <v>60</v>
      </c>
    </row>
    <row r="20" spans="2:5">
      <c r="B20" t="s">
        <v>61</v>
      </c>
      <c r="E20" s="24"/>
    </row>
    <row r="21" spans="2:5">
      <c r="B21" t="s">
        <v>62</v>
      </c>
    </row>
    <row r="22" spans="2:5">
      <c r="B22" t="s">
        <v>63</v>
      </c>
      <c r="C22" s="14">
        <v>0</v>
      </c>
    </row>
    <row r="23" spans="2:5">
      <c r="B23" t="s">
        <v>64</v>
      </c>
      <c r="C23" s="14">
        <v>0</v>
      </c>
    </row>
    <row r="24" spans="2:5">
      <c r="B24" t="s">
        <v>65</v>
      </c>
      <c r="C24" s="14">
        <v>175323</v>
      </c>
    </row>
    <row r="25" spans="2:5">
      <c r="B25" t="s">
        <v>66</v>
      </c>
    </row>
    <row r="26" spans="2:5" ht="15" customHeight="1">
      <c r="B26" t="s">
        <v>67</v>
      </c>
    </row>
    <row r="27" spans="2:5" ht="9" customHeight="1"/>
    <row r="28" spans="2:5" ht="13.5" customHeight="1">
      <c r="B28" t="s">
        <v>68</v>
      </c>
      <c r="C28" s="23" t="s">
        <v>69</v>
      </c>
    </row>
    <row r="30" spans="2:5" ht="13.5" customHeight="1">
      <c r="B30" t="s">
        <v>70</v>
      </c>
      <c r="C30">
        <v>0</v>
      </c>
      <c r="D30" t="s">
        <v>71</v>
      </c>
    </row>
    <row r="31" spans="2:5" ht="12.75" customHeight="1">
      <c r="B31" t="s">
        <v>72</v>
      </c>
      <c r="C31">
        <v>326.5</v>
      </c>
      <c r="D31" t="s">
        <v>71</v>
      </c>
      <c r="E31" s="22"/>
    </row>
    <row r="32" spans="2:5">
      <c r="B32" t="s">
        <v>73</v>
      </c>
      <c r="C32">
        <v>361.5</v>
      </c>
      <c r="D32" t="s">
        <v>71</v>
      </c>
    </row>
    <row r="33" spans="2:15" ht="29.25">
      <c r="B33" t="s">
        <v>30</v>
      </c>
      <c r="C33">
        <f>SUM(C31:C32)</f>
        <v>688</v>
      </c>
      <c r="D33" t="s">
        <v>71</v>
      </c>
      <c r="E33" s="22" t="s">
        <v>74</v>
      </c>
    </row>
    <row r="35" spans="2:15">
      <c r="B35" t="s">
        <v>75</v>
      </c>
      <c r="C35">
        <v>150</v>
      </c>
      <c r="D35" t="s">
        <v>76</v>
      </c>
    </row>
    <row r="37" spans="2:15">
      <c r="B37" t="s">
        <v>77</v>
      </c>
      <c r="C37" t="s">
        <v>78</v>
      </c>
      <c r="D37" s="4">
        <v>1</v>
      </c>
    </row>
    <row r="39" spans="2:15">
      <c r="B39" t="s">
        <v>79</v>
      </c>
      <c r="J39" t="s">
        <v>80</v>
      </c>
      <c r="M39" s="20" t="s">
        <v>81</v>
      </c>
      <c r="N39" s="20"/>
      <c r="O39" s="20"/>
    </row>
    <row r="40" spans="2:15" ht="21" customHeight="1">
      <c r="B40" s="232" t="s">
        <v>82</v>
      </c>
      <c r="C40" s="233" t="s">
        <v>83</v>
      </c>
      <c r="D40" s="233" t="s">
        <v>84</v>
      </c>
      <c r="E40" s="233" t="s">
        <v>85</v>
      </c>
      <c r="F40" s="233" t="s">
        <v>86</v>
      </c>
      <c r="G40" s="252" t="s">
        <v>87</v>
      </c>
      <c r="H40" s="257"/>
      <c r="J40" s="253" t="s">
        <v>88</v>
      </c>
      <c r="K40" s="254" t="s">
        <v>89</v>
      </c>
      <c r="M40" s="255" t="s">
        <v>90</v>
      </c>
      <c r="N40" s="218" t="s">
        <v>91</v>
      </c>
      <c r="O40" s="256" t="s">
        <v>92</v>
      </c>
    </row>
    <row r="41" spans="2:15">
      <c r="B41" s="7" t="s">
        <v>93</v>
      </c>
      <c r="C41" s="142">
        <f>SUM(D41*E41)</f>
        <v>66932.5</v>
      </c>
      <c r="D41" s="145">
        <v>205</v>
      </c>
      <c r="E41" s="5">
        <v>326.5</v>
      </c>
      <c r="F41" s="16"/>
      <c r="G41" s="16"/>
      <c r="H41" s="136"/>
      <c r="J41" s="35">
        <v>100</v>
      </c>
      <c r="K41" s="36">
        <v>100</v>
      </c>
      <c r="M41" s="37">
        <f>SUM(C41*1)</f>
        <v>66932.5</v>
      </c>
      <c r="N41" s="38">
        <f>SUM(C41*1)</f>
        <v>66932.5</v>
      </c>
      <c r="O41" s="37">
        <f>SUM(M41-N41)</f>
        <v>0</v>
      </c>
    </row>
    <row r="42" spans="2:15">
      <c r="B42" s="9" t="s">
        <v>94</v>
      </c>
      <c r="C42" s="116">
        <v>383822</v>
      </c>
      <c r="D42" s="143">
        <v>548</v>
      </c>
      <c r="F42" s="17"/>
      <c r="G42" s="17">
        <v>10</v>
      </c>
      <c r="H42" s="8" t="s">
        <v>95</v>
      </c>
      <c r="J42" s="35">
        <v>80</v>
      </c>
      <c r="K42" s="36">
        <v>85</v>
      </c>
      <c r="M42" s="37">
        <f>SUM(C42*0.8)</f>
        <v>307057.60000000003</v>
      </c>
      <c r="N42" s="38">
        <f>SUM(C42*0.85)</f>
        <v>326248.7</v>
      </c>
      <c r="O42" s="37">
        <f>SUM(N42-M42)</f>
        <v>19191.099999999977</v>
      </c>
    </row>
    <row r="43" spans="2:15">
      <c r="B43" s="9" t="s">
        <v>96</v>
      </c>
      <c r="C43" s="116">
        <v>83581</v>
      </c>
      <c r="D43" s="143">
        <v>119</v>
      </c>
      <c r="F43" s="17"/>
      <c r="G43" s="17">
        <v>2</v>
      </c>
      <c r="H43" s="8" t="s">
        <v>95</v>
      </c>
      <c r="J43" s="35">
        <v>45</v>
      </c>
      <c r="K43" s="36">
        <v>52</v>
      </c>
      <c r="M43" s="37">
        <f>SUM(C43*0.45)</f>
        <v>37611.450000000004</v>
      </c>
      <c r="N43" s="38">
        <f>SUM(C43*0.52)</f>
        <v>43462.12</v>
      </c>
      <c r="O43" s="37">
        <f>SUM(N43-M43)</f>
        <v>5850.6699999999983</v>
      </c>
    </row>
    <row r="44" spans="2:15">
      <c r="B44" s="9" t="s">
        <v>97</v>
      </c>
      <c r="C44" s="116">
        <v>155948</v>
      </c>
      <c r="D44" s="143">
        <v>223</v>
      </c>
      <c r="F44" s="17"/>
      <c r="G44" s="17">
        <v>4</v>
      </c>
      <c r="H44" s="8" t="s">
        <v>95</v>
      </c>
      <c r="J44" s="35">
        <v>0</v>
      </c>
      <c r="K44" s="36">
        <v>0</v>
      </c>
      <c r="M44" s="37">
        <f>SUM(C44*0)</f>
        <v>0</v>
      </c>
      <c r="N44" s="38">
        <f>SUM(C44*0)</f>
        <v>0</v>
      </c>
      <c r="O44" s="37">
        <f t="shared" ref="O44" si="0">SUM(M44-N44)</f>
        <v>0</v>
      </c>
    </row>
    <row r="45" spans="2:15">
      <c r="B45" s="9" t="s">
        <v>98</v>
      </c>
      <c r="C45" s="116">
        <v>14389</v>
      </c>
      <c r="D45" s="143">
        <v>21</v>
      </c>
      <c r="F45" s="17"/>
      <c r="G45" s="17"/>
      <c r="H45" s="8"/>
      <c r="J45" s="106"/>
      <c r="K45" s="107"/>
      <c r="M45" s="108"/>
      <c r="N45" s="30"/>
      <c r="O45" s="108"/>
    </row>
    <row r="46" spans="2:15">
      <c r="B46" s="9" t="s">
        <v>99</v>
      </c>
      <c r="C46" s="116">
        <v>295298</v>
      </c>
      <c r="D46" s="143">
        <v>422</v>
      </c>
      <c r="F46" s="17"/>
      <c r="G46" s="17">
        <v>8</v>
      </c>
      <c r="H46" s="8" t="s">
        <v>95</v>
      </c>
      <c r="J46" s="35">
        <v>0</v>
      </c>
      <c r="K46" s="36">
        <v>0</v>
      </c>
      <c r="M46" s="37">
        <f>SUM(C46*0)</f>
        <v>0</v>
      </c>
      <c r="N46" s="38">
        <f>SUM(C46*0)</f>
        <v>0</v>
      </c>
      <c r="O46" s="37">
        <f t="shared" ref="O45:O46" si="1">SUM(N46-M46)</f>
        <v>0</v>
      </c>
    </row>
    <row r="47" spans="2:15">
      <c r="B47" s="9" t="s">
        <v>100</v>
      </c>
      <c r="C47" s="116">
        <v>78238</v>
      </c>
      <c r="D47" s="143">
        <v>112</v>
      </c>
      <c r="F47" s="17"/>
      <c r="G47" s="17">
        <v>2</v>
      </c>
      <c r="H47" s="8" t="s">
        <v>95</v>
      </c>
      <c r="J47" s="35">
        <v>0</v>
      </c>
      <c r="K47" s="36">
        <v>0</v>
      </c>
      <c r="M47" s="37">
        <f>SUM(C47*0)</f>
        <v>0</v>
      </c>
      <c r="N47" s="38">
        <f>SUM(C47*0)</f>
        <v>0</v>
      </c>
      <c r="O47" s="37">
        <f t="shared" ref="O47" si="2">SUM(M47-N47)</f>
        <v>0</v>
      </c>
    </row>
    <row r="48" spans="2:15">
      <c r="B48" s="9" t="s">
        <v>101</v>
      </c>
      <c r="C48" s="116">
        <v>124055</v>
      </c>
      <c r="D48" s="143">
        <v>177</v>
      </c>
      <c r="F48" s="17"/>
      <c r="G48" s="17">
        <v>3</v>
      </c>
      <c r="H48" s="8" t="s">
        <v>95</v>
      </c>
      <c r="J48" s="35">
        <v>0</v>
      </c>
      <c r="K48" s="36">
        <v>0</v>
      </c>
      <c r="M48" s="37">
        <f>SUM(C48*0)</f>
        <v>0</v>
      </c>
      <c r="N48" s="38">
        <f>SUM(C48*0)</f>
        <v>0</v>
      </c>
      <c r="O48" s="37">
        <f t="shared" ref="O48:O49" si="3">SUM(N48-M48)</f>
        <v>0</v>
      </c>
    </row>
    <row r="49" spans="2:15">
      <c r="B49" s="7" t="s">
        <v>102</v>
      </c>
      <c r="C49" s="27">
        <f>SUM(D49*E49)</f>
        <v>10920</v>
      </c>
      <c r="D49" s="146">
        <v>420</v>
      </c>
      <c r="E49" s="5">
        <v>26</v>
      </c>
      <c r="F49" s="16"/>
      <c r="G49" s="16"/>
      <c r="H49" s="136"/>
      <c r="J49" s="106"/>
      <c r="K49" s="107"/>
      <c r="M49" s="108"/>
      <c r="N49" s="30"/>
      <c r="O49" s="108"/>
    </row>
    <row r="50" spans="2:15">
      <c r="B50" s="7" t="s">
        <v>103</v>
      </c>
      <c r="C50" s="142">
        <f>SUM(C42:C49)</f>
        <v>1146251</v>
      </c>
      <c r="D50" s="145">
        <f>SUM(D42:D49)</f>
        <v>2042</v>
      </c>
      <c r="E50" s="5"/>
      <c r="F50" s="16"/>
      <c r="G50" s="16"/>
      <c r="H50" s="136"/>
      <c r="J50" s="106"/>
      <c r="K50" s="107"/>
      <c r="M50" s="108"/>
      <c r="N50" s="30"/>
      <c r="O50" s="108"/>
    </row>
    <row r="51" spans="2:15">
      <c r="B51" s="9" t="s">
        <v>104</v>
      </c>
      <c r="C51" s="15">
        <v>28943</v>
      </c>
      <c r="D51" s="143">
        <v>41</v>
      </c>
      <c r="F51" s="17"/>
      <c r="G51" s="17">
        <v>1</v>
      </c>
      <c r="H51" s="8" t="s">
        <v>95</v>
      </c>
      <c r="J51" s="106"/>
      <c r="K51" s="107"/>
      <c r="M51" s="108"/>
      <c r="N51" s="30"/>
      <c r="O51" s="108"/>
    </row>
    <row r="52" spans="2:15">
      <c r="B52" s="7" t="s">
        <v>105</v>
      </c>
      <c r="C52" s="27">
        <f>SUM(D52*E52)</f>
        <v>14448</v>
      </c>
      <c r="D52" s="145">
        <v>21</v>
      </c>
      <c r="E52" s="5">
        <v>688</v>
      </c>
      <c r="F52" s="16"/>
      <c r="G52" s="16"/>
      <c r="H52" s="136"/>
      <c r="J52" s="106"/>
      <c r="K52" s="107"/>
      <c r="M52" s="108"/>
      <c r="N52" s="30"/>
      <c r="O52" s="108"/>
    </row>
    <row r="53" spans="2:15">
      <c r="B53" s="9" t="s">
        <v>106</v>
      </c>
      <c r="C53" s="15">
        <v>87935</v>
      </c>
      <c r="D53" s="143">
        <v>126</v>
      </c>
      <c r="F53" s="17"/>
      <c r="G53" s="17">
        <v>2</v>
      </c>
      <c r="H53" s="8" t="s">
        <v>95</v>
      </c>
      <c r="J53" s="106"/>
      <c r="K53" s="107"/>
      <c r="M53" s="108"/>
      <c r="N53" s="30"/>
      <c r="O53" s="108"/>
    </row>
    <row r="54" spans="2:15">
      <c r="B54" s="7" t="s">
        <v>107</v>
      </c>
      <c r="C54" s="142">
        <f>SUM(C51:C53)</f>
        <v>131326</v>
      </c>
      <c r="D54" s="145">
        <f>SUM(D51:D53)</f>
        <v>188</v>
      </c>
      <c r="E54" s="5"/>
      <c r="F54" s="16"/>
      <c r="G54" s="16"/>
      <c r="H54" s="136"/>
      <c r="J54" s="35">
        <v>0</v>
      </c>
      <c r="K54" s="36">
        <v>0</v>
      </c>
      <c r="M54" s="37">
        <f>SUM(C54*0)</f>
        <v>0</v>
      </c>
      <c r="N54" s="38">
        <f>SUM(C54*0)</f>
        <v>0</v>
      </c>
      <c r="O54" s="37">
        <f t="shared" ref="O54:O55" si="4">SUM(N54-M54)</f>
        <v>0</v>
      </c>
    </row>
    <row r="55" spans="2:15">
      <c r="B55" s="9" t="s">
        <v>108</v>
      </c>
      <c r="C55" s="125">
        <v>90458</v>
      </c>
      <c r="D55" s="143">
        <v>129</v>
      </c>
      <c r="F55" s="17"/>
      <c r="G55" s="17">
        <v>2</v>
      </c>
      <c r="H55" s="8" t="s">
        <v>95</v>
      </c>
      <c r="J55" s="106"/>
      <c r="K55" s="107"/>
      <c r="M55" s="108"/>
      <c r="N55" s="30"/>
      <c r="O55" s="108"/>
    </row>
    <row r="56" spans="2:15">
      <c r="B56" s="10" t="s">
        <v>109</v>
      </c>
      <c r="C56" s="117">
        <v>11353</v>
      </c>
      <c r="D56" s="147">
        <v>16</v>
      </c>
      <c r="E56" s="144"/>
      <c r="F56" s="19"/>
      <c r="G56" s="19"/>
      <c r="H56" s="8"/>
      <c r="J56" s="106"/>
      <c r="K56" s="107"/>
      <c r="M56" s="108"/>
      <c r="N56" s="30"/>
      <c r="O56" s="108"/>
    </row>
    <row r="57" spans="2:15">
      <c r="B57" s="7" t="s">
        <v>110</v>
      </c>
      <c r="C57" s="33">
        <v>0</v>
      </c>
      <c r="D57" s="145">
        <v>0</v>
      </c>
      <c r="E57" s="5">
        <v>0</v>
      </c>
      <c r="F57" s="16"/>
      <c r="G57" s="16"/>
      <c r="H57" s="136"/>
      <c r="J57" s="106"/>
      <c r="K57" s="107"/>
      <c r="M57" s="108"/>
      <c r="N57" s="30"/>
      <c r="O57" s="108"/>
    </row>
    <row r="58" spans="2:15">
      <c r="B58" s="9" t="s">
        <v>111</v>
      </c>
      <c r="C58" s="116">
        <v>28883</v>
      </c>
      <c r="D58" s="143">
        <v>41</v>
      </c>
      <c r="F58" s="17"/>
      <c r="G58" s="17">
        <v>1</v>
      </c>
      <c r="H58" s="8" t="s">
        <v>95</v>
      </c>
      <c r="J58" s="106"/>
      <c r="K58" s="107"/>
      <c r="M58" s="108"/>
      <c r="N58" s="30"/>
      <c r="O58" s="108"/>
    </row>
    <row r="59" spans="2:15">
      <c r="B59" s="9" t="s">
        <v>112</v>
      </c>
      <c r="C59" s="116">
        <v>100617</v>
      </c>
      <c r="D59" s="143">
        <v>144</v>
      </c>
      <c r="F59" s="17"/>
      <c r="G59" s="17">
        <v>3</v>
      </c>
      <c r="H59" s="8" t="s">
        <v>95</v>
      </c>
      <c r="J59" s="106"/>
      <c r="K59" s="107"/>
      <c r="M59" s="108"/>
      <c r="N59" s="30"/>
      <c r="O59" s="108"/>
    </row>
    <row r="60" spans="2:15">
      <c r="B60" s="9" t="s">
        <v>113</v>
      </c>
      <c r="C60" s="116">
        <v>0</v>
      </c>
      <c r="D60" s="143">
        <v>0</v>
      </c>
      <c r="F60" s="17"/>
      <c r="G60" s="17"/>
      <c r="H60" s="8"/>
      <c r="J60" s="106"/>
      <c r="K60" s="107"/>
      <c r="M60" s="108"/>
      <c r="N60" s="30"/>
      <c r="O60" s="108"/>
    </row>
    <row r="61" spans="2:15">
      <c r="B61" s="9" t="s">
        <v>114</v>
      </c>
      <c r="C61" s="116">
        <v>200458</v>
      </c>
      <c r="D61" s="143">
        <v>286</v>
      </c>
      <c r="F61" s="17"/>
      <c r="G61" s="17">
        <v>5</v>
      </c>
      <c r="H61" s="8" t="s">
        <v>95</v>
      </c>
      <c r="J61" s="106"/>
      <c r="K61" s="107"/>
      <c r="M61" s="108"/>
      <c r="N61" s="30"/>
      <c r="O61" s="108"/>
    </row>
    <row r="62" spans="2:15">
      <c r="B62" s="9" t="s">
        <v>115</v>
      </c>
      <c r="C62" s="116">
        <v>168173</v>
      </c>
      <c r="D62" s="143">
        <v>240</v>
      </c>
      <c r="F62" s="17"/>
      <c r="G62" s="17">
        <v>4</v>
      </c>
      <c r="H62" s="8" t="s">
        <v>95</v>
      </c>
      <c r="J62" s="106"/>
      <c r="K62" s="107"/>
      <c r="M62" s="108"/>
      <c r="N62" s="30"/>
      <c r="O62" s="108"/>
    </row>
    <row r="63" spans="2:15">
      <c r="B63" s="9" t="s">
        <v>116</v>
      </c>
      <c r="C63" s="116">
        <v>196734</v>
      </c>
      <c r="D63" s="143">
        <v>281</v>
      </c>
      <c r="F63" s="17"/>
      <c r="G63" s="17">
        <v>5</v>
      </c>
      <c r="H63" s="8" t="s">
        <v>95</v>
      </c>
      <c r="J63" s="106"/>
      <c r="K63" s="107"/>
      <c r="M63" s="108"/>
      <c r="N63" s="30"/>
      <c r="O63" s="108"/>
    </row>
    <row r="64" spans="2:15">
      <c r="B64" s="9" t="s">
        <v>117</v>
      </c>
      <c r="C64" s="116">
        <v>21474</v>
      </c>
      <c r="D64" s="143">
        <v>31</v>
      </c>
      <c r="F64" s="17"/>
      <c r="G64" s="17">
        <v>1</v>
      </c>
      <c r="H64" s="8" t="s">
        <v>95</v>
      </c>
      <c r="J64" s="106"/>
      <c r="K64" s="107"/>
      <c r="M64" s="108"/>
      <c r="N64" s="30"/>
      <c r="O64" s="108"/>
    </row>
    <row r="65" spans="2:15">
      <c r="B65" s="9" t="s">
        <v>118</v>
      </c>
      <c r="C65" s="116">
        <v>30190</v>
      </c>
      <c r="D65" s="143">
        <v>43</v>
      </c>
      <c r="F65" s="17"/>
      <c r="G65" s="17">
        <v>1</v>
      </c>
      <c r="H65" s="8" t="s">
        <v>95</v>
      </c>
      <c r="J65" s="106"/>
      <c r="K65" s="107"/>
      <c r="M65" s="108"/>
      <c r="N65" s="30"/>
      <c r="O65" s="108"/>
    </row>
    <row r="66" spans="2:15">
      <c r="B66" s="9" t="s">
        <v>119</v>
      </c>
      <c r="C66" s="116">
        <v>2950</v>
      </c>
      <c r="D66" s="143">
        <v>4</v>
      </c>
      <c r="F66" s="17"/>
      <c r="G66" s="17"/>
      <c r="H66" s="8"/>
      <c r="J66" s="106"/>
      <c r="K66" s="107"/>
      <c r="M66" s="108"/>
      <c r="N66" s="30"/>
      <c r="O66" s="108"/>
    </row>
    <row r="67" spans="2:15">
      <c r="B67" s="9" t="s">
        <v>120</v>
      </c>
      <c r="C67" s="116">
        <v>158882</v>
      </c>
      <c r="D67" s="143">
        <v>227</v>
      </c>
      <c r="F67" s="17"/>
      <c r="G67" s="17">
        <v>4</v>
      </c>
      <c r="H67" s="8" t="s">
        <v>95</v>
      </c>
      <c r="J67" s="106"/>
      <c r="K67" s="107"/>
      <c r="M67" s="108"/>
      <c r="N67" s="30"/>
      <c r="O67" s="108"/>
    </row>
    <row r="68" spans="2:15">
      <c r="B68" s="9" t="s">
        <v>121</v>
      </c>
      <c r="C68" s="116">
        <v>52961</v>
      </c>
      <c r="D68" s="143">
        <v>76</v>
      </c>
      <c r="F68" s="17"/>
      <c r="G68" s="17">
        <v>1</v>
      </c>
      <c r="H68" s="8" t="s">
        <v>95</v>
      </c>
      <c r="J68" s="106"/>
      <c r="K68" s="107"/>
      <c r="M68" s="108"/>
      <c r="N68" s="30"/>
      <c r="O68" s="108"/>
    </row>
    <row r="69" spans="2:15">
      <c r="B69" s="9" t="s">
        <v>122</v>
      </c>
      <c r="C69" s="116">
        <v>63068</v>
      </c>
      <c r="D69" s="143">
        <v>90</v>
      </c>
      <c r="F69" s="17"/>
      <c r="G69" s="17">
        <v>2</v>
      </c>
      <c r="H69" s="8" t="s">
        <v>95</v>
      </c>
      <c r="J69" s="106"/>
      <c r="K69" s="107"/>
      <c r="M69" s="108"/>
      <c r="N69" s="30"/>
      <c r="O69" s="108"/>
    </row>
    <row r="70" spans="2:15">
      <c r="B70" s="7" t="s">
        <v>123</v>
      </c>
      <c r="C70" s="142">
        <f>SUM(C56:C69)</f>
        <v>1035743</v>
      </c>
      <c r="D70" s="145">
        <f>SUM(D56:D69)</f>
        <v>1479</v>
      </c>
      <c r="E70" s="5"/>
      <c r="F70" s="16"/>
      <c r="G70" s="16"/>
      <c r="H70" s="136"/>
      <c r="J70" s="35">
        <v>0</v>
      </c>
      <c r="K70" s="36">
        <v>0</v>
      </c>
      <c r="M70" s="37">
        <f>SUM(C70*0)</f>
        <v>0</v>
      </c>
      <c r="N70" s="38">
        <f>SUM(C70*0)</f>
        <v>0</v>
      </c>
      <c r="O70" s="37">
        <f t="shared" ref="O69:O70" si="5">SUM(N70-M70)</f>
        <v>0</v>
      </c>
    </row>
    <row r="71" spans="2:15">
      <c r="B71" s="9" t="s">
        <v>124</v>
      </c>
      <c r="C71" s="125">
        <v>0</v>
      </c>
      <c r="D71" s="143">
        <v>0</v>
      </c>
      <c r="F71" s="17"/>
      <c r="G71" s="17"/>
      <c r="H71" s="8"/>
      <c r="J71" s="106"/>
      <c r="K71" s="107"/>
      <c r="M71" s="108"/>
      <c r="N71" s="30"/>
      <c r="O71" s="108"/>
    </row>
    <row r="72" spans="2:15">
      <c r="B72" s="9" t="s">
        <v>125</v>
      </c>
      <c r="C72" s="125">
        <v>0</v>
      </c>
      <c r="D72" s="143">
        <v>0</v>
      </c>
      <c r="F72" s="17"/>
      <c r="G72" s="17"/>
      <c r="H72" s="8"/>
      <c r="J72" s="106"/>
      <c r="K72" s="107"/>
      <c r="M72" s="108"/>
      <c r="N72" s="30"/>
      <c r="O72" s="108"/>
    </row>
    <row r="73" spans="2:15">
      <c r="B73" s="9" t="s">
        <v>126</v>
      </c>
      <c r="C73" s="125">
        <f>SUM(C41+C50+C54+C55+C70+C71+C72)</f>
        <v>2470710.5</v>
      </c>
      <c r="D73" s="143"/>
      <c r="F73" s="17"/>
      <c r="G73" s="17">
        <f>SUM(G42:G69)</f>
        <v>61</v>
      </c>
      <c r="H73" s="8" t="s">
        <v>95</v>
      </c>
      <c r="J73" s="106"/>
      <c r="K73" s="107"/>
      <c r="M73" s="108"/>
      <c r="N73" s="30"/>
      <c r="O73" s="108"/>
    </row>
    <row r="74" spans="2:15">
      <c r="B74" s="9" t="s">
        <v>127</v>
      </c>
      <c r="C74" s="116">
        <v>58453</v>
      </c>
      <c r="D74" s="116">
        <v>84</v>
      </c>
      <c r="E74" s="17"/>
      <c r="F74" s="17"/>
      <c r="G74" s="17">
        <v>3</v>
      </c>
      <c r="H74" s="8" t="s">
        <v>95</v>
      </c>
      <c r="J74" s="35">
        <v>100</v>
      </c>
      <c r="K74" s="36">
        <v>100</v>
      </c>
      <c r="M74" s="37">
        <f>SUM(C74*1)</f>
        <v>58453</v>
      </c>
      <c r="N74" s="38">
        <f>SUM(C74*1)</f>
        <v>58453</v>
      </c>
      <c r="O74" s="37">
        <f t="shared" ref="O74" si="6">SUM(N74-M74)</f>
        <v>0</v>
      </c>
    </row>
    <row r="75" spans="2:15">
      <c r="B75" s="9" t="s">
        <v>128</v>
      </c>
      <c r="C75" s="116">
        <v>40131</v>
      </c>
      <c r="D75" s="116">
        <v>57</v>
      </c>
      <c r="E75" s="17"/>
      <c r="F75" s="17"/>
      <c r="G75" s="17">
        <v>2</v>
      </c>
      <c r="H75" s="8" t="s">
        <v>95</v>
      </c>
      <c r="J75" s="35">
        <v>12</v>
      </c>
      <c r="K75" s="36">
        <v>15</v>
      </c>
      <c r="M75" s="37">
        <f>SUM(C75*0.12)</f>
        <v>4815.72</v>
      </c>
      <c r="N75" s="38">
        <f>SUM(C75*0.15)</f>
        <v>6019.65</v>
      </c>
      <c r="O75" s="37">
        <f t="shared" ref="O75:O76" si="7">SUM(N75-M75)</f>
        <v>1203.9299999999994</v>
      </c>
    </row>
    <row r="76" spans="2:15">
      <c r="B76" s="9" t="s">
        <v>129</v>
      </c>
      <c r="C76" s="116">
        <v>0</v>
      </c>
      <c r="D76" s="116">
        <v>0</v>
      </c>
      <c r="E76" s="17"/>
      <c r="F76" s="17"/>
      <c r="G76" s="17"/>
      <c r="H76" s="8"/>
      <c r="J76" s="106"/>
      <c r="K76" s="107"/>
      <c r="M76" s="108"/>
      <c r="N76" s="30"/>
      <c r="O76" s="108"/>
    </row>
    <row r="77" spans="2:15">
      <c r="B77" s="9" t="s">
        <v>130</v>
      </c>
      <c r="C77" s="116">
        <v>8874</v>
      </c>
      <c r="D77" s="116">
        <v>13</v>
      </c>
      <c r="E77" s="17"/>
      <c r="F77" s="17"/>
      <c r="G77" s="17"/>
      <c r="H77" s="8"/>
      <c r="J77" s="35">
        <v>0</v>
      </c>
      <c r="K77" s="36">
        <v>0</v>
      </c>
      <c r="M77" s="37">
        <f>SUM(C77*0)</f>
        <v>0</v>
      </c>
      <c r="N77" s="38">
        <f>SUM(C77*0)</f>
        <v>0</v>
      </c>
      <c r="O77" s="37">
        <f t="shared" ref="O77" si="8">SUM(M77-N77)</f>
        <v>0</v>
      </c>
    </row>
    <row r="78" spans="2:15">
      <c r="B78" s="9" t="s">
        <v>131</v>
      </c>
      <c r="C78" s="116">
        <v>0</v>
      </c>
      <c r="D78" s="116">
        <v>0</v>
      </c>
      <c r="E78" s="17"/>
      <c r="F78" s="17"/>
      <c r="G78" s="17"/>
      <c r="H78" s="8"/>
      <c r="J78" s="106"/>
      <c r="K78" s="107"/>
      <c r="M78" s="108"/>
      <c r="N78" s="30"/>
      <c r="O78" s="108"/>
    </row>
    <row r="79" spans="2:15">
      <c r="B79" s="9" t="s">
        <v>132</v>
      </c>
      <c r="C79" s="116">
        <v>108328</v>
      </c>
      <c r="D79" s="116">
        <v>155</v>
      </c>
      <c r="E79" s="17"/>
      <c r="F79" s="17"/>
      <c r="G79" s="17">
        <v>4</v>
      </c>
      <c r="H79" s="8" t="s">
        <v>95</v>
      </c>
      <c r="J79" s="35">
        <v>0</v>
      </c>
      <c r="K79" s="36">
        <v>0</v>
      </c>
      <c r="M79" s="37">
        <f>SUM(C79*0)</f>
        <v>0</v>
      </c>
      <c r="N79" s="38">
        <f>SUM(C79*0)</f>
        <v>0</v>
      </c>
      <c r="O79" s="37">
        <f t="shared" ref="O78:O79" si="9">SUM(N79-M79)</f>
        <v>0</v>
      </c>
    </row>
    <row r="80" spans="2:15">
      <c r="B80" s="9" t="s">
        <v>133</v>
      </c>
      <c r="C80" s="116">
        <v>180233</v>
      </c>
      <c r="D80" s="116">
        <v>257</v>
      </c>
      <c r="E80" s="17"/>
      <c r="F80" s="17"/>
      <c r="G80" s="17">
        <v>8</v>
      </c>
      <c r="H80" s="8" t="s">
        <v>95</v>
      </c>
      <c r="J80" s="35">
        <v>0</v>
      </c>
      <c r="K80" s="36">
        <v>0</v>
      </c>
      <c r="M80" s="37">
        <f>SUM(C80*0)</f>
        <v>0</v>
      </c>
      <c r="N80" s="38">
        <f>SUM(C80*0)</f>
        <v>0</v>
      </c>
      <c r="O80" s="37">
        <f t="shared" ref="O80" si="10">SUM(M80-N80)</f>
        <v>0</v>
      </c>
    </row>
    <row r="81" spans="2:15">
      <c r="B81" s="9" t="s">
        <v>134</v>
      </c>
      <c r="C81" s="116">
        <v>159207</v>
      </c>
      <c r="D81" s="116">
        <v>227</v>
      </c>
      <c r="E81" s="17"/>
      <c r="F81" s="17"/>
      <c r="G81" s="17">
        <v>6</v>
      </c>
      <c r="H81" s="8" t="s">
        <v>95</v>
      </c>
      <c r="J81" s="35">
        <v>0</v>
      </c>
      <c r="K81" s="36">
        <v>0</v>
      </c>
      <c r="M81" s="37">
        <f>SUM(C81*0)</f>
        <v>0</v>
      </c>
      <c r="N81" s="38">
        <f>SUM(C81*0)</f>
        <v>0</v>
      </c>
      <c r="O81" s="37">
        <f t="shared" ref="O81:O82" si="11">SUM(N81-M81)</f>
        <v>0</v>
      </c>
    </row>
    <row r="82" spans="2:15">
      <c r="B82" s="9" t="s">
        <v>135</v>
      </c>
      <c r="C82" s="125">
        <f>SUM(C74:C81)</f>
        <v>555226</v>
      </c>
      <c r="D82" s="116">
        <v>793</v>
      </c>
      <c r="E82" s="17"/>
      <c r="F82" s="17"/>
      <c r="G82" s="17">
        <f>SUM(G74:G81)</f>
        <v>23</v>
      </c>
      <c r="H82" s="8" t="s">
        <v>95</v>
      </c>
      <c r="J82" s="106"/>
      <c r="K82" s="107"/>
      <c r="M82" s="108"/>
      <c r="N82" s="30"/>
      <c r="O82" s="108"/>
    </row>
    <row r="83" spans="2:15">
      <c r="B83" s="9" t="s">
        <v>136</v>
      </c>
      <c r="C83" s="116">
        <v>0</v>
      </c>
      <c r="D83" s="116">
        <v>0</v>
      </c>
      <c r="E83" s="17"/>
      <c r="F83" s="17"/>
      <c r="G83" s="17"/>
      <c r="H83" s="8"/>
      <c r="J83" s="106"/>
      <c r="K83" s="107"/>
      <c r="M83" s="108"/>
      <c r="N83" s="30"/>
      <c r="O83" s="108"/>
    </row>
    <row r="84" spans="2:15">
      <c r="B84" s="9" t="s">
        <v>137</v>
      </c>
      <c r="C84" s="116">
        <v>15178</v>
      </c>
      <c r="D84" s="116">
        <v>22</v>
      </c>
      <c r="E84" s="17"/>
      <c r="F84" s="17"/>
      <c r="G84" s="17"/>
      <c r="H84" s="8"/>
      <c r="J84" s="35">
        <v>100</v>
      </c>
      <c r="K84" s="36">
        <v>100</v>
      </c>
      <c r="M84" s="37">
        <f>SUM(C84*1)</f>
        <v>15178</v>
      </c>
      <c r="N84" s="38">
        <f>SUM(C84*1)</f>
        <v>15178</v>
      </c>
      <c r="O84" s="37">
        <f t="shared" ref="O84:O85" si="12">SUM(N84-M84)</f>
        <v>0</v>
      </c>
    </row>
    <row r="85" spans="2:15">
      <c r="B85" s="9" t="s">
        <v>138</v>
      </c>
      <c r="C85" s="116">
        <v>0</v>
      </c>
      <c r="D85" s="116">
        <v>0</v>
      </c>
      <c r="E85" s="17"/>
      <c r="F85" s="17"/>
      <c r="G85" s="17"/>
      <c r="H85" s="8"/>
      <c r="J85" s="106"/>
      <c r="K85" s="107"/>
      <c r="M85" s="108"/>
      <c r="N85" s="30"/>
      <c r="O85" s="108"/>
    </row>
    <row r="86" spans="2:15">
      <c r="B86" s="9" t="s">
        <v>139</v>
      </c>
      <c r="C86" s="116">
        <v>0</v>
      </c>
      <c r="D86" s="116">
        <v>0</v>
      </c>
      <c r="E86" s="17"/>
      <c r="F86" s="17"/>
      <c r="G86" s="17"/>
      <c r="H86" s="8"/>
      <c r="J86" s="106"/>
      <c r="K86" s="107"/>
      <c r="M86" s="108"/>
      <c r="N86" s="30"/>
      <c r="O86" s="108"/>
    </row>
    <row r="87" spans="2:15">
      <c r="B87" s="9" t="s">
        <v>140</v>
      </c>
      <c r="C87" s="116">
        <v>0</v>
      </c>
      <c r="D87" s="116">
        <v>0</v>
      </c>
      <c r="E87" s="17"/>
      <c r="F87" s="17"/>
      <c r="G87" s="17"/>
      <c r="H87" s="8"/>
      <c r="J87" s="106"/>
      <c r="K87" s="107"/>
      <c r="M87" s="108"/>
      <c r="N87" s="30"/>
      <c r="O87" s="108"/>
    </row>
    <row r="88" spans="2:15">
      <c r="B88" s="9" t="s">
        <v>141</v>
      </c>
      <c r="C88" s="116">
        <v>0</v>
      </c>
      <c r="D88" s="116">
        <v>0</v>
      </c>
      <c r="E88" s="17"/>
      <c r="F88" s="17"/>
      <c r="G88" s="17"/>
      <c r="H88" s="8"/>
      <c r="J88" s="106"/>
      <c r="K88" s="107"/>
      <c r="M88" s="108"/>
      <c r="N88" s="30"/>
      <c r="O88" s="108"/>
    </row>
    <row r="89" spans="2:15">
      <c r="B89" s="9" t="s">
        <v>142</v>
      </c>
      <c r="C89" s="125">
        <f>SUM(C83:C88)</f>
        <v>15178</v>
      </c>
      <c r="D89" s="116">
        <v>22</v>
      </c>
      <c r="E89" s="17"/>
      <c r="F89" s="17"/>
      <c r="G89" s="17"/>
      <c r="H89" s="8"/>
      <c r="J89" s="35">
        <v>100</v>
      </c>
      <c r="K89" s="36">
        <v>100</v>
      </c>
      <c r="M89" s="37">
        <f>SUM(C89*1)</f>
        <v>15178</v>
      </c>
      <c r="N89" s="38">
        <f t="shared" ref="N89:N96" si="13">SUM(C89*1)</f>
        <v>15178</v>
      </c>
      <c r="O89" s="37">
        <f t="shared" ref="O89" si="14">SUM(M89-N89)</f>
        <v>0</v>
      </c>
    </row>
    <row r="90" spans="2:15">
      <c r="B90" s="9" t="s">
        <v>143</v>
      </c>
      <c r="C90" s="125">
        <v>175323</v>
      </c>
      <c r="D90" s="116">
        <v>250</v>
      </c>
      <c r="E90" s="17"/>
      <c r="F90" s="17"/>
      <c r="G90" s="17">
        <v>10</v>
      </c>
      <c r="H90" s="8" t="s">
        <v>95</v>
      </c>
      <c r="J90" s="106"/>
      <c r="K90" s="107"/>
      <c r="M90" s="108"/>
      <c r="N90" s="30"/>
      <c r="O90" s="108"/>
    </row>
    <row r="91" spans="2:15">
      <c r="B91" s="9" t="s">
        <v>144</v>
      </c>
      <c r="C91" s="125">
        <v>0</v>
      </c>
      <c r="D91" s="116">
        <v>0</v>
      </c>
      <c r="E91" s="17"/>
      <c r="F91" s="17"/>
      <c r="G91" s="17"/>
      <c r="H91" s="8"/>
      <c r="J91" s="106"/>
      <c r="K91" s="107"/>
      <c r="M91" s="108"/>
      <c r="N91" s="30"/>
      <c r="O91" s="108"/>
    </row>
    <row r="92" spans="2:15">
      <c r="B92" s="9" t="s">
        <v>145</v>
      </c>
      <c r="C92" s="116">
        <f>SUM(C73+C82+C89+C90+C91)</f>
        <v>3216437.5</v>
      </c>
      <c r="D92" s="116">
        <v>5100</v>
      </c>
      <c r="E92" s="17"/>
      <c r="F92" s="17"/>
      <c r="G92" s="17">
        <f>SUM(G73+G82+G90)</f>
        <v>94</v>
      </c>
      <c r="H92" s="8" t="s">
        <v>95</v>
      </c>
      <c r="J92" s="106"/>
      <c r="K92" s="107"/>
      <c r="M92" s="108"/>
      <c r="N92" s="30"/>
      <c r="O92" s="108"/>
    </row>
    <row r="93" spans="2:15">
      <c r="B93" s="9" t="s">
        <v>146</v>
      </c>
      <c r="C93" s="148">
        <v>10000</v>
      </c>
      <c r="D93" s="116">
        <v>0</v>
      </c>
      <c r="E93" s="17"/>
      <c r="F93" s="17"/>
      <c r="G93" s="17">
        <v>5</v>
      </c>
      <c r="H93" s="8" t="s">
        <v>95</v>
      </c>
      <c r="J93" s="106"/>
      <c r="K93" s="107"/>
      <c r="M93" s="108"/>
      <c r="N93" s="30"/>
      <c r="O93" s="108"/>
    </row>
    <row r="94" spans="2:15">
      <c r="B94" s="9" t="s">
        <v>147</v>
      </c>
      <c r="C94" s="125">
        <v>56521</v>
      </c>
      <c r="D94" s="116">
        <v>81</v>
      </c>
      <c r="E94" s="17"/>
      <c r="F94" s="17"/>
      <c r="G94" s="17">
        <v>1</v>
      </c>
      <c r="H94" s="8" t="s">
        <v>95</v>
      </c>
      <c r="J94" s="106"/>
      <c r="K94" s="107"/>
      <c r="M94" s="108"/>
      <c r="N94" s="30"/>
      <c r="O94" s="108"/>
    </row>
    <row r="95" spans="2:15">
      <c r="B95" s="9" t="s">
        <v>148</v>
      </c>
      <c r="C95" s="125">
        <v>0</v>
      </c>
      <c r="D95" s="116"/>
      <c r="E95" s="17"/>
      <c r="F95" s="17"/>
      <c r="G95" s="17"/>
      <c r="H95" s="8"/>
      <c r="J95" s="106"/>
      <c r="K95" s="107"/>
      <c r="M95" s="108"/>
      <c r="N95" s="30"/>
      <c r="O95" s="108"/>
    </row>
    <row r="96" spans="2:15">
      <c r="B96" s="150" t="s">
        <v>149</v>
      </c>
      <c r="C96" s="152">
        <f>SUM(C92+C93+C94+C95)</f>
        <v>3282958.5</v>
      </c>
      <c r="D96" s="151"/>
      <c r="E96" s="149"/>
      <c r="F96" s="149"/>
      <c r="G96" s="153">
        <f>SUM(G92+G93+G94+G95)</f>
        <v>100</v>
      </c>
      <c r="H96" s="154" t="s">
        <v>95</v>
      </c>
      <c r="J96" s="105"/>
      <c r="K96" s="109"/>
      <c r="M96" s="110"/>
      <c r="N96" s="30"/>
      <c r="O96" s="108"/>
    </row>
    <row r="97" spans="2:15">
      <c r="M97" s="155">
        <f t="shared" ref="M97:N97" si="15">SUM(M42+M43+M75)</f>
        <v>349484.77</v>
      </c>
      <c r="N97" s="156">
        <f t="shared" si="15"/>
        <v>375730.47000000003</v>
      </c>
      <c r="O97" s="156">
        <f>SUM(O42+O43+O75)</f>
        <v>26245.699999999975</v>
      </c>
    </row>
    <row r="98" spans="2:15">
      <c r="B98" t="s">
        <v>150</v>
      </c>
    </row>
    <row r="99" spans="2:15">
      <c r="B99" t="s">
        <v>151</v>
      </c>
      <c r="C99" t="s">
        <v>52</v>
      </c>
    </row>
    <row r="100" spans="2:15">
      <c r="B100" t="s">
        <v>152</v>
      </c>
      <c r="C100" t="s">
        <v>52</v>
      </c>
    </row>
    <row r="101" spans="2:15">
      <c r="B101" t="s">
        <v>153</v>
      </c>
      <c r="C101" t="s">
        <v>154</v>
      </c>
    </row>
    <row r="102" spans="2:15">
      <c r="B102" t="s">
        <v>155</v>
      </c>
      <c r="C102" t="s">
        <v>156</v>
      </c>
      <c r="D102" s="8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122FE-7716-4204-8A7E-85600087C4D7}">
  <dimension ref="B2:K63"/>
  <sheetViews>
    <sheetView topLeftCell="A20" workbookViewId="0">
      <selection activeCell="H61" sqref="H61"/>
    </sheetView>
  </sheetViews>
  <sheetFormatPr defaultRowHeight="15"/>
  <cols>
    <col min="2" max="2" width="18.85546875" customWidth="1"/>
    <col min="3" max="3" width="28.7109375" bestFit="1" customWidth="1"/>
    <col min="4" max="4" width="10.7109375" bestFit="1" customWidth="1"/>
    <col min="5" max="5" width="15" bestFit="1" customWidth="1"/>
    <col min="7" max="7" width="9.85546875" bestFit="1" customWidth="1"/>
    <col min="8" max="8" width="15.140625" customWidth="1"/>
    <col min="11" max="11" width="36.5703125" bestFit="1" customWidth="1"/>
  </cols>
  <sheetData>
    <row r="2" spans="2:9" ht="20.25">
      <c r="B2" s="39" t="s">
        <v>157</v>
      </c>
      <c r="C2" s="40"/>
      <c r="D2" s="40"/>
      <c r="E2" s="41"/>
      <c r="F2" s="40"/>
      <c r="G2" s="42"/>
      <c r="H2" s="42"/>
      <c r="I2" s="43"/>
    </row>
    <row r="3" spans="2:9">
      <c r="B3" s="44"/>
      <c r="C3" s="45"/>
      <c r="D3" s="45"/>
      <c r="E3" s="45"/>
      <c r="F3" s="45"/>
      <c r="G3" s="46"/>
      <c r="H3" s="46"/>
      <c r="I3" s="47"/>
    </row>
    <row r="4" spans="2:9">
      <c r="B4" s="48" t="s">
        <v>158</v>
      </c>
      <c r="C4" s="49" t="s">
        <v>159</v>
      </c>
      <c r="D4" s="50"/>
      <c r="E4" s="50"/>
      <c r="F4" s="50"/>
      <c r="G4" s="51"/>
      <c r="H4" s="52"/>
      <c r="I4" s="53"/>
    </row>
    <row r="5" spans="2:9">
      <c r="B5" s="48"/>
      <c r="C5" s="50"/>
      <c r="D5" s="50"/>
      <c r="E5" s="50"/>
      <c r="F5" s="50"/>
      <c r="G5" s="54"/>
      <c r="H5" s="51"/>
      <c r="I5" s="53"/>
    </row>
    <row r="6" spans="2:9">
      <c r="B6" s="48" t="s">
        <v>160</v>
      </c>
      <c r="C6" s="49" t="s">
        <v>161</v>
      </c>
      <c r="D6" s="50"/>
      <c r="E6" s="50"/>
      <c r="F6" s="50"/>
      <c r="G6" s="54"/>
      <c r="H6" s="54"/>
      <c r="I6" s="53"/>
    </row>
    <row r="7" spans="2:9">
      <c r="B7" s="48"/>
      <c r="C7" s="50"/>
      <c r="D7" s="50"/>
      <c r="E7" s="50"/>
      <c r="F7" s="50"/>
      <c r="G7" s="54"/>
      <c r="H7" s="54"/>
      <c r="I7" s="53"/>
    </row>
    <row r="8" spans="2:9">
      <c r="B8" s="55" t="s">
        <v>162</v>
      </c>
      <c r="C8" s="288" t="s">
        <v>163</v>
      </c>
      <c r="D8" s="289"/>
      <c r="E8" s="289"/>
      <c r="F8" s="289"/>
      <c r="G8" s="289"/>
      <c r="H8" s="289"/>
      <c r="I8" s="290"/>
    </row>
    <row r="9" spans="2:9">
      <c r="B9" s="48"/>
      <c r="C9" s="56"/>
      <c r="D9" s="50"/>
      <c r="E9" s="50"/>
      <c r="F9" s="50"/>
      <c r="G9" s="54"/>
      <c r="H9" s="54"/>
      <c r="I9" s="53"/>
    </row>
    <row r="10" spans="2:9">
      <c r="B10" s="48" t="s">
        <v>164</v>
      </c>
      <c r="C10" s="57" t="s">
        <v>165</v>
      </c>
      <c r="D10" s="50"/>
      <c r="E10" s="50"/>
      <c r="F10" s="50"/>
      <c r="G10" s="54"/>
      <c r="H10" s="54"/>
      <c r="I10" s="53"/>
    </row>
    <row r="11" spans="2:9">
      <c r="B11" s="48"/>
      <c r="C11" s="57"/>
      <c r="D11" s="50"/>
      <c r="E11" s="50"/>
      <c r="F11" s="50"/>
      <c r="G11" s="54"/>
      <c r="H11" s="54"/>
      <c r="I11" s="53"/>
    </row>
    <row r="12" spans="2:9">
      <c r="B12" s="48" t="s">
        <v>162</v>
      </c>
      <c r="C12" s="57" t="s">
        <v>166</v>
      </c>
      <c r="D12" s="50"/>
      <c r="E12" s="50"/>
      <c r="F12" s="50"/>
      <c r="G12" s="54"/>
      <c r="H12" s="54"/>
      <c r="I12" s="53"/>
    </row>
    <row r="13" spans="2:9">
      <c r="B13" s="48"/>
      <c r="C13" s="50"/>
      <c r="D13" s="50"/>
      <c r="E13" s="50"/>
      <c r="F13" s="50"/>
      <c r="G13" s="54"/>
      <c r="H13" s="54"/>
      <c r="I13" s="53"/>
    </row>
    <row r="14" spans="2:9">
      <c r="B14" s="48" t="s">
        <v>167</v>
      </c>
      <c r="C14" s="58">
        <v>110</v>
      </c>
      <c r="D14" s="49"/>
      <c r="E14" s="59"/>
      <c r="F14" s="59"/>
      <c r="G14" s="60" t="s">
        <v>168</v>
      </c>
      <c r="H14" s="61">
        <v>45843</v>
      </c>
      <c r="I14" s="53"/>
    </row>
    <row r="15" spans="2:9">
      <c r="B15" s="48"/>
      <c r="C15" s="50"/>
      <c r="D15" s="50"/>
      <c r="E15" s="50"/>
      <c r="F15" s="50"/>
      <c r="G15" s="54"/>
      <c r="H15" s="61"/>
      <c r="I15" s="53"/>
    </row>
    <row r="16" spans="2:9">
      <c r="B16" s="48" t="s">
        <v>169</v>
      </c>
      <c r="C16" s="62">
        <v>45606</v>
      </c>
      <c r="D16" s="63"/>
      <c r="E16" s="50"/>
      <c r="F16" s="60"/>
      <c r="G16" s="60" t="s">
        <v>170</v>
      </c>
      <c r="H16" s="61">
        <v>45567</v>
      </c>
      <c r="I16" s="53"/>
    </row>
    <row r="17" spans="2:9">
      <c r="B17" s="64"/>
      <c r="C17" s="65"/>
      <c r="D17" s="65"/>
      <c r="E17" s="65"/>
      <c r="F17" s="65"/>
      <c r="G17" s="66"/>
      <c r="H17" s="66"/>
      <c r="I17" s="67"/>
    </row>
    <row r="18" spans="2:9">
      <c r="B18" s="68"/>
      <c r="C18" s="69"/>
      <c r="D18" s="69"/>
      <c r="E18" s="69"/>
      <c r="F18" s="69"/>
      <c r="G18" s="70"/>
      <c r="H18" s="70"/>
      <c r="I18" s="71"/>
    </row>
    <row r="19" spans="2:9">
      <c r="B19" s="72" t="s">
        <v>171</v>
      </c>
      <c r="G19" s="73"/>
      <c r="H19" s="73"/>
      <c r="I19" s="74"/>
    </row>
    <row r="20" spans="2:9">
      <c r="B20" s="72" t="s">
        <v>172</v>
      </c>
      <c r="G20" s="73"/>
      <c r="H20" s="73"/>
      <c r="I20" s="74"/>
    </row>
    <row r="21" spans="2:9">
      <c r="B21" s="72"/>
      <c r="G21" s="73"/>
      <c r="H21" s="73"/>
      <c r="I21" s="74"/>
    </row>
    <row r="22" spans="2:9">
      <c r="B22" s="75">
        <v>1</v>
      </c>
      <c r="C22" t="s">
        <v>173</v>
      </c>
      <c r="G22" s="76" t="s">
        <v>174</v>
      </c>
      <c r="H22" s="131">
        <v>0</v>
      </c>
      <c r="I22" s="74"/>
    </row>
    <row r="23" spans="2:9">
      <c r="B23" s="75"/>
      <c r="G23" s="76"/>
      <c r="H23" s="77"/>
      <c r="I23" s="74"/>
    </row>
    <row r="24" spans="2:9">
      <c r="B24" s="75">
        <v>2</v>
      </c>
      <c r="C24" s="115" t="s">
        <v>175</v>
      </c>
      <c r="G24" s="76" t="s">
        <v>174</v>
      </c>
      <c r="H24" s="132">
        <v>375730.47</v>
      </c>
      <c r="I24" s="74"/>
    </row>
    <row r="25" spans="2:9">
      <c r="B25" s="75"/>
      <c r="G25" s="76"/>
      <c r="H25" s="77"/>
      <c r="I25" s="74"/>
    </row>
    <row r="26" spans="2:9">
      <c r="B26" s="75">
        <v>3</v>
      </c>
      <c r="C26" t="s">
        <v>176</v>
      </c>
      <c r="G26" s="76" t="s">
        <v>174</v>
      </c>
      <c r="H26" s="131">
        <v>0</v>
      </c>
      <c r="I26" s="74"/>
    </row>
    <row r="27" spans="2:9">
      <c r="B27" s="75"/>
      <c r="G27" s="76"/>
      <c r="H27" s="77"/>
      <c r="I27" s="74"/>
    </row>
    <row r="28" spans="2:9">
      <c r="B28" s="75"/>
      <c r="G28" s="76"/>
      <c r="H28" s="135"/>
      <c r="I28" s="74"/>
    </row>
    <row r="29" spans="2:9">
      <c r="B29" s="75"/>
      <c r="G29" s="76" t="s">
        <v>174</v>
      </c>
      <c r="H29" s="133">
        <f>H22+H24+H26</f>
        <v>375730.47</v>
      </c>
      <c r="I29" s="74"/>
    </row>
    <row r="30" spans="2:9">
      <c r="B30" s="75"/>
      <c r="G30" s="76"/>
      <c r="H30" s="77"/>
      <c r="I30" s="74"/>
    </row>
    <row r="31" spans="2:9">
      <c r="B31" s="75">
        <v>4</v>
      </c>
      <c r="C31" t="s">
        <v>177</v>
      </c>
      <c r="G31" s="76" t="s">
        <v>174</v>
      </c>
      <c r="H31" s="131">
        <v>0</v>
      </c>
      <c r="I31" s="74"/>
    </row>
    <row r="32" spans="2:9">
      <c r="B32" s="75"/>
      <c r="G32" s="76"/>
      <c r="H32" s="77"/>
      <c r="I32" s="74"/>
    </row>
    <row r="33" spans="2:11">
      <c r="B33" s="78">
        <v>5</v>
      </c>
      <c r="C33" s="79" t="s">
        <v>178</v>
      </c>
      <c r="D33" s="79"/>
      <c r="E33" s="79"/>
      <c r="F33" s="79"/>
      <c r="G33" s="80" t="s">
        <v>174</v>
      </c>
      <c r="H33" s="131">
        <f>H29+H31</f>
        <v>375730.47</v>
      </c>
      <c r="I33" s="74"/>
    </row>
    <row r="34" spans="2:11">
      <c r="B34" s="75"/>
      <c r="G34" s="73"/>
      <c r="H34" s="81"/>
      <c r="I34" s="74"/>
    </row>
    <row r="35" spans="2:11">
      <c r="B35" s="75">
        <v>6</v>
      </c>
      <c r="C35" s="103" t="s">
        <v>179</v>
      </c>
      <c r="G35" s="83" t="s">
        <v>174</v>
      </c>
      <c r="H35" s="134">
        <v>0</v>
      </c>
      <c r="I35" s="74"/>
    </row>
    <row r="36" spans="2:11">
      <c r="B36" s="75"/>
      <c r="C36" s="82"/>
      <c r="G36" s="83"/>
      <c r="H36" s="83"/>
      <c r="I36" s="74"/>
    </row>
    <row r="37" spans="2:11">
      <c r="B37" s="75"/>
      <c r="G37" s="83"/>
      <c r="H37" s="84"/>
      <c r="I37" s="74"/>
    </row>
    <row r="38" spans="2:11">
      <c r="B38" s="75"/>
      <c r="C38" s="82"/>
      <c r="G38" s="83"/>
      <c r="H38" s="129">
        <f>SUM(H31:H35)</f>
        <v>375730.47</v>
      </c>
      <c r="I38" s="74"/>
    </row>
    <row r="39" spans="2:11">
      <c r="B39" s="75"/>
      <c r="G39" s="83"/>
      <c r="H39" s="83"/>
      <c r="I39" s="74"/>
    </row>
    <row r="40" spans="2:11">
      <c r="B40" s="85"/>
      <c r="G40" s="73"/>
      <c r="H40" s="81"/>
      <c r="I40" s="74"/>
    </row>
    <row r="41" spans="2:11">
      <c r="B41" s="78">
        <v>8</v>
      </c>
      <c r="C41" s="79" t="s">
        <v>180</v>
      </c>
      <c r="D41" s="79"/>
      <c r="E41" s="79"/>
      <c r="F41" s="79"/>
      <c r="G41" s="80" t="s">
        <v>174</v>
      </c>
      <c r="H41" s="130">
        <f>H38</f>
        <v>375730.47</v>
      </c>
      <c r="I41" s="74"/>
    </row>
    <row r="42" spans="2:11">
      <c r="B42" s="75"/>
      <c r="G42" s="73"/>
      <c r="H42" s="73"/>
      <c r="I42" s="74"/>
    </row>
    <row r="43" spans="2:11">
      <c r="B43" s="75">
        <v>9</v>
      </c>
      <c r="C43" s="82" t="s">
        <v>181</v>
      </c>
      <c r="G43" s="76" t="s">
        <v>174</v>
      </c>
      <c r="H43" s="130">
        <v>349484.77</v>
      </c>
      <c r="I43" s="74"/>
    </row>
    <row r="44" spans="2:11">
      <c r="B44" s="75"/>
      <c r="G44" s="73"/>
      <c r="H44" s="73"/>
      <c r="I44" s="74"/>
    </row>
    <row r="45" spans="2:11">
      <c r="B45" s="78">
        <v>10</v>
      </c>
      <c r="C45" s="79" t="s">
        <v>182</v>
      </c>
      <c r="D45" s="82"/>
      <c r="E45" s="79"/>
      <c r="F45" s="79"/>
      <c r="G45" s="80" t="s">
        <v>174</v>
      </c>
      <c r="H45" s="112">
        <f>H41-H43</f>
        <v>26245.699999999953</v>
      </c>
      <c r="I45" s="74"/>
      <c r="K45" s="22"/>
    </row>
    <row r="46" spans="2:11">
      <c r="B46" s="78"/>
      <c r="C46" s="79"/>
      <c r="D46" s="82"/>
      <c r="E46" s="87"/>
      <c r="F46" s="87"/>
      <c r="G46" s="80"/>
      <c r="H46" s="86"/>
      <c r="I46" s="74"/>
    </row>
    <row r="47" spans="2:11">
      <c r="B47" s="78"/>
      <c r="C47" s="79"/>
      <c r="D47" s="79"/>
      <c r="E47" s="79"/>
      <c r="F47" s="79"/>
      <c r="G47" s="80"/>
      <c r="H47" s="86"/>
      <c r="I47" s="74"/>
    </row>
    <row r="48" spans="2:11">
      <c r="B48" s="78"/>
      <c r="D48" s="88" t="s">
        <v>183</v>
      </c>
      <c r="E48" s="89" t="s">
        <v>184</v>
      </c>
      <c r="G48" s="80"/>
      <c r="H48" s="86"/>
      <c r="I48" s="74"/>
    </row>
    <row r="49" spans="2:9">
      <c r="B49" s="90"/>
      <c r="C49" s="91"/>
      <c r="D49" s="91"/>
      <c r="E49" s="91"/>
      <c r="F49" s="91"/>
      <c r="G49" s="92"/>
      <c r="H49" s="92"/>
      <c r="I49" s="93"/>
    </row>
    <row r="50" spans="2:9">
      <c r="B50" s="44"/>
      <c r="C50" s="45"/>
      <c r="D50" s="45"/>
      <c r="E50" s="45"/>
      <c r="F50" s="45"/>
      <c r="G50" s="46"/>
      <c r="H50" s="46"/>
      <c r="I50" s="47"/>
    </row>
    <row r="51" spans="2:9">
      <c r="B51" s="94">
        <v>11</v>
      </c>
      <c r="C51" s="56" t="s">
        <v>185</v>
      </c>
      <c r="D51" s="50"/>
      <c r="E51" s="50"/>
      <c r="F51" s="50"/>
      <c r="G51" s="54"/>
      <c r="H51" s="54"/>
      <c r="I51" s="53"/>
    </row>
    <row r="52" spans="2:9">
      <c r="B52" s="94"/>
      <c r="C52" s="56"/>
      <c r="D52" s="50"/>
      <c r="E52" s="50"/>
      <c r="F52" s="50"/>
      <c r="G52" s="54"/>
      <c r="H52" s="54"/>
      <c r="I52" s="53"/>
    </row>
    <row r="53" spans="2:9">
      <c r="B53" s="95" t="s">
        <v>174</v>
      </c>
      <c r="C53" s="54">
        <f>H45</f>
        <v>26245.699999999953</v>
      </c>
      <c r="D53" s="50" t="s">
        <v>186</v>
      </c>
      <c r="E53" s="50"/>
      <c r="F53" s="50"/>
      <c r="G53" s="114">
        <f>C53*0.175</f>
        <v>4592.9974999999913</v>
      </c>
      <c r="H53" s="54"/>
      <c r="I53" s="53"/>
    </row>
    <row r="54" spans="2:9">
      <c r="B54" s="95" t="s">
        <v>174</v>
      </c>
      <c r="C54" s="54">
        <v>0</v>
      </c>
      <c r="D54" s="50" t="s">
        <v>187</v>
      </c>
      <c r="E54" s="50"/>
      <c r="F54" s="50"/>
      <c r="G54" s="96">
        <f>C54*0</f>
        <v>0</v>
      </c>
      <c r="H54" s="54"/>
      <c r="I54" s="53"/>
    </row>
    <row r="55" spans="2:9">
      <c r="B55" s="95"/>
      <c r="C55" s="54"/>
      <c r="D55" s="50"/>
      <c r="E55" s="49"/>
      <c r="F55" s="97" t="s">
        <v>188</v>
      </c>
      <c r="G55" s="113">
        <f>SUM(G53:G54)</f>
        <v>4592.9974999999913</v>
      </c>
      <c r="H55" s="54"/>
      <c r="I55" s="53"/>
    </row>
    <row r="56" spans="2:9">
      <c r="B56" s="64"/>
      <c r="C56" s="65"/>
      <c r="D56" s="65"/>
      <c r="E56" s="65"/>
      <c r="F56" s="65"/>
      <c r="G56" s="66"/>
      <c r="H56" s="66"/>
      <c r="I56" s="67"/>
    </row>
    <row r="57" spans="2:9">
      <c r="B57" s="68"/>
      <c r="C57" s="69"/>
      <c r="D57" s="69"/>
      <c r="E57" s="69"/>
      <c r="F57" s="69"/>
      <c r="G57" s="70"/>
      <c r="H57" s="70"/>
      <c r="I57" s="71"/>
    </row>
    <row r="58" spans="2:9">
      <c r="B58" s="72"/>
      <c r="G58" s="73"/>
      <c r="H58" s="73"/>
      <c r="I58" s="74"/>
    </row>
    <row r="59" spans="2:9">
      <c r="B59" s="72"/>
      <c r="G59" s="73"/>
      <c r="H59" s="73"/>
      <c r="I59" s="74"/>
    </row>
    <row r="60" spans="2:9">
      <c r="B60" s="72"/>
      <c r="C60" s="98"/>
      <c r="F60" s="88"/>
      <c r="H60" s="73"/>
      <c r="I60" s="74"/>
    </row>
    <row r="61" spans="2:9">
      <c r="B61" s="72"/>
      <c r="C61" s="98"/>
      <c r="G61" s="80"/>
      <c r="H61" s="73"/>
      <c r="I61" s="74"/>
    </row>
    <row r="62" spans="2:9">
      <c r="B62" s="72"/>
      <c r="C62" s="98" t="s">
        <v>189</v>
      </c>
      <c r="D62" s="99" t="s">
        <v>190</v>
      </c>
      <c r="E62" s="100"/>
      <c r="F62" s="88" t="s">
        <v>191</v>
      </c>
      <c r="G62" s="111">
        <v>45932</v>
      </c>
      <c r="H62" s="101"/>
      <c r="I62" s="74"/>
    </row>
    <row r="63" spans="2:9">
      <c r="B63" s="102"/>
      <c r="C63" s="91"/>
      <c r="D63" s="91"/>
      <c r="E63" s="91"/>
      <c r="F63" s="91"/>
      <c r="G63" s="92"/>
      <c r="H63" s="92"/>
      <c r="I63" s="93"/>
    </row>
  </sheetData>
  <mergeCells count="1">
    <mergeCell ref="C8:I8"/>
  </mergeCells>
  <hyperlinks>
    <hyperlink ref="C8:I8" r:id="rId1" display="tostconstruction@outlook.com" xr:uid="{90A748BB-FF4A-47C4-AAB2-D237E736AC8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0B20B-A553-4600-AB59-2E4781B44AAD}">
  <dimension ref="B2:AE50"/>
  <sheetViews>
    <sheetView tabSelected="1" topLeftCell="A8" workbookViewId="0">
      <selection activeCell="E25" sqref="E25"/>
    </sheetView>
  </sheetViews>
  <sheetFormatPr defaultRowHeight="15"/>
  <cols>
    <col min="2" max="2" width="36.5703125" bestFit="1" customWidth="1"/>
    <col min="3" max="3" width="36" customWidth="1"/>
    <col min="4" max="4" width="38.140625" customWidth="1"/>
    <col min="5" max="5" width="37.28515625" customWidth="1"/>
    <col min="6" max="6" width="45.28515625" customWidth="1"/>
    <col min="7" max="7" width="26.7109375" customWidth="1"/>
    <col min="8" max="8" width="11.28515625" bestFit="1" customWidth="1"/>
    <col min="9" max="9" width="14.42578125" bestFit="1" customWidth="1"/>
    <col min="13" max="13" width="10.140625" customWidth="1"/>
    <col min="31" max="31" width="5.85546875" customWidth="1"/>
  </cols>
  <sheetData>
    <row r="2" spans="2:13">
      <c r="B2" s="20" t="s">
        <v>192</v>
      </c>
      <c r="C2" s="20"/>
    </row>
    <row r="3" spans="2:13">
      <c r="B3" s="1"/>
      <c r="C3" s="1"/>
      <c r="D3" s="1"/>
      <c r="E3" s="1"/>
    </row>
    <row r="5" spans="2:13">
      <c r="B5" s="2" t="s">
        <v>193</v>
      </c>
    </row>
    <row r="6" spans="2:13">
      <c r="J6" s="29"/>
    </row>
    <row r="7" spans="2:13">
      <c r="B7" s="115" t="s">
        <v>194</v>
      </c>
      <c r="E7" s="127">
        <v>3282958.5</v>
      </c>
    </row>
    <row r="9" spans="2:13">
      <c r="B9" s="20" t="s">
        <v>195</v>
      </c>
    </row>
    <row r="11" spans="2:13">
      <c r="B11" s="124" t="s">
        <v>196</v>
      </c>
      <c r="C11" s="122"/>
      <c r="D11" s="123"/>
      <c r="F11" s="121" t="s">
        <v>197</v>
      </c>
      <c r="G11" s="122"/>
      <c r="H11" s="123"/>
    </row>
    <row r="12" spans="2:13">
      <c r="B12" s="9"/>
      <c r="C12" s="17"/>
      <c r="D12" s="8"/>
      <c r="F12" s="9"/>
      <c r="G12" s="17"/>
      <c r="H12" s="8"/>
    </row>
    <row r="13" spans="2:13">
      <c r="B13" s="9" t="s">
        <v>198</v>
      </c>
      <c r="C13" s="17" t="s">
        <v>199</v>
      </c>
      <c r="D13" s="8"/>
      <c r="F13" s="9" t="s">
        <v>198</v>
      </c>
      <c r="G13" s="17" t="s">
        <v>200</v>
      </c>
      <c r="H13" s="8"/>
      <c r="M13" s="28"/>
    </row>
    <row r="14" spans="2:13">
      <c r="B14" s="9" t="s">
        <v>201</v>
      </c>
      <c r="C14" s="17" t="s">
        <v>202</v>
      </c>
      <c r="D14" s="8"/>
      <c r="F14" s="9" t="s">
        <v>191</v>
      </c>
      <c r="G14" s="17" t="s">
        <v>203</v>
      </c>
      <c r="H14" s="8"/>
    </row>
    <row r="15" spans="2:13">
      <c r="B15" s="9"/>
      <c r="C15" s="17"/>
      <c r="D15" s="8"/>
      <c r="F15" s="9"/>
      <c r="G15" s="17"/>
      <c r="H15" s="8"/>
    </row>
    <row r="16" spans="2:13" ht="14.25" customHeight="1">
      <c r="B16" s="9" t="s">
        <v>204</v>
      </c>
      <c r="C16" s="17">
        <v>388</v>
      </c>
      <c r="D16" s="8" t="s">
        <v>205</v>
      </c>
      <c r="F16" s="118" t="s">
        <v>204</v>
      </c>
      <c r="G16" s="17">
        <v>403</v>
      </c>
      <c r="H16" s="8" t="s">
        <v>206</v>
      </c>
    </row>
    <row r="17" spans="2:31">
      <c r="B17" s="11" t="s">
        <v>207</v>
      </c>
      <c r="C17" s="18">
        <v>191</v>
      </c>
      <c r="D17" s="12" t="s">
        <v>208</v>
      </c>
      <c r="F17" s="11" t="s">
        <v>207</v>
      </c>
      <c r="G17" s="18">
        <v>220</v>
      </c>
      <c r="H17" s="12" t="s">
        <v>208</v>
      </c>
      <c r="AE17" s="25"/>
    </row>
    <row r="20" spans="2:31">
      <c r="B20" s="124" t="s">
        <v>209</v>
      </c>
      <c r="C20" s="123"/>
      <c r="F20" s="22"/>
    </row>
    <row r="21" spans="2:31">
      <c r="B21" s="9"/>
      <c r="C21" s="119"/>
      <c r="E21" s="175"/>
    </row>
    <row r="22" spans="2:31">
      <c r="B22" s="9" t="s">
        <v>210</v>
      </c>
      <c r="C22" s="176">
        <f>SUM(E7*G16/C16)</f>
        <v>3409876.9987113401</v>
      </c>
    </row>
    <row r="23" spans="2:31">
      <c r="B23" s="128" t="s">
        <v>211</v>
      </c>
      <c r="C23" s="177">
        <f>SUM(C22*G17/C17)</f>
        <v>3927607.0142224859</v>
      </c>
    </row>
    <row r="25" spans="2:31" ht="29.25">
      <c r="B25" s="32" t="s">
        <v>212</v>
      </c>
      <c r="C25" s="127">
        <f>SUM(C23)</f>
        <v>3927607.0142224859</v>
      </c>
    </row>
    <row r="26" spans="2:31">
      <c r="B26" s="22"/>
      <c r="C26" s="30"/>
    </row>
    <row r="28" spans="2:31">
      <c r="B28" s="115" t="s">
        <v>213</v>
      </c>
    </row>
    <row r="29" spans="2:31">
      <c r="B29" s="187" t="s">
        <v>214</v>
      </c>
      <c r="C29" s="188" t="s">
        <v>82</v>
      </c>
      <c r="D29" s="189" t="s">
        <v>215</v>
      </c>
      <c r="E29" s="188" t="s">
        <v>216</v>
      </c>
      <c r="F29" s="190" t="s">
        <v>217</v>
      </c>
    </row>
    <row r="30" spans="2:31">
      <c r="B30" s="191">
        <v>0</v>
      </c>
      <c r="C30" s="185" t="s">
        <v>218</v>
      </c>
      <c r="D30" s="181">
        <v>15178</v>
      </c>
      <c r="E30" s="185">
        <f>SUM(D30*G16/C16)</f>
        <v>15764.778350515464</v>
      </c>
      <c r="F30" s="182">
        <f>SUM(E30*G17/C17)</f>
        <v>18158.383440384307</v>
      </c>
    </row>
    <row r="31" spans="2:31">
      <c r="B31" s="183">
        <v>1</v>
      </c>
      <c r="C31" s="162" t="s">
        <v>219</v>
      </c>
      <c r="D31" s="181">
        <v>66932.5</v>
      </c>
      <c r="E31" s="185">
        <f>SUM(D31*G16/C16)</f>
        <v>69520.096649484534</v>
      </c>
      <c r="F31" s="182">
        <f>SUM(E31*G17/C17)</f>
        <v>80075.503994170664</v>
      </c>
    </row>
    <row r="32" spans="2:31">
      <c r="B32" s="192">
        <v>2</v>
      </c>
      <c r="C32" s="193" t="s">
        <v>220</v>
      </c>
      <c r="D32" s="194">
        <v>1146251</v>
      </c>
      <c r="E32" s="141">
        <f>SUM(D32*G16/C16)</f>
        <v>1190564.8273195876</v>
      </c>
      <c r="F32" s="195">
        <f>SUM(E32*G17/C17)</f>
        <v>1371331.2147136612</v>
      </c>
    </row>
    <row r="33" spans="2:7">
      <c r="B33" s="196">
        <v>3</v>
      </c>
      <c r="C33" s="106" t="s">
        <v>221</v>
      </c>
      <c r="D33" s="30">
        <v>131326</v>
      </c>
      <c r="E33" s="108">
        <f>SUM(D33*G16/C16)</f>
        <v>136403.03608247422</v>
      </c>
      <c r="F33" s="197">
        <f>SUM(E33*G17/C17)</f>
        <v>157113.44470232635</v>
      </c>
    </row>
    <row r="34" spans="2:7">
      <c r="B34" s="192">
        <v>4</v>
      </c>
      <c r="C34" s="193" t="s">
        <v>222</v>
      </c>
      <c r="D34" s="194">
        <v>90458</v>
      </c>
      <c r="E34" s="141">
        <f>SUM(D34*G16/C16)</f>
        <v>93955.087628865978</v>
      </c>
      <c r="F34" s="195">
        <f>SUM(E34*G17/C17)</f>
        <v>108220.51978193986</v>
      </c>
    </row>
    <row r="35" spans="2:7">
      <c r="B35" s="198">
        <v>5</v>
      </c>
      <c r="C35" s="106" t="s">
        <v>223</v>
      </c>
      <c r="D35" s="30">
        <v>1035743</v>
      </c>
      <c r="E35" s="108">
        <f>SUM(D35*G16/C16)</f>
        <v>1075784.6108247424</v>
      </c>
      <c r="F35" s="197">
        <f>SUM(E35*G17/C17)</f>
        <v>1239123.6355049389</v>
      </c>
    </row>
    <row r="36" spans="2:7">
      <c r="B36" s="192">
        <v>6</v>
      </c>
      <c r="C36" s="193" t="s">
        <v>224</v>
      </c>
      <c r="D36" s="194">
        <v>0</v>
      </c>
      <c r="E36" s="141">
        <f>SUM(D36*G16/C16)</f>
        <v>0</v>
      </c>
      <c r="F36" s="195">
        <f>SUM(E36*G17/C17)</f>
        <v>0</v>
      </c>
    </row>
    <row r="37" spans="2:7">
      <c r="B37" s="196">
        <v>7</v>
      </c>
      <c r="C37" s="106" t="s">
        <v>225</v>
      </c>
      <c r="D37" s="30">
        <v>0</v>
      </c>
      <c r="E37" s="108">
        <f>SUM(D37*G16/C16)</f>
        <v>0</v>
      </c>
      <c r="F37" s="197">
        <f>SUM(E37*G17/C17)</f>
        <v>0</v>
      </c>
    </row>
    <row r="38" spans="2:7">
      <c r="B38" s="192">
        <v>8</v>
      </c>
      <c r="C38" s="193" t="s">
        <v>226</v>
      </c>
      <c r="D38" s="194">
        <v>555226</v>
      </c>
      <c r="E38" s="141">
        <f>SUM(D38*G16/C16)</f>
        <v>576690.92268041242</v>
      </c>
      <c r="F38" s="195">
        <f>SUM(E38*G17/C17)</f>
        <v>664251.32455335464</v>
      </c>
    </row>
    <row r="39" spans="2:7">
      <c r="B39" s="196">
        <v>9</v>
      </c>
      <c r="C39" s="106" t="s">
        <v>227</v>
      </c>
      <c r="D39" s="30">
        <v>175323</v>
      </c>
      <c r="E39" s="108">
        <f>SUM(D39*G16/C16)</f>
        <v>182100.95103092783</v>
      </c>
      <c r="F39" s="197">
        <f>SUM(E39*G17/C17)</f>
        <v>209749.78652777028</v>
      </c>
    </row>
    <row r="40" spans="2:7">
      <c r="B40" s="199">
        <v>10</v>
      </c>
      <c r="C40" s="193" t="s">
        <v>228</v>
      </c>
      <c r="D40" s="194">
        <v>0</v>
      </c>
      <c r="E40" s="141">
        <f>SUM(D40*G16/C16)</f>
        <v>0</v>
      </c>
      <c r="F40" s="195">
        <f>SUM(E40*G17/C17)</f>
        <v>0</v>
      </c>
    </row>
    <row r="41" spans="2:7">
      <c r="B41" s="196">
        <v>11</v>
      </c>
      <c r="C41" s="106" t="s">
        <v>229</v>
      </c>
      <c r="D41" s="30">
        <v>10000</v>
      </c>
      <c r="E41" s="108">
        <f>SUM(D41*G16/C16)</f>
        <v>10386.59793814433</v>
      </c>
      <c r="F41" s="197">
        <f>SUM(E41*G17/C17)</f>
        <v>11963.620661736924</v>
      </c>
    </row>
    <row r="42" spans="2:7">
      <c r="B42" s="192">
        <v>12</v>
      </c>
      <c r="C42" s="193" t="s">
        <v>230</v>
      </c>
      <c r="D42" s="194">
        <v>56521</v>
      </c>
      <c r="E42" s="141">
        <f>SUM(D42*G16/C16)</f>
        <v>58706.090206185567</v>
      </c>
      <c r="F42" s="195">
        <f>SUM(E42*G17/C17)</f>
        <v>67619.580342203277</v>
      </c>
    </row>
    <row r="43" spans="2:7">
      <c r="B43" s="196">
        <v>13</v>
      </c>
      <c r="C43" s="106" t="s">
        <v>231</v>
      </c>
      <c r="D43" s="30">
        <v>0</v>
      </c>
      <c r="E43" s="108">
        <f>SUM(D43*G16/C16)</f>
        <v>0</v>
      </c>
      <c r="F43" s="197">
        <f>SUM(E43*G17/C17)</f>
        <v>0</v>
      </c>
    </row>
    <row r="44" spans="2:7" ht="5.25" customHeight="1">
      <c r="B44" s="183"/>
      <c r="C44" s="162"/>
      <c r="D44" s="181"/>
      <c r="E44" s="185"/>
      <c r="F44" s="182"/>
    </row>
    <row r="45" spans="2:7">
      <c r="B45" s="180" t="s">
        <v>232</v>
      </c>
      <c r="C45" s="184"/>
      <c r="D45" s="178">
        <f>SUM(D30:D43)</f>
        <v>3282958.5</v>
      </c>
      <c r="E45" s="186">
        <f>SUM(D45*G16/C16)</f>
        <v>3409876.9987113401</v>
      </c>
      <c r="F45" s="179">
        <f>SUM(E45*G17/C17)</f>
        <v>3927607.0142224859</v>
      </c>
      <c r="G45" s="115"/>
    </row>
    <row r="46" spans="2:7">
      <c r="B46" s="115"/>
      <c r="C46" s="115"/>
      <c r="D46" s="115"/>
      <c r="E46" s="115"/>
      <c r="F46" s="115"/>
      <c r="G46" s="115"/>
    </row>
    <row r="50" spans="2:2">
      <c r="B50" s="175" t="s">
        <v>233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2AC6C-EEA0-4BC1-923B-CA1449BF3456}">
  <dimension ref="B3:G33"/>
  <sheetViews>
    <sheetView workbookViewId="0">
      <selection activeCell="C36" sqref="C36"/>
    </sheetView>
  </sheetViews>
  <sheetFormatPr defaultRowHeight="15"/>
  <cols>
    <col min="2" max="2" width="26" customWidth="1"/>
    <col min="3" max="3" width="59" customWidth="1"/>
    <col min="4" max="4" width="49.140625" customWidth="1"/>
  </cols>
  <sheetData>
    <row r="3" spans="2:7">
      <c r="B3" s="158" t="s">
        <v>234</v>
      </c>
      <c r="C3" s="158"/>
      <c r="D3" s="158"/>
      <c r="E3" s="115"/>
      <c r="F3" s="115"/>
      <c r="G3" s="115"/>
    </row>
    <row r="6" spans="2:7">
      <c r="B6" s="171" t="s">
        <v>235</v>
      </c>
      <c r="C6" s="159"/>
      <c r="D6" s="160"/>
    </row>
    <row r="7" spans="2:7">
      <c r="B7" s="172" t="s">
        <v>236</v>
      </c>
      <c r="D7" s="8"/>
    </row>
    <row r="8" spans="2:7">
      <c r="B8" s="172" t="s">
        <v>237</v>
      </c>
      <c r="D8" s="8"/>
    </row>
    <row r="9" spans="2:7">
      <c r="B9" s="172" t="s">
        <v>238</v>
      </c>
      <c r="D9" s="8"/>
    </row>
    <row r="10" spans="2:7">
      <c r="B10" s="163" t="s">
        <v>239</v>
      </c>
      <c r="C10" s="164" t="s">
        <v>240</v>
      </c>
      <c r="D10" s="165" t="s">
        <v>241</v>
      </c>
    </row>
    <row r="11" spans="2:7">
      <c r="B11" s="166">
        <v>1</v>
      </c>
      <c r="C11" s="162" t="s">
        <v>242</v>
      </c>
      <c r="D11" s="161" t="s">
        <v>243</v>
      </c>
    </row>
    <row r="12" spans="2:7">
      <c r="B12" s="166">
        <v>2</v>
      </c>
      <c r="C12" s="162" t="s">
        <v>244</v>
      </c>
      <c r="D12" s="161" t="s">
        <v>245</v>
      </c>
    </row>
    <row r="13" spans="2:7">
      <c r="B13" s="166">
        <v>3</v>
      </c>
      <c r="C13" s="162" t="s">
        <v>246</v>
      </c>
      <c r="D13" s="161" t="s">
        <v>247</v>
      </c>
    </row>
    <row r="14" spans="2:7">
      <c r="B14" s="166">
        <v>4</v>
      </c>
      <c r="C14" s="162" t="s">
        <v>248</v>
      </c>
      <c r="D14" s="161" t="s">
        <v>249</v>
      </c>
    </row>
    <row r="15" spans="2:7">
      <c r="B15" s="166">
        <v>5</v>
      </c>
      <c r="C15" s="162" t="s">
        <v>250</v>
      </c>
      <c r="D15" s="161" t="s">
        <v>251</v>
      </c>
    </row>
    <row r="16" spans="2:7">
      <c r="B16" s="167"/>
      <c r="C16" s="106" t="s">
        <v>252</v>
      </c>
      <c r="D16" s="8"/>
    </row>
    <row r="17" spans="2:5">
      <c r="B17" s="166">
        <v>6</v>
      </c>
      <c r="C17" s="162" t="s">
        <v>253</v>
      </c>
      <c r="D17" s="173" t="s">
        <v>254</v>
      </c>
    </row>
    <row r="18" spans="2:5">
      <c r="B18" s="167"/>
      <c r="C18" s="106" t="s">
        <v>255</v>
      </c>
      <c r="D18" s="8"/>
    </row>
    <row r="19" spans="2:5">
      <c r="B19" s="166">
        <v>7</v>
      </c>
      <c r="C19" s="162" t="s">
        <v>256</v>
      </c>
      <c r="D19" s="161" t="s">
        <v>257</v>
      </c>
    </row>
    <row r="20" spans="2:5">
      <c r="B20" s="168">
        <v>8</v>
      </c>
      <c r="C20" s="169" t="s">
        <v>258</v>
      </c>
      <c r="D20" s="170" t="s">
        <v>259</v>
      </c>
    </row>
    <row r="22" spans="2:5">
      <c r="B22" s="158" t="s">
        <v>260</v>
      </c>
      <c r="E22" s="126"/>
    </row>
    <row r="23" spans="2:5">
      <c r="B23" t="s">
        <v>261</v>
      </c>
    </row>
    <row r="24" spans="2:5">
      <c r="B24" t="s">
        <v>262</v>
      </c>
    </row>
    <row r="25" spans="2:5">
      <c r="B25" t="s">
        <v>263</v>
      </c>
      <c r="C25" s="126"/>
    </row>
    <row r="26" spans="2:5">
      <c r="B26" t="s">
        <v>264</v>
      </c>
    </row>
    <row r="27" spans="2:5">
      <c r="B27" t="s">
        <v>265</v>
      </c>
    </row>
    <row r="28" spans="2:5">
      <c r="B28" t="s">
        <v>266</v>
      </c>
    </row>
    <row r="29" spans="2:5">
      <c r="B29" s="271" t="s">
        <v>267</v>
      </c>
    </row>
    <row r="30" spans="2:5">
      <c r="B30" s="126" t="s">
        <v>268</v>
      </c>
    </row>
    <row r="31" spans="2:5">
      <c r="B31" s="126" t="s">
        <v>269</v>
      </c>
    </row>
    <row r="32" spans="2:5">
      <c r="B32" s="126" t="s">
        <v>270</v>
      </c>
    </row>
    <row r="33" spans="2:2">
      <c r="B33" s="126"/>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B6738-F121-459E-8694-E232DC8FD4EA}">
  <dimension ref="B2:T57"/>
  <sheetViews>
    <sheetView topLeftCell="B1" workbookViewId="0">
      <selection activeCell="E12" sqref="E12"/>
    </sheetView>
  </sheetViews>
  <sheetFormatPr defaultRowHeight="15"/>
  <cols>
    <col min="2" max="2" width="42.28515625" customWidth="1"/>
    <col min="3" max="3" width="10.140625" customWidth="1"/>
    <col min="5" max="5" width="36.5703125" bestFit="1" customWidth="1"/>
    <col min="6" max="6" width="11.140625" customWidth="1"/>
    <col min="7" max="7" width="31.85546875" bestFit="1" customWidth="1"/>
    <col min="12" max="12" width="11.42578125" bestFit="1" customWidth="1"/>
    <col min="15" max="15" width="12.5703125" bestFit="1" customWidth="1"/>
  </cols>
  <sheetData>
    <row r="2" spans="2:20" ht="9.75" customHeight="1"/>
    <row r="3" spans="2:20" ht="15" customHeight="1">
      <c r="B3" s="22"/>
    </row>
    <row r="4" spans="2:20" ht="16.5" customHeight="1">
      <c r="B4" s="22"/>
    </row>
    <row r="5" spans="2:20">
      <c r="B5" s="22"/>
    </row>
    <row r="6" spans="2:20">
      <c r="B6" s="31" t="s">
        <v>271</v>
      </c>
      <c r="E6" s="20"/>
      <c r="F6" s="20" t="s">
        <v>272</v>
      </c>
      <c r="G6" s="20"/>
      <c r="K6" s="20"/>
      <c r="L6" s="20" t="s">
        <v>273</v>
      </c>
      <c r="M6" s="20"/>
      <c r="T6" s="174"/>
    </row>
    <row r="7" spans="2:20">
      <c r="Q7" s="126"/>
      <c r="S7" s="126"/>
    </row>
    <row r="8" spans="2:20">
      <c r="B8" s="20" t="s">
        <v>274</v>
      </c>
    </row>
    <row r="9" spans="2:20">
      <c r="E9" s="20" t="s">
        <v>275</v>
      </c>
      <c r="F9" s="20"/>
    </row>
    <row r="10" spans="2:20">
      <c r="E10" s="137">
        <f>SUM(69+62+10+10+57+33.5+19.5+6+28+3+3.5+25)</f>
        <v>326.5</v>
      </c>
      <c r="F10" t="s">
        <v>71</v>
      </c>
      <c r="G10" t="s">
        <v>276</v>
      </c>
    </row>
    <row r="11" spans="2:20">
      <c r="E11" s="137">
        <v>205</v>
      </c>
      <c r="F11" t="s">
        <v>277</v>
      </c>
      <c r="G11" t="s">
        <v>278</v>
      </c>
    </row>
    <row r="12" spans="2:20">
      <c r="E12" s="140">
        <f>SUM(E10*E11)</f>
        <v>66932.5</v>
      </c>
      <c r="F12" t="s">
        <v>174</v>
      </c>
      <c r="G12" t="s">
        <v>279</v>
      </c>
    </row>
    <row r="23" spans="2:7">
      <c r="E23" s="1"/>
    </row>
    <row r="24" spans="2:7">
      <c r="B24" s="20" t="s">
        <v>102</v>
      </c>
    </row>
    <row r="25" spans="2:7">
      <c r="E25" s="1" t="s">
        <v>102</v>
      </c>
    </row>
    <row r="26" spans="2:7">
      <c r="E26" s="20">
        <f>SUM(10+16)</f>
        <v>26</v>
      </c>
      <c r="F26" t="s">
        <v>280</v>
      </c>
      <c r="G26" t="s">
        <v>281</v>
      </c>
    </row>
    <row r="27" spans="2:7">
      <c r="E27" s="137">
        <v>420</v>
      </c>
      <c r="F27" t="s">
        <v>282</v>
      </c>
      <c r="G27" t="s">
        <v>278</v>
      </c>
    </row>
    <row r="28" spans="2:7">
      <c r="E28" s="140">
        <f>SUM(E26*E27)</f>
        <v>10920</v>
      </c>
      <c r="F28" t="s">
        <v>283</v>
      </c>
      <c r="G28" t="s">
        <v>284</v>
      </c>
    </row>
    <row r="31" spans="2:7">
      <c r="B31" s="26" t="s">
        <v>285</v>
      </c>
      <c r="E31" s="20" t="s">
        <v>286</v>
      </c>
    </row>
    <row r="32" spans="2:7">
      <c r="E32" s="137">
        <f>SUM(69+62+10+10+57+33.5+19.5+6+28+3+3.5+25+83+7+14+83+57+11+6.5+16.5+29+3+2+3.5+18+10+11+3+4)</f>
        <v>688</v>
      </c>
      <c r="F32" t="s">
        <v>71</v>
      </c>
      <c r="G32" t="s">
        <v>287</v>
      </c>
    </row>
    <row r="33" spans="5:7">
      <c r="E33" s="137">
        <v>21</v>
      </c>
      <c r="F33" t="s">
        <v>277</v>
      </c>
      <c r="G33" t="s">
        <v>278</v>
      </c>
    </row>
    <row r="34" spans="5:7">
      <c r="E34" s="140">
        <f>SUM(E32*E33)</f>
        <v>14448</v>
      </c>
      <c r="F34" t="s">
        <v>283</v>
      </c>
      <c r="G34" t="s">
        <v>288</v>
      </c>
    </row>
    <row r="50" spans="2:7">
      <c r="B50" s="20" t="s">
        <v>110</v>
      </c>
    </row>
    <row r="51" spans="2:7">
      <c r="E51" s="20" t="s">
        <v>289</v>
      </c>
    </row>
    <row r="52" spans="2:7">
      <c r="E52" s="20">
        <v>0</v>
      </c>
      <c r="F52" t="s">
        <v>280</v>
      </c>
      <c r="G52" t="s">
        <v>290</v>
      </c>
    </row>
    <row r="53" spans="2:7">
      <c r="E53" s="138">
        <v>0</v>
      </c>
      <c r="F53" t="s">
        <v>282</v>
      </c>
      <c r="G53" t="s">
        <v>291</v>
      </c>
    </row>
    <row r="54" spans="2:7">
      <c r="E54" s="139">
        <f>SUM(E52*E53)</f>
        <v>0</v>
      </c>
      <c r="F54" t="s">
        <v>283</v>
      </c>
      <c r="G54" t="s">
        <v>292</v>
      </c>
    </row>
    <row r="57" spans="2:7" ht="29.25">
      <c r="E57" s="22" t="s">
        <v>293</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15300-0EC8-481A-B435-086072E1F5B0}">
  <dimension ref="A1:H22"/>
  <sheetViews>
    <sheetView workbookViewId="0">
      <selection activeCell="F26" sqref="F26"/>
    </sheetView>
  </sheetViews>
  <sheetFormatPr defaultRowHeight="15"/>
  <cols>
    <col min="4" max="4" width="45.28515625" customWidth="1"/>
    <col min="5" max="5" width="12.5703125" customWidth="1"/>
    <col min="6" max="6" width="12.7109375" customWidth="1"/>
    <col min="7" max="7" width="15.85546875" customWidth="1"/>
    <col min="8" max="8" width="15" customWidth="1"/>
  </cols>
  <sheetData>
    <row r="1" spans="1:8">
      <c r="A1" s="158" t="s">
        <v>294</v>
      </c>
      <c r="B1" s="158"/>
    </row>
    <row r="3" spans="1:8">
      <c r="B3" s="207" t="s">
        <v>295</v>
      </c>
      <c r="C3" s="208" t="s">
        <v>296</v>
      </c>
      <c r="D3" s="209" t="s">
        <v>297</v>
      </c>
      <c r="E3" s="208" t="s">
        <v>298</v>
      </c>
      <c r="F3" s="209" t="s">
        <v>299</v>
      </c>
      <c r="G3" s="208" t="s">
        <v>300</v>
      </c>
      <c r="H3" s="210" t="s">
        <v>301</v>
      </c>
    </row>
    <row r="4" spans="1:8">
      <c r="B4" s="17"/>
      <c r="C4" s="106"/>
      <c r="E4" s="106"/>
      <c r="G4" s="106"/>
      <c r="H4" s="107"/>
    </row>
    <row r="5" spans="1:8">
      <c r="B5" s="202" t="s">
        <v>302</v>
      </c>
      <c r="C5" s="205" t="s">
        <v>303</v>
      </c>
      <c r="D5" t="s">
        <v>304</v>
      </c>
      <c r="E5" s="206">
        <v>326.5</v>
      </c>
      <c r="F5" s="200" t="s">
        <v>305</v>
      </c>
      <c r="G5" s="108">
        <v>205</v>
      </c>
      <c r="H5" s="211">
        <f>SUM(E5*G5)</f>
        <v>66932.5</v>
      </c>
    </row>
    <row r="6" spans="1:8">
      <c r="B6" s="17"/>
      <c r="C6" s="106"/>
      <c r="D6" t="s">
        <v>306</v>
      </c>
      <c r="E6" s="106"/>
      <c r="F6" s="200"/>
      <c r="G6" s="106"/>
      <c r="H6" s="107"/>
    </row>
    <row r="7" spans="1:8">
      <c r="B7" s="17"/>
      <c r="C7" s="106"/>
      <c r="E7" s="106"/>
      <c r="F7" s="200"/>
      <c r="G7" s="106"/>
      <c r="H7" s="107"/>
    </row>
    <row r="8" spans="1:8">
      <c r="B8" s="17"/>
      <c r="C8" s="106"/>
      <c r="E8" s="106"/>
      <c r="F8" s="200"/>
      <c r="G8" s="106"/>
      <c r="H8" s="107"/>
    </row>
    <row r="9" spans="1:8">
      <c r="B9" s="203">
        <v>2.08</v>
      </c>
      <c r="C9" s="205" t="s">
        <v>307</v>
      </c>
      <c r="D9" t="s">
        <v>308</v>
      </c>
      <c r="E9" s="106">
        <v>26</v>
      </c>
      <c r="F9" s="200" t="s">
        <v>280</v>
      </c>
      <c r="G9" s="108">
        <v>420</v>
      </c>
      <c r="H9" s="211">
        <f>SUM(E9*G9)</f>
        <v>10920</v>
      </c>
    </row>
    <row r="10" spans="1:8">
      <c r="B10" s="17"/>
      <c r="C10" s="106"/>
      <c r="D10" s="174" t="s">
        <v>309</v>
      </c>
      <c r="E10" s="106"/>
      <c r="F10" s="200"/>
      <c r="G10" s="106"/>
      <c r="H10" s="107"/>
    </row>
    <row r="11" spans="1:8">
      <c r="B11" s="17"/>
      <c r="C11" s="106"/>
      <c r="D11" t="s">
        <v>310</v>
      </c>
      <c r="E11" s="106"/>
      <c r="F11" s="200"/>
      <c r="G11" s="106"/>
      <c r="H11" s="107"/>
    </row>
    <row r="12" spans="1:8">
      <c r="B12" s="17"/>
      <c r="C12" s="106"/>
      <c r="E12" s="106"/>
      <c r="F12" s="200"/>
      <c r="G12" s="106"/>
      <c r="H12" s="107"/>
    </row>
    <row r="13" spans="1:8">
      <c r="B13" s="17"/>
      <c r="C13" s="106"/>
      <c r="E13" s="106"/>
      <c r="F13" s="200"/>
      <c r="G13" s="106"/>
      <c r="H13" s="107"/>
    </row>
    <row r="14" spans="1:8">
      <c r="B14" s="202">
        <v>3.02</v>
      </c>
      <c r="C14" s="205" t="s">
        <v>311</v>
      </c>
      <c r="D14" t="s">
        <v>312</v>
      </c>
      <c r="E14" s="106">
        <v>688</v>
      </c>
      <c r="F14" s="200" t="s">
        <v>305</v>
      </c>
      <c r="G14" s="108">
        <v>21</v>
      </c>
      <c r="H14" s="211">
        <f>SUM(E14*G14)</f>
        <v>14448</v>
      </c>
    </row>
    <row r="15" spans="1:8">
      <c r="B15" s="17"/>
      <c r="C15" s="106"/>
      <c r="D15" t="s">
        <v>313</v>
      </c>
      <c r="E15" s="106"/>
      <c r="G15" s="106"/>
      <c r="H15" s="107"/>
    </row>
    <row r="16" spans="1:8">
      <c r="B16" s="17"/>
      <c r="C16" s="106"/>
      <c r="E16" s="106"/>
      <c r="G16" s="106"/>
      <c r="H16" s="107"/>
    </row>
    <row r="17" spans="2:8">
      <c r="B17" s="204"/>
      <c r="C17" s="201"/>
      <c r="D17" s="201"/>
      <c r="E17" s="201" t="s">
        <v>314</v>
      </c>
      <c r="F17" s="201"/>
      <c r="G17" s="201"/>
      <c r="H17" s="212">
        <f>SUM(H5+H9+H14)</f>
        <v>92300.5</v>
      </c>
    </row>
    <row r="20" spans="2:8">
      <c r="B20" s="175" t="s">
        <v>315</v>
      </c>
    </row>
    <row r="22" spans="2:8">
      <c r="D22" s="115"/>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136F1-B25D-437C-8859-A1B9CB46936D}">
  <dimension ref="B2:AW67"/>
  <sheetViews>
    <sheetView workbookViewId="0">
      <selection activeCell="AP6" sqref="AP6"/>
    </sheetView>
  </sheetViews>
  <sheetFormatPr defaultRowHeight="15"/>
  <cols>
    <col min="2" max="2" width="16.28515625" customWidth="1"/>
    <col min="3" max="3" width="13.42578125" customWidth="1"/>
    <col min="5" max="5" width="9.42578125" customWidth="1"/>
    <col min="6" max="6" width="13.5703125" customWidth="1"/>
    <col min="8" max="8" width="11.140625" customWidth="1"/>
  </cols>
  <sheetData>
    <row r="2" spans="7:49">
      <c r="G2" s="21"/>
      <c r="M2" s="21" t="s">
        <v>316</v>
      </c>
    </row>
    <row r="3" spans="7:49">
      <c r="M3" t="s">
        <v>317</v>
      </c>
    </row>
    <row r="6" spans="7:49">
      <c r="AI6" t="s">
        <v>318</v>
      </c>
      <c r="AJ6">
        <f>SUM(32.26/1.15)</f>
        <v>28.052173913043479</v>
      </c>
      <c r="AK6" t="s">
        <v>319</v>
      </c>
      <c r="AO6" t="s">
        <v>318</v>
      </c>
      <c r="AP6">
        <f>SUM(32.26/1.2)</f>
        <v>26.883333333333333</v>
      </c>
      <c r="AQ6" t="s">
        <v>319</v>
      </c>
    </row>
    <row r="7" spans="7:49">
      <c r="AV7">
        <v>84.99</v>
      </c>
    </row>
    <row r="8" spans="7:49">
      <c r="AI8" t="s">
        <v>320</v>
      </c>
      <c r="AJ8" t="s">
        <v>321</v>
      </c>
      <c r="AK8">
        <f>SUM(13.62/34.53*100)</f>
        <v>39.44396177237185</v>
      </c>
      <c r="AL8" t="s">
        <v>95</v>
      </c>
      <c r="AM8" s="157" t="s">
        <v>322</v>
      </c>
      <c r="AO8" t="s">
        <v>320</v>
      </c>
      <c r="AP8" t="s">
        <v>321</v>
      </c>
      <c r="AQ8">
        <f>SUM(12.68/14.92*100)</f>
        <v>84.986595174262732</v>
      </c>
      <c r="AR8" t="s">
        <v>95</v>
      </c>
      <c r="AS8" t="s">
        <v>323</v>
      </c>
      <c r="AV8">
        <v>12.33</v>
      </c>
    </row>
    <row r="9" spans="7:49">
      <c r="AJ9" t="s">
        <v>324</v>
      </c>
      <c r="AK9">
        <f>SUM(20.91/34.53*100)</f>
        <v>60.55603822762815</v>
      </c>
      <c r="AL9" t="s">
        <v>95</v>
      </c>
      <c r="AM9" s="157" t="s">
        <v>325</v>
      </c>
      <c r="AP9" t="s">
        <v>324</v>
      </c>
      <c r="AQ9">
        <f>SUM(1.84/14.92*100)</f>
        <v>12.332439678284183</v>
      </c>
      <c r="AR9" t="s">
        <v>95</v>
      </c>
      <c r="AS9" t="s">
        <v>326</v>
      </c>
      <c r="AV9">
        <v>2.68</v>
      </c>
      <c r="AW9">
        <f>SUM(AV7:AV9)</f>
        <v>100</v>
      </c>
    </row>
    <row r="10" spans="7:49">
      <c r="AP10" t="s">
        <v>327</v>
      </c>
      <c r="AQ10">
        <f>SUM(0.4/14.92*100)</f>
        <v>2.6809651474530831</v>
      </c>
      <c r="AR10" t="s">
        <v>95</v>
      </c>
      <c r="AS10" t="s">
        <v>328</v>
      </c>
    </row>
    <row r="11" spans="7:49">
      <c r="AI11" t="s">
        <v>329</v>
      </c>
      <c r="AJ11" t="s">
        <v>321</v>
      </c>
      <c r="AK11">
        <f>SUM(28.05*0.4)</f>
        <v>11.22</v>
      </c>
      <c r="AL11" t="s">
        <v>174</v>
      </c>
    </row>
    <row r="12" spans="7:49">
      <c r="AJ12" t="s">
        <v>324</v>
      </c>
      <c r="AK12">
        <f>SUM(28.05*0.6)</f>
        <v>16.829999999999998</v>
      </c>
      <c r="AL12" t="s">
        <v>174</v>
      </c>
      <c r="AO12" t="s">
        <v>329</v>
      </c>
      <c r="AP12" t="s">
        <v>321</v>
      </c>
      <c r="AQ12">
        <f>SUM(AP6*0.8499)</f>
        <v>22.848144999999999</v>
      </c>
      <c r="AR12" t="s">
        <v>174</v>
      </c>
    </row>
    <row r="13" spans="7:49">
      <c r="AP13" t="s">
        <v>324</v>
      </c>
      <c r="AQ13">
        <f>SUM(AP6*0.1233)</f>
        <v>3.3147150000000001</v>
      </c>
      <c r="AR13" t="s">
        <v>174</v>
      </c>
    </row>
    <row r="14" spans="7:49">
      <c r="AI14" t="s">
        <v>330</v>
      </c>
      <c r="AJ14" t="s">
        <v>331</v>
      </c>
      <c r="AK14">
        <f>SUM(11.22*1.4/1)</f>
        <v>15.708</v>
      </c>
      <c r="AL14" t="s">
        <v>174</v>
      </c>
      <c r="AP14" t="s">
        <v>327</v>
      </c>
      <c r="AQ14">
        <f>SUM(AP6*0.0268)</f>
        <v>0.7204733333333333</v>
      </c>
      <c r="AR14" t="s">
        <v>174</v>
      </c>
    </row>
    <row r="15" spans="7:49">
      <c r="AJ15" t="s">
        <v>324</v>
      </c>
      <c r="AK15">
        <f>SUM(16.83*1.4/1)</f>
        <v>23.561999999999998</v>
      </c>
      <c r="AL15" t="s">
        <v>174</v>
      </c>
      <c r="AQ15">
        <f>SUM(AQ12:AQ14)</f>
        <v>26.883333333333333</v>
      </c>
      <c r="AR15" t="s">
        <v>174</v>
      </c>
    </row>
    <row r="16" spans="7:49">
      <c r="AK16">
        <f>SUM(AK14:AK15)</f>
        <v>39.269999999999996</v>
      </c>
      <c r="AL16" t="s">
        <v>174</v>
      </c>
      <c r="AV16" t="s">
        <v>332</v>
      </c>
    </row>
    <row r="17" spans="2:48">
      <c r="AO17" t="s">
        <v>330</v>
      </c>
      <c r="AP17" t="s">
        <v>321</v>
      </c>
      <c r="AQ17">
        <f>SUM(AQ12*0.5/0.38)</f>
        <v>30.063348684210524</v>
      </c>
      <c r="AR17" t="s">
        <v>174</v>
      </c>
      <c r="AS17" t="s">
        <v>333</v>
      </c>
      <c r="AV17" t="s">
        <v>334</v>
      </c>
    </row>
    <row r="18" spans="2:48">
      <c r="E18" t="s">
        <v>335</v>
      </c>
      <c r="AI18" t="s">
        <v>336</v>
      </c>
      <c r="AJ18">
        <f>SUM(AK16*1.15)</f>
        <v>45.160499999999992</v>
      </c>
      <c r="AK18" t="s">
        <v>337</v>
      </c>
      <c r="AP18" t="s">
        <v>324</v>
      </c>
      <c r="AQ18">
        <f>SUM(AQ13*0.5/0.38)</f>
        <v>4.3614671052631575</v>
      </c>
      <c r="AR18" t="s">
        <v>174</v>
      </c>
      <c r="AV18" t="s">
        <v>338</v>
      </c>
    </row>
    <row r="19" spans="2:48">
      <c r="AP19" t="s">
        <v>327</v>
      </c>
      <c r="AQ19">
        <f t="shared" ref="AQ18:AQ19" si="0">SUM(AQ14*0.5/0.38)</f>
        <v>0.94799122807017533</v>
      </c>
      <c r="AR19" t="s">
        <v>174</v>
      </c>
      <c r="AV19" t="s">
        <v>339</v>
      </c>
    </row>
    <row r="20" spans="2:48">
      <c r="B20" t="s">
        <v>340</v>
      </c>
      <c r="C20">
        <v>1</v>
      </c>
      <c r="D20">
        <v>2</v>
      </c>
      <c r="E20">
        <v>3</v>
      </c>
      <c r="F20">
        <v>4</v>
      </c>
      <c r="G20">
        <v>5</v>
      </c>
      <c r="H20">
        <v>6</v>
      </c>
      <c r="I20">
        <v>7</v>
      </c>
      <c r="J20">
        <v>8</v>
      </c>
      <c r="K20">
        <v>9</v>
      </c>
      <c r="L20">
        <v>10</v>
      </c>
      <c r="M20">
        <v>11</v>
      </c>
      <c r="N20">
        <v>12</v>
      </c>
      <c r="AQ20">
        <f>SUM(AQ17:AQ19)</f>
        <v>35.372807017543856</v>
      </c>
      <c r="AR20" t="s">
        <v>174</v>
      </c>
      <c r="AV20" t="s">
        <v>341</v>
      </c>
    </row>
    <row r="21" spans="2:48">
      <c r="B21" t="s">
        <v>342</v>
      </c>
      <c r="C21">
        <v>20000</v>
      </c>
      <c r="D21">
        <v>50000</v>
      </c>
      <c r="E21">
        <v>100000</v>
      </c>
      <c r="F21">
        <v>130000</v>
      </c>
      <c r="G21">
        <v>150000</v>
      </c>
      <c r="H21">
        <v>180000</v>
      </c>
      <c r="I21">
        <v>140000</v>
      </c>
      <c r="J21">
        <v>130000</v>
      </c>
      <c r="K21">
        <v>120000</v>
      </c>
      <c r="L21">
        <v>100000</v>
      </c>
      <c r="M21">
        <v>50000</v>
      </c>
      <c r="N21">
        <v>30000</v>
      </c>
    </row>
    <row r="22" spans="2:48">
      <c r="B22" t="s">
        <v>343</v>
      </c>
      <c r="C22">
        <v>0</v>
      </c>
      <c r="D22">
        <f>C21*1.08</f>
        <v>21600</v>
      </c>
      <c r="E22">
        <f t="shared" ref="E22:N22" si="1">D21*1.08</f>
        <v>54000</v>
      </c>
      <c r="F22">
        <f t="shared" si="1"/>
        <v>108000</v>
      </c>
      <c r="G22">
        <f t="shared" si="1"/>
        <v>140400</v>
      </c>
      <c r="H22">
        <f t="shared" si="1"/>
        <v>162000</v>
      </c>
      <c r="I22">
        <f t="shared" si="1"/>
        <v>194400</v>
      </c>
      <c r="J22">
        <f t="shared" si="1"/>
        <v>151200</v>
      </c>
      <c r="K22">
        <f t="shared" si="1"/>
        <v>140400</v>
      </c>
      <c r="L22">
        <f t="shared" si="1"/>
        <v>129600.00000000001</v>
      </c>
      <c r="M22">
        <f t="shared" si="1"/>
        <v>108000</v>
      </c>
      <c r="N22">
        <f t="shared" si="1"/>
        <v>54000</v>
      </c>
      <c r="AO22" t="s">
        <v>336</v>
      </c>
      <c r="AP22">
        <f>SUM(AQ20*1.2)</f>
        <v>42.447368421052623</v>
      </c>
      <c r="AQ22" t="s">
        <v>337</v>
      </c>
    </row>
    <row r="23" spans="2:48">
      <c r="B23" t="s">
        <v>344</v>
      </c>
      <c r="C23">
        <v>0</v>
      </c>
      <c r="D23">
        <f>D22*0.96</f>
        <v>20736</v>
      </c>
      <c r="E23">
        <f t="shared" ref="E23:N23" si="2">E22*0.96</f>
        <v>51840</v>
      </c>
      <c r="F23">
        <f t="shared" si="2"/>
        <v>103680</v>
      </c>
      <c r="G23">
        <f t="shared" si="2"/>
        <v>134784</v>
      </c>
      <c r="H23">
        <f t="shared" si="2"/>
        <v>155520</v>
      </c>
      <c r="I23">
        <f t="shared" si="2"/>
        <v>186624</v>
      </c>
      <c r="J23">
        <f t="shared" si="2"/>
        <v>145152</v>
      </c>
      <c r="K23">
        <f t="shared" si="2"/>
        <v>134784</v>
      </c>
      <c r="L23">
        <f t="shared" si="2"/>
        <v>124416.00000000001</v>
      </c>
      <c r="M23">
        <f t="shared" si="2"/>
        <v>103680</v>
      </c>
      <c r="N23">
        <f t="shared" si="2"/>
        <v>51840</v>
      </c>
    </row>
    <row r="27" spans="2:48">
      <c r="B27" t="s">
        <v>345</v>
      </c>
      <c r="C27">
        <v>0</v>
      </c>
      <c r="D27">
        <f>D23</f>
        <v>20736</v>
      </c>
      <c r="E27">
        <f t="shared" ref="E27:N27" si="3">E23</f>
        <v>51840</v>
      </c>
      <c r="F27">
        <f t="shared" si="3"/>
        <v>103680</v>
      </c>
      <c r="G27">
        <f t="shared" si="3"/>
        <v>134784</v>
      </c>
      <c r="H27">
        <f t="shared" si="3"/>
        <v>155520</v>
      </c>
      <c r="I27">
        <f t="shared" si="3"/>
        <v>186624</v>
      </c>
      <c r="J27">
        <f t="shared" si="3"/>
        <v>145152</v>
      </c>
      <c r="K27">
        <f t="shared" si="3"/>
        <v>134784</v>
      </c>
      <c r="L27">
        <f t="shared" si="3"/>
        <v>124416.00000000001</v>
      </c>
      <c r="M27">
        <f t="shared" si="3"/>
        <v>103680</v>
      </c>
      <c r="N27">
        <f t="shared" si="3"/>
        <v>51840</v>
      </c>
    </row>
    <row r="28" spans="2:48">
      <c r="B28" t="s">
        <v>346</v>
      </c>
      <c r="C28">
        <v>0</v>
      </c>
      <c r="D28">
        <f>D21</f>
        <v>50000</v>
      </c>
      <c r="E28">
        <f t="shared" ref="E28:N28" si="4">E21</f>
        <v>100000</v>
      </c>
      <c r="F28">
        <f t="shared" si="4"/>
        <v>130000</v>
      </c>
      <c r="G28">
        <f t="shared" si="4"/>
        <v>150000</v>
      </c>
      <c r="H28">
        <f t="shared" si="4"/>
        <v>180000</v>
      </c>
      <c r="I28">
        <f t="shared" si="4"/>
        <v>140000</v>
      </c>
      <c r="J28">
        <f t="shared" si="4"/>
        <v>130000</v>
      </c>
      <c r="K28">
        <f t="shared" si="4"/>
        <v>120000</v>
      </c>
      <c r="L28">
        <f t="shared" si="4"/>
        <v>100000</v>
      </c>
      <c r="M28">
        <f t="shared" si="4"/>
        <v>50000</v>
      </c>
      <c r="N28">
        <f t="shared" si="4"/>
        <v>30000</v>
      </c>
    </row>
    <row r="29" spans="2:48">
      <c r="B29" t="s">
        <v>347</v>
      </c>
      <c r="C29">
        <v>-20000</v>
      </c>
      <c r="D29">
        <f>C29+D27-D28</f>
        <v>-49264</v>
      </c>
      <c r="E29">
        <f>D29+E27-E28</f>
        <v>-97424</v>
      </c>
      <c r="F29">
        <f>E29+F27-F28</f>
        <v>-123744</v>
      </c>
      <c r="G29">
        <f>F29+G27-G28</f>
        <v>-138960</v>
      </c>
      <c r="H29">
        <f>G29+H27-H28</f>
        <v>-163440</v>
      </c>
      <c r="I29">
        <f t="shared" ref="E29:N29" si="5">H29+I27-I28</f>
        <v>-116816</v>
      </c>
      <c r="J29">
        <f t="shared" si="5"/>
        <v>-101664</v>
      </c>
      <c r="K29">
        <f t="shared" si="5"/>
        <v>-86880</v>
      </c>
      <c r="L29">
        <f t="shared" si="5"/>
        <v>-62463.999999999985</v>
      </c>
      <c r="M29">
        <f t="shared" si="5"/>
        <v>-8783.9999999999854</v>
      </c>
      <c r="N29">
        <f t="shared" si="5"/>
        <v>13056.000000000015</v>
      </c>
    </row>
    <row r="33" spans="2:14">
      <c r="C33" t="s">
        <v>348</v>
      </c>
    </row>
    <row r="34" spans="2:14">
      <c r="C34" t="s">
        <v>349</v>
      </c>
    </row>
    <row r="35" spans="2:14">
      <c r="C35" t="s">
        <v>350</v>
      </c>
    </row>
    <row r="36" spans="2:14">
      <c r="C36" t="s">
        <v>351</v>
      </c>
    </row>
    <row r="38" spans="2:14">
      <c r="C38" t="s">
        <v>352</v>
      </c>
    </row>
    <row r="39" spans="2:14">
      <c r="C39" t="s">
        <v>353</v>
      </c>
    </row>
    <row r="40" spans="2:14">
      <c r="C40" t="s">
        <v>354</v>
      </c>
    </row>
    <row r="41" spans="2:14">
      <c r="C41" t="s">
        <v>355</v>
      </c>
    </row>
    <row r="44" spans="2:14">
      <c r="B44" t="s">
        <v>340</v>
      </c>
      <c r="C44">
        <v>1</v>
      </c>
      <c r="D44">
        <v>2</v>
      </c>
      <c r="E44">
        <v>3</v>
      </c>
      <c r="F44">
        <v>4</v>
      </c>
      <c r="G44">
        <v>5</v>
      </c>
      <c r="H44">
        <v>6</v>
      </c>
      <c r="I44">
        <v>7</v>
      </c>
      <c r="J44">
        <v>8</v>
      </c>
      <c r="K44">
        <v>9</v>
      </c>
      <c r="L44">
        <v>10</v>
      </c>
      <c r="M44">
        <v>11</v>
      </c>
      <c r="N44">
        <v>12</v>
      </c>
    </row>
    <row r="45" spans="2:14">
      <c r="B45" t="s">
        <v>356</v>
      </c>
      <c r="C45">
        <v>10000</v>
      </c>
      <c r="D45">
        <v>30000</v>
      </c>
      <c r="E45">
        <v>50000</v>
      </c>
      <c r="F45">
        <v>50000</v>
      </c>
      <c r="G45">
        <v>50000</v>
      </c>
      <c r="H45">
        <v>10000</v>
      </c>
      <c r="I45">
        <v>5000</v>
      </c>
    </row>
    <row r="46" spans="2:14">
      <c r="B46" t="s">
        <v>357</v>
      </c>
      <c r="C46">
        <v>5000</v>
      </c>
      <c r="D46">
        <v>20000</v>
      </c>
      <c r="E46">
        <v>60000</v>
      </c>
      <c r="F46">
        <v>80000</v>
      </c>
      <c r="G46">
        <v>80000</v>
      </c>
      <c r="H46">
        <v>60000</v>
      </c>
      <c r="I46">
        <v>20000</v>
      </c>
      <c r="J46">
        <v>10000</v>
      </c>
    </row>
    <row r="47" spans="2:14">
      <c r="B47" t="s">
        <v>358</v>
      </c>
      <c r="C47">
        <v>20000</v>
      </c>
      <c r="D47">
        <v>40000</v>
      </c>
      <c r="E47">
        <v>70000</v>
      </c>
      <c r="F47">
        <v>20000</v>
      </c>
      <c r="G47">
        <v>10000</v>
      </c>
    </row>
    <row r="48" spans="2:14">
      <c r="B48" t="s">
        <v>359</v>
      </c>
      <c r="C48">
        <f>SUM(C45:C47)</f>
        <v>35000</v>
      </c>
      <c r="D48">
        <f>SUM(D45:D47)</f>
        <v>90000</v>
      </c>
      <c r="E48">
        <f t="shared" ref="D48:J48" si="6">SUM(E45:E47)</f>
        <v>180000</v>
      </c>
      <c r="F48">
        <f t="shared" si="6"/>
        <v>150000</v>
      </c>
      <c r="G48">
        <f t="shared" si="6"/>
        <v>140000</v>
      </c>
      <c r="H48">
        <f t="shared" si="6"/>
        <v>70000</v>
      </c>
      <c r="I48">
        <f t="shared" si="6"/>
        <v>25000</v>
      </c>
      <c r="J48">
        <f t="shared" si="6"/>
        <v>10000</v>
      </c>
    </row>
    <row r="49" spans="2:10">
      <c r="B49" t="s">
        <v>343</v>
      </c>
      <c r="C49">
        <v>0</v>
      </c>
      <c r="D49">
        <f>C48*1.08</f>
        <v>37800</v>
      </c>
      <c r="E49">
        <f t="shared" ref="E49:J49" si="7">D48*1.08</f>
        <v>97200</v>
      </c>
      <c r="F49">
        <f t="shared" si="7"/>
        <v>194400</v>
      </c>
      <c r="G49">
        <f t="shared" si="7"/>
        <v>162000</v>
      </c>
      <c r="H49">
        <f t="shared" si="7"/>
        <v>151200</v>
      </c>
      <c r="I49">
        <f t="shared" si="7"/>
        <v>75600</v>
      </c>
      <c r="J49">
        <f t="shared" si="7"/>
        <v>27000</v>
      </c>
    </row>
    <row r="50" spans="2:10">
      <c r="B50" t="s">
        <v>344</v>
      </c>
      <c r="C50">
        <v>0</v>
      </c>
      <c r="D50">
        <f>(D49*0.95)</f>
        <v>35910</v>
      </c>
      <c r="E50">
        <f t="shared" ref="E50:J50" si="8">-(E49*0.95)</f>
        <v>-92340</v>
      </c>
      <c r="F50">
        <f t="shared" si="8"/>
        <v>-184680</v>
      </c>
      <c r="G50">
        <f t="shared" si="8"/>
        <v>-153900</v>
      </c>
      <c r="H50">
        <f t="shared" si="8"/>
        <v>-143640</v>
      </c>
      <c r="I50">
        <f t="shared" si="8"/>
        <v>-71820</v>
      </c>
      <c r="J50">
        <f t="shared" si="8"/>
        <v>-25650</v>
      </c>
    </row>
    <row r="54" spans="2:10">
      <c r="B54" t="s">
        <v>345</v>
      </c>
      <c r="C54">
        <v>0</v>
      </c>
      <c r="D54">
        <f>D50</f>
        <v>35910</v>
      </c>
      <c r="E54">
        <f t="shared" ref="E54:J54" si="9">E50</f>
        <v>-92340</v>
      </c>
      <c r="F54">
        <f t="shared" si="9"/>
        <v>-184680</v>
      </c>
      <c r="G54">
        <f t="shared" si="9"/>
        <v>-153900</v>
      </c>
      <c r="H54">
        <f t="shared" si="9"/>
        <v>-143640</v>
      </c>
      <c r="I54">
        <f t="shared" si="9"/>
        <v>-71820</v>
      </c>
      <c r="J54">
        <f t="shared" si="9"/>
        <v>-25650</v>
      </c>
    </row>
    <row r="55" spans="2:10">
      <c r="B55" t="s">
        <v>360</v>
      </c>
      <c r="C55">
        <v>0</v>
      </c>
      <c r="D55">
        <f>-(D48)</f>
        <v>-90000</v>
      </c>
      <c r="E55">
        <f t="shared" ref="E55:J55" si="10">-(E48)</f>
        <v>-180000</v>
      </c>
      <c r="F55">
        <f t="shared" si="10"/>
        <v>-150000</v>
      </c>
      <c r="G55">
        <f t="shared" si="10"/>
        <v>-140000</v>
      </c>
      <c r="H55">
        <f t="shared" si="10"/>
        <v>-70000</v>
      </c>
      <c r="I55">
        <f t="shared" si="10"/>
        <v>-25000</v>
      </c>
      <c r="J55">
        <f t="shared" si="10"/>
        <v>-10000</v>
      </c>
    </row>
    <row r="56" spans="2:10">
      <c r="B56" t="s">
        <v>347</v>
      </c>
      <c r="C56">
        <v>-35000</v>
      </c>
      <c r="D56">
        <f>C56+D54+D55</f>
        <v>-89090</v>
      </c>
      <c r="E56">
        <f t="shared" ref="E56:J56" si="11">D56+E54+E55</f>
        <v>-361430</v>
      </c>
      <c r="F56">
        <f t="shared" si="11"/>
        <v>-696110</v>
      </c>
      <c r="G56">
        <f t="shared" si="11"/>
        <v>-990010</v>
      </c>
      <c r="H56">
        <f t="shared" si="11"/>
        <v>-1203650</v>
      </c>
      <c r="I56">
        <f t="shared" si="11"/>
        <v>-1300470</v>
      </c>
      <c r="J56">
        <f t="shared" si="11"/>
        <v>-1336120</v>
      </c>
    </row>
    <row r="65" spans="4:5">
      <c r="D65" t="s">
        <v>361</v>
      </c>
    </row>
    <row r="66" spans="4:5">
      <c r="D66">
        <f>SUM(68+61+74+70+68+63)/6</f>
        <v>67.333333333333329</v>
      </c>
      <c r="E66" t="s">
        <v>362</v>
      </c>
    </row>
    <row r="67" spans="4:5">
      <c r="D67">
        <f>SUM(68+74+70+68+63)/5</f>
        <v>68.599999999999994</v>
      </c>
      <c r="E67" t="s">
        <v>363</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7B1E8-16B2-49EF-A779-B24A73018EB7}">
  <dimension ref="B2:U31"/>
  <sheetViews>
    <sheetView workbookViewId="0">
      <selection activeCell="J36" sqref="J36"/>
    </sheetView>
  </sheetViews>
  <sheetFormatPr defaultRowHeight="15"/>
  <cols>
    <col min="2" max="2" width="12.28515625" customWidth="1"/>
    <col min="3" max="3" width="12.85546875" bestFit="1" customWidth="1"/>
    <col min="4" max="4" width="14.5703125" customWidth="1"/>
    <col min="5" max="5" width="14.42578125" bestFit="1" customWidth="1"/>
    <col min="6" max="6" width="14.140625" bestFit="1" customWidth="1"/>
    <col min="7" max="7" width="14.42578125" bestFit="1" customWidth="1"/>
    <col min="8" max="8" width="19.28515625" customWidth="1"/>
    <col min="9" max="9" width="14.42578125" bestFit="1" customWidth="1"/>
    <col min="10" max="11" width="14.140625" bestFit="1" customWidth="1"/>
    <col min="12" max="14" width="12.5703125" bestFit="1" customWidth="1"/>
    <col min="15" max="15" width="16.140625" customWidth="1"/>
    <col min="17" max="17" width="27.5703125" customWidth="1"/>
    <col min="21" max="21" width="13.28515625" customWidth="1"/>
    <col min="28" max="28" width="10.140625" bestFit="1" customWidth="1"/>
  </cols>
  <sheetData>
    <row r="2" spans="2:21">
      <c r="B2" s="158" t="s">
        <v>364</v>
      </c>
      <c r="C2" s="158"/>
      <c r="D2" s="158"/>
      <c r="E2" s="115"/>
    </row>
    <row r="4" spans="2:21">
      <c r="B4" s="232" t="s">
        <v>340</v>
      </c>
      <c r="C4" s="233">
        <v>1</v>
      </c>
      <c r="D4" s="233">
        <v>2</v>
      </c>
      <c r="E4" s="233">
        <v>3</v>
      </c>
      <c r="F4" s="233">
        <v>4</v>
      </c>
      <c r="G4" s="233">
        <v>5</v>
      </c>
      <c r="H4" s="233">
        <v>6</v>
      </c>
      <c r="I4" s="233">
        <v>7</v>
      </c>
      <c r="J4" s="233">
        <v>8</v>
      </c>
      <c r="K4" s="233">
        <v>9</v>
      </c>
      <c r="L4" s="233">
        <v>10</v>
      </c>
      <c r="M4" s="233">
        <v>11</v>
      </c>
      <c r="N4" s="233">
        <v>12</v>
      </c>
      <c r="O4" s="285">
        <v>13</v>
      </c>
      <c r="Q4" s="115"/>
      <c r="R4" s="115"/>
      <c r="S4" s="115"/>
      <c r="T4" s="115"/>
      <c r="U4" s="115"/>
    </row>
    <row r="5" spans="2:21">
      <c r="B5" s="9" t="s">
        <v>365</v>
      </c>
      <c r="C5" s="213">
        <v>650000</v>
      </c>
      <c r="D5" s="213">
        <v>845000</v>
      </c>
      <c r="E5" s="213">
        <v>1645000</v>
      </c>
      <c r="F5" s="213">
        <v>960000</v>
      </c>
      <c r="G5" s="213">
        <v>2450000</v>
      </c>
      <c r="H5" s="213">
        <v>4100000</v>
      </c>
      <c r="I5" s="213">
        <v>1890000</v>
      </c>
      <c r="J5" s="213">
        <v>1500000</v>
      </c>
      <c r="K5" s="213">
        <v>760000</v>
      </c>
      <c r="L5" s="213">
        <v>300000</v>
      </c>
      <c r="M5" s="213">
        <v>560000</v>
      </c>
      <c r="N5" s="213">
        <v>340000</v>
      </c>
      <c r="O5" s="234">
        <v>0</v>
      </c>
      <c r="U5" s="30"/>
    </row>
    <row r="6" spans="2:21">
      <c r="B6" s="9" t="s">
        <v>366</v>
      </c>
      <c r="C6" s="213">
        <v>0</v>
      </c>
      <c r="D6" s="213">
        <f>C5*1.09</f>
        <v>708500</v>
      </c>
      <c r="E6" s="213">
        <f>D5*1.09</f>
        <v>921050.00000000012</v>
      </c>
      <c r="F6" s="213">
        <f>E5*1.09</f>
        <v>1793050.0000000002</v>
      </c>
      <c r="G6" s="213">
        <f>F5*1.09</f>
        <v>1046400.0000000001</v>
      </c>
      <c r="H6" s="213">
        <f>G5*1.09</f>
        <v>2670500</v>
      </c>
      <c r="I6" s="213">
        <f>H5*1.09</f>
        <v>4469000</v>
      </c>
      <c r="J6" s="213">
        <f>I5*1.09</f>
        <v>2060100.0000000002</v>
      </c>
      <c r="K6" s="213">
        <f>J5*1.09</f>
        <v>1635000.0000000002</v>
      </c>
      <c r="L6" s="213">
        <f>K5*1.09</f>
        <v>828400.00000000012</v>
      </c>
      <c r="M6" s="213">
        <f>L5*1.09</f>
        <v>327000</v>
      </c>
      <c r="N6" s="213">
        <f>M5*1.09</f>
        <v>610400</v>
      </c>
      <c r="O6" s="234">
        <v>0</v>
      </c>
      <c r="U6" s="30"/>
    </row>
    <row r="7" spans="2:21">
      <c r="B7" s="11" t="s">
        <v>367</v>
      </c>
      <c r="C7" s="235">
        <v>0</v>
      </c>
      <c r="D7" s="235">
        <f>D6*0.96</f>
        <v>680160</v>
      </c>
      <c r="E7" s="235">
        <f>E6*0.96</f>
        <v>884208.00000000012</v>
      </c>
      <c r="F7" s="235">
        <f>F6*0.96</f>
        <v>1721328.0000000002</v>
      </c>
      <c r="G7" s="235">
        <f>G6*0.96</f>
        <v>1004544.0000000001</v>
      </c>
      <c r="H7" s="235">
        <f t="shared" ref="E7:N7" si="0">H6*0.96</f>
        <v>2563680</v>
      </c>
      <c r="I7" s="235">
        <f t="shared" si="0"/>
        <v>4290240</v>
      </c>
      <c r="J7" s="235">
        <f t="shared" si="0"/>
        <v>1977696.0000000002</v>
      </c>
      <c r="K7" s="235">
        <f t="shared" si="0"/>
        <v>1569600.0000000002</v>
      </c>
      <c r="L7" s="235">
        <f>L6*0.96</f>
        <v>795264.00000000012</v>
      </c>
      <c r="M7" s="235">
        <f>M6*0.96</f>
        <v>313920</v>
      </c>
      <c r="N7" s="235">
        <f>N6*0.96</f>
        <v>585984</v>
      </c>
      <c r="O7" s="236">
        <v>0</v>
      </c>
    </row>
    <row r="10" spans="2:21">
      <c r="B10" s="232" t="s">
        <v>340</v>
      </c>
      <c r="C10" s="233">
        <v>1</v>
      </c>
      <c r="D10" s="233">
        <v>2</v>
      </c>
      <c r="E10" s="233">
        <v>3</v>
      </c>
      <c r="F10" s="233">
        <v>4</v>
      </c>
      <c r="G10" s="233">
        <v>5</v>
      </c>
      <c r="H10" s="233">
        <v>6</v>
      </c>
      <c r="I10" s="233">
        <v>7</v>
      </c>
      <c r="J10" s="233">
        <v>8</v>
      </c>
      <c r="K10" s="233">
        <v>9</v>
      </c>
      <c r="L10" s="233">
        <v>10</v>
      </c>
      <c r="M10" s="233">
        <v>11</v>
      </c>
      <c r="N10" s="233">
        <v>12</v>
      </c>
      <c r="O10" s="285">
        <v>13</v>
      </c>
    </row>
    <row r="11" spans="2:21">
      <c r="B11" s="9" t="s">
        <v>368</v>
      </c>
      <c r="C11" s="213">
        <v>0</v>
      </c>
      <c r="D11" s="213">
        <f>D7</f>
        <v>680160</v>
      </c>
      <c r="E11" s="213">
        <f t="shared" ref="E11:N11" si="1">E7</f>
        <v>884208.00000000012</v>
      </c>
      <c r="F11" s="213">
        <f t="shared" si="1"/>
        <v>1721328.0000000002</v>
      </c>
      <c r="G11" s="213">
        <f t="shared" si="1"/>
        <v>1004544.0000000001</v>
      </c>
      <c r="H11" s="213">
        <f t="shared" si="1"/>
        <v>2563680</v>
      </c>
      <c r="I11" s="213">
        <f t="shared" si="1"/>
        <v>4290240</v>
      </c>
      <c r="J11" s="213">
        <f t="shared" si="1"/>
        <v>1977696.0000000002</v>
      </c>
      <c r="K11" s="213">
        <f t="shared" si="1"/>
        <v>1569600.0000000002</v>
      </c>
      <c r="L11" s="213">
        <f t="shared" si="1"/>
        <v>795264.00000000012</v>
      </c>
      <c r="M11" s="213">
        <f t="shared" si="1"/>
        <v>313920</v>
      </c>
      <c r="N11" s="213">
        <f>N7</f>
        <v>585984</v>
      </c>
      <c r="O11" s="234">
        <f ca="1">N7+F17</f>
        <v>740633.60000000044</v>
      </c>
    </row>
    <row r="12" spans="2:21">
      <c r="B12" s="9" t="s">
        <v>369</v>
      </c>
      <c r="C12" s="213">
        <v>0</v>
      </c>
      <c r="D12" s="213">
        <f>D5</f>
        <v>845000</v>
      </c>
      <c r="E12" s="213">
        <f t="shared" ref="E12:N12" si="2">E5</f>
        <v>1645000</v>
      </c>
      <c r="F12" s="213">
        <f t="shared" si="2"/>
        <v>960000</v>
      </c>
      <c r="G12" s="213">
        <f t="shared" si="2"/>
        <v>2450000</v>
      </c>
      <c r="H12" s="213">
        <f t="shared" si="2"/>
        <v>4100000</v>
      </c>
      <c r="I12" s="213">
        <f t="shared" si="2"/>
        <v>1890000</v>
      </c>
      <c r="J12" s="213">
        <f t="shared" si="2"/>
        <v>1500000</v>
      </c>
      <c r="K12" s="213">
        <f t="shared" si="2"/>
        <v>760000</v>
      </c>
      <c r="L12" s="213">
        <f t="shared" si="2"/>
        <v>300000</v>
      </c>
      <c r="M12" s="213">
        <f t="shared" si="2"/>
        <v>560000</v>
      </c>
      <c r="N12" s="213">
        <f t="shared" si="2"/>
        <v>340000</v>
      </c>
      <c r="O12" s="234">
        <v>0</v>
      </c>
    </row>
    <row r="13" spans="2:21">
      <c r="B13" s="11" t="s">
        <v>370</v>
      </c>
      <c r="C13" s="235">
        <v>-650000</v>
      </c>
      <c r="D13" s="235">
        <f>C13+D11-D12</f>
        <v>-814840</v>
      </c>
      <c r="E13" s="235">
        <f>D13+E11-E12</f>
        <v>-1575632</v>
      </c>
      <c r="F13" s="235">
        <f>E13+F11-F12</f>
        <v>-814303.99999999977</v>
      </c>
      <c r="G13" s="235">
        <f>F13+G11-G12</f>
        <v>-2259759.9999999995</v>
      </c>
      <c r="H13" s="235">
        <f>G13+H11-H12</f>
        <v>-3796079.9999999995</v>
      </c>
      <c r="I13" s="235">
        <f t="shared" ref="I13:O13" si="3">H13+I11-I12</f>
        <v>-1395839.9999999995</v>
      </c>
      <c r="J13" s="235">
        <f t="shared" si="3"/>
        <v>-918143.9999999993</v>
      </c>
      <c r="K13" s="235">
        <f t="shared" si="3"/>
        <v>-108543.99999999907</v>
      </c>
      <c r="L13" s="235">
        <f t="shared" si="3"/>
        <v>386720.00000000105</v>
      </c>
      <c r="M13" s="235">
        <f>L13+M11-M12</f>
        <v>140640.00000000105</v>
      </c>
      <c r="N13" s="235">
        <f>M13+N11-N12</f>
        <v>386624.00000000105</v>
      </c>
      <c r="O13" s="286">
        <f ca="1">N13+O11-O12</f>
        <v>1127257.6000000015</v>
      </c>
      <c r="Q13" s="30"/>
    </row>
    <row r="14" spans="2:21">
      <c r="Q14" s="30"/>
    </row>
    <row r="15" spans="2:21">
      <c r="B15" s="237" t="s">
        <v>344</v>
      </c>
      <c r="C15" s="238"/>
      <c r="D15" s="238"/>
      <c r="E15" s="238"/>
      <c r="F15" s="239"/>
    </row>
    <row r="16" spans="2:21">
      <c r="B16" s="9" t="s">
        <v>371</v>
      </c>
      <c r="E16" s="107"/>
      <c r="F16" s="251">
        <f ca="1">SUM(O13)</f>
        <v>1127257.6000000015</v>
      </c>
      <c r="O16" s="30"/>
    </row>
    <row r="17" spans="2:14">
      <c r="B17" s="243" t="s">
        <v>372</v>
      </c>
      <c r="C17" s="201"/>
      <c r="D17" s="201"/>
      <c r="E17" s="104"/>
      <c r="F17" s="251">
        <f ca="1">SUM(F16*0.4)</f>
        <v>0</v>
      </c>
    </row>
    <row r="18" spans="2:14">
      <c r="B18" s="11" t="s">
        <v>373</v>
      </c>
      <c r="C18" s="240"/>
      <c r="D18" s="240"/>
      <c r="E18" s="241"/>
      <c r="F18" s="251">
        <f ca="1">SUM(F17*1.6)</f>
        <v>0</v>
      </c>
    </row>
    <row r="20" spans="2:14" ht="17.25">
      <c r="B20" s="244" t="s">
        <v>374</v>
      </c>
      <c r="C20" s="245"/>
      <c r="D20" s="245"/>
      <c r="E20" s="245"/>
      <c r="F20" s="245"/>
      <c r="G20" s="245"/>
      <c r="H20" s="249"/>
      <c r="N20" s="287" t="s">
        <v>375</v>
      </c>
    </row>
    <row r="21" spans="2:14">
      <c r="B21" s="9" t="s">
        <v>376</v>
      </c>
      <c r="H21" s="8"/>
    </row>
    <row r="22" spans="2:14">
      <c r="B22" s="9" t="s">
        <v>377</v>
      </c>
      <c r="H22" s="8"/>
    </row>
    <row r="23" spans="2:14">
      <c r="B23" s="9" t="s">
        <v>378</v>
      </c>
      <c r="H23" s="8"/>
    </row>
    <row r="24" spans="2:14">
      <c r="B24" s="9" t="s">
        <v>379</v>
      </c>
      <c r="H24" s="8"/>
    </row>
    <row r="25" spans="2:14">
      <c r="B25" s="9"/>
      <c r="H25" s="8"/>
      <c r="J25" s="271" t="s">
        <v>380</v>
      </c>
      <c r="K25" s="271"/>
    </row>
    <row r="26" spans="2:14">
      <c r="B26" s="9" t="s">
        <v>381</v>
      </c>
      <c r="H26" s="8"/>
    </row>
    <row r="27" spans="2:14">
      <c r="B27" s="246" t="s">
        <v>382</v>
      </c>
      <c r="H27" s="8"/>
    </row>
    <row r="28" spans="2:14">
      <c r="B28" s="250" t="s">
        <v>383</v>
      </c>
      <c r="H28" s="8"/>
      <c r="N28" s="271"/>
    </row>
    <row r="29" spans="2:14">
      <c r="B29" s="9"/>
      <c r="H29" s="8"/>
    </row>
    <row r="30" spans="2:14">
      <c r="B30" s="9" t="s">
        <v>384</v>
      </c>
      <c r="H30" s="8"/>
    </row>
    <row r="31" spans="2:14">
      <c r="B31" s="247" t="s">
        <v>385</v>
      </c>
      <c r="C31" s="240"/>
      <c r="D31" s="240"/>
      <c r="E31" s="240"/>
      <c r="F31" s="240"/>
      <c r="G31" s="240"/>
      <c r="H31" s="12"/>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BAD3B-320E-4D7C-A706-62183039EB29}">
  <dimension ref="A2:U75"/>
  <sheetViews>
    <sheetView topLeftCell="F15" workbookViewId="0">
      <selection activeCell="N16" sqref="N16"/>
    </sheetView>
  </sheetViews>
  <sheetFormatPr defaultRowHeight="15"/>
  <cols>
    <col min="2" max="2" width="22.85546875" customWidth="1"/>
    <col min="3" max="3" width="18.7109375" customWidth="1"/>
    <col min="4" max="5" width="22.28515625" customWidth="1"/>
    <col min="6" max="6" width="28.42578125" customWidth="1"/>
    <col min="7" max="7" width="18" customWidth="1"/>
    <col min="14" max="14" width="29.85546875" customWidth="1"/>
    <col min="15" max="15" width="14.28515625" customWidth="1"/>
    <col min="16" max="16" width="17.85546875" customWidth="1"/>
    <col min="17" max="18" width="18.85546875" customWidth="1"/>
    <col min="19" max="19" width="19" customWidth="1"/>
  </cols>
  <sheetData>
    <row r="2" spans="2:21">
      <c r="B2" s="158" t="s">
        <v>386</v>
      </c>
      <c r="C2" s="20"/>
      <c r="D2" s="20"/>
    </row>
    <row r="3" spans="2:21">
      <c r="B3" s="20"/>
      <c r="C3" s="20"/>
      <c r="D3" s="20"/>
      <c r="E3" s="20"/>
      <c r="N3" s="274" t="s">
        <v>387</v>
      </c>
      <c r="O3" s="274" t="s">
        <v>223</v>
      </c>
      <c r="P3" s="273"/>
      <c r="Q3" s="273"/>
      <c r="R3" s="248"/>
    </row>
    <row r="4" spans="2:21">
      <c r="B4" s="227" t="s">
        <v>388</v>
      </c>
      <c r="C4" s="228" t="s">
        <v>365</v>
      </c>
      <c r="D4" s="217" t="s">
        <v>389</v>
      </c>
      <c r="E4" s="229" t="s">
        <v>390</v>
      </c>
      <c r="F4" s="215"/>
      <c r="N4" s="274" t="s">
        <v>391</v>
      </c>
      <c r="O4" s="280" t="s">
        <v>392</v>
      </c>
      <c r="P4" s="278" t="s">
        <v>393</v>
      </c>
      <c r="Q4" s="278" t="s">
        <v>394</v>
      </c>
      <c r="R4" s="277" t="s">
        <v>395</v>
      </c>
      <c r="S4" s="115"/>
      <c r="T4" s="115"/>
      <c r="U4" s="115"/>
    </row>
    <row r="5" spans="2:21">
      <c r="B5" s="204" t="s">
        <v>396</v>
      </c>
      <c r="C5" s="141">
        <v>3000</v>
      </c>
      <c r="D5" s="201" t="s">
        <v>397</v>
      </c>
      <c r="E5" s="141">
        <f>3000*2</f>
        <v>6000</v>
      </c>
      <c r="F5" s="30"/>
      <c r="N5" s="275" t="s">
        <v>398</v>
      </c>
      <c r="O5" s="279">
        <f>C31</f>
        <v>1500000</v>
      </c>
      <c r="P5" s="279">
        <f>G24</f>
        <v>1755000</v>
      </c>
      <c r="Q5" s="279">
        <f>G27</f>
        <v>1845000</v>
      </c>
      <c r="R5" s="197">
        <f>G30</f>
        <v>1650000</v>
      </c>
    </row>
    <row r="6" spans="2:21">
      <c r="B6" s="223" t="s">
        <v>399</v>
      </c>
      <c r="C6" s="110">
        <v>500</v>
      </c>
      <c r="D6" s="20" t="s">
        <v>397</v>
      </c>
      <c r="E6" s="110">
        <f>500*2</f>
        <v>1000</v>
      </c>
      <c r="F6" s="30"/>
      <c r="N6" s="276" t="s">
        <v>400</v>
      </c>
      <c r="O6" s="281">
        <f>C32</f>
        <v>2250000</v>
      </c>
      <c r="P6" s="281">
        <f>G25</f>
        <v>2469000</v>
      </c>
      <c r="Q6" s="281">
        <f>G28</f>
        <v>2550000</v>
      </c>
      <c r="R6" s="282">
        <f>G31</f>
        <v>2340000</v>
      </c>
    </row>
    <row r="7" spans="2:21">
      <c r="B7" s="223" t="s">
        <v>401</v>
      </c>
      <c r="C7" s="110">
        <v>500</v>
      </c>
      <c r="D7" s="20" t="s">
        <v>402</v>
      </c>
      <c r="E7" s="110">
        <f>500*2</f>
        <v>1000</v>
      </c>
      <c r="F7" s="30"/>
      <c r="N7" s="115"/>
    </row>
    <row r="8" spans="2:21">
      <c r="B8" s="17" t="s">
        <v>403</v>
      </c>
      <c r="C8" s="108">
        <v>2000</v>
      </c>
      <c r="D8" t="s">
        <v>404</v>
      </c>
      <c r="E8" s="108">
        <v>0</v>
      </c>
      <c r="F8" s="30"/>
    </row>
    <row r="9" spans="2:21">
      <c r="B9" s="204" t="s">
        <v>405</v>
      </c>
      <c r="C9" s="141">
        <v>10000</v>
      </c>
      <c r="D9" s="201" t="s">
        <v>406</v>
      </c>
      <c r="E9" s="141">
        <f>0.125*10000</f>
        <v>1250</v>
      </c>
      <c r="F9" s="30"/>
    </row>
    <row r="10" spans="2:21">
      <c r="B10" s="17" t="s">
        <v>407</v>
      </c>
      <c r="C10" s="108">
        <v>3000</v>
      </c>
      <c r="D10" t="s">
        <v>408</v>
      </c>
      <c r="E10" s="110">
        <f>3000*2</f>
        <v>6000</v>
      </c>
      <c r="F10" s="30"/>
    </row>
    <row r="11" spans="2:21">
      <c r="B11" s="269"/>
      <c r="C11" s="269"/>
      <c r="D11" s="270" t="s">
        <v>409</v>
      </c>
      <c r="E11" s="268">
        <f>SUM(E5:E10)</f>
        <v>15250</v>
      </c>
      <c r="F11" s="30"/>
    </row>
    <row r="12" spans="2:21">
      <c r="D12" s="219"/>
    </row>
    <row r="13" spans="2:21">
      <c r="E13" s="30"/>
    </row>
    <row r="14" spans="2:21">
      <c r="B14" s="222" t="s">
        <v>410</v>
      </c>
      <c r="C14" s="283"/>
    </row>
    <row r="15" spans="2:21">
      <c r="B15" s="17" t="s">
        <v>398</v>
      </c>
      <c r="C15" s="108">
        <v>1050000</v>
      </c>
    </row>
    <row r="16" spans="2:21">
      <c r="B16" s="204" t="s">
        <v>400</v>
      </c>
      <c r="C16" s="141">
        <v>1800000</v>
      </c>
      <c r="F16" s="30"/>
    </row>
    <row r="17" spans="2:8" ht="4.5" customHeight="1">
      <c r="C17" s="30"/>
    </row>
    <row r="18" spans="2:8" ht="4.5" customHeight="1">
      <c r="E18" s="30"/>
    </row>
    <row r="19" spans="2:8" ht="3" customHeight="1"/>
    <row r="20" spans="2:8" ht="6.75" customHeight="1"/>
    <row r="21" spans="2:8">
      <c r="B21" s="115" t="s">
        <v>411</v>
      </c>
      <c r="C21" s="115"/>
      <c r="F21" s="115" t="s">
        <v>412</v>
      </c>
    </row>
    <row r="22" spans="2:8" ht="18" customHeight="1">
      <c r="B22" s="222" t="s">
        <v>413</v>
      </c>
      <c r="C22" s="221"/>
      <c r="D22" s="17"/>
      <c r="F22" s="222" t="s">
        <v>414</v>
      </c>
      <c r="G22" s="220"/>
      <c r="H22" s="17"/>
    </row>
    <row r="23" spans="2:8">
      <c r="B23" s="17" t="s">
        <v>396</v>
      </c>
      <c r="C23" s="214">
        <f>E5*30</f>
        <v>180000</v>
      </c>
      <c r="D23" s="17"/>
      <c r="F23" s="224" t="s">
        <v>415</v>
      </c>
      <c r="G23" s="20"/>
      <c r="H23" s="17"/>
    </row>
    <row r="24" spans="2:8">
      <c r="B24" s="120" t="s">
        <v>399</v>
      </c>
      <c r="C24" s="214">
        <f>E6*30</f>
        <v>30000</v>
      </c>
      <c r="D24" s="17"/>
      <c r="F24" s="17" t="s">
        <v>398</v>
      </c>
      <c r="G24" s="266">
        <f>(12000*30)+(C5*30)+(C6*30)+(E7*30)+(C27)+(C26)+(C15)</f>
        <v>1755000</v>
      </c>
      <c r="H24" s="17"/>
    </row>
    <row r="25" spans="2:8">
      <c r="B25" s="120" t="s">
        <v>416</v>
      </c>
      <c r="C25" s="214">
        <f>E7*30</f>
        <v>30000</v>
      </c>
      <c r="D25" s="17"/>
      <c r="F25" s="17" t="s">
        <v>417</v>
      </c>
      <c r="G25" s="266">
        <f>(10800*30)+(C5*30)+(C6*30)+(E7*30)+(C27)+(C26)+(C16)</f>
        <v>2469000</v>
      </c>
      <c r="H25" s="17"/>
    </row>
    <row r="26" spans="2:8">
      <c r="B26" s="120" t="s">
        <v>405</v>
      </c>
      <c r="C26" s="214">
        <f>3*C9</f>
        <v>30000</v>
      </c>
      <c r="D26" s="213"/>
      <c r="F26" s="225" t="s">
        <v>418</v>
      </c>
      <c r="G26" s="272"/>
      <c r="H26" s="17"/>
    </row>
    <row r="27" spans="2:8">
      <c r="B27" s="204" t="s">
        <v>419</v>
      </c>
      <c r="C27" s="265">
        <f>E10*30</f>
        <v>180000</v>
      </c>
      <c r="D27" s="17"/>
      <c r="F27" s="17" t="s">
        <v>398</v>
      </c>
      <c r="G27" s="266">
        <f>(15000*30)+(C5*30)+(C6*30)+(E7*30)+(C27)+(C26)+(C15)</f>
        <v>1845000</v>
      </c>
      <c r="H27" s="17"/>
    </row>
    <row r="28" spans="2:8" ht="18" customHeight="1">
      <c r="B28" s="226" t="s">
        <v>301</v>
      </c>
      <c r="C28" s="266">
        <f>SUM(C23:C27)</f>
        <v>450000</v>
      </c>
      <c r="D28" s="17"/>
      <c r="F28" s="17" t="s">
        <v>417</v>
      </c>
      <c r="G28" s="266">
        <f>(13500*30)+(C5*30)+(C6*30)+(E7*30)+(C27)+(C26)+(C16)</f>
        <v>2550000</v>
      </c>
      <c r="H28" s="17"/>
    </row>
    <row r="29" spans="2:8">
      <c r="B29" s="219"/>
      <c r="F29" s="225" t="s">
        <v>420</v>
      </c>
      <c r="G29" s="272"/>
      <c r="H29" s="17"/>
    </row>
    <row r="30" spans="2:8">
      <c r="B30" s="222" t="s">
        <v>421</v>
      </c>
      <c r="C30" s="230"/>
      <c r="F30" s="17" t="s">
        <v>398</v>
      </c>
      <c r="G30" s="266">
        <f>(20000*30)+C15</f>
        <v>1650000</v>
      </c>
      <c r="H30" s="17"/>
    </row>
    <row r="31" spans="2:8">
      <c r="B31" s="17" t="s">
        <v>398</v>
      </c>
      <c r="C31" s="267">
        <f>SUM(C28)+C15</f>
        <v>1500000</v>
      </c>
      <c r="F31" s="17" t="s">
        <v>417</v>
      </c>
      <c r="G31" s="266">
        <f>(18000*30)+C16</f>
        <v>2340000</v>
      </c>
      <c r="H31" s="17"/>
    </row>
    <row r="32" spans="2:8">
      <c r="B32" s="120" t="s">
        <v>400</v>
      </c>
      <c r="C32" s="268">
        <f>SUM(C28)+C16</f>
        <v>2250000</v>
      </c>
      <c r="E32" s="174"/>
      <c r="F32" s="219"/>
      <c r="G32" s="30"/>
    </row>
    <row r="33" spans="1:7">
      <c r="B33" s="219"/>
      <c r="G33" s="30"/>
    </row>
    <row r="38" spans="1:7">
      <c r="B38" s="218" t="s">
        <v>422</v>
      </c>
      <c r="C38" s="218"/>
      <c r="D38" s="216"/>
    </row>
    <row r="39" spans="1:7">
      <c r="A39" s="231"/>
    </row>
    <row r="40" spans="1:7">
      <c r="A40" s="231"/>
    </row>
    <row r="41" spans="1:7">
      <c r="A41" s="231"/>
    </row>
    <row r="42" spans="1:7">
      <c r="A42" s="231"/>
    </row>
    <row r="43" spans="1:7">
      <c r="A43" s="231"/>
    </row>
    <row r="44" spans="1:7">
      <c r="A44" s="231"/>
      <c r="B44" s="115"/>
    </row>
    <row r="45" spans="1:7">
      <c r="A45" s="231"/>
      <c r="B45" s="126"/>
    </row>
    <row r="46" spans="1:7">
      <c r="A46" s="231"/>
    </row>
    <row r="58" spans="2:5">
      <c r="B58" s="284" t="s">
        <v>423</v>
      </c>
    </row>
    <row r="62" spans="2:5">
      <c r="E62" s="115"/>
    </row>
    <row r="75" spans="3:3">
      <c r="C75" s="284"/>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E621F-9499-4BBC-A8E0-895F4D91092D}">
  <dimension ref="A2:U75"/>
  <sheetViews>
    <sheetView workbookViewId="0">
      <selection activeCell="A37" sqref="A37:E42"/>
    </sheetView>
  </sheetViews>
  <sheetFormatPr defaultRowHeight="15"/>
  <cols>
    <col min="2" max="2" width="22.85546875" customWidth="1"/>
    <col min="3" max="3" width="18.7109375" customWidth="1"/>
    <col min="4" max="5" width="22.28515625" customWidth="1"/>
    <col min="6" max="6" width="28.42578125" customWidth="1"/>
    <col min="7" max="7" width="18" customWidth="1"/>
    <col min="8" max="8" width="0.42578125" customWidth="1"/>
    <col min="9" max="12" width="0" hidden="1" customWidth="1"/>
    <col min="13" max="13" width="0.85546875" customWidth="1"/>
    <col min="14" max="14" width="29.85546875" customWidth="1"/>
    <col min="15" max="15" width="14.28515625" customWidth="1"/>
    <col min="16" max="16" width="17.85546875" customWidth="1"/>
    <col min="17" max="18" width="18.85546875" customWidth="1"/>
    <col min="19" max="19" width="19" customWidth="1"/>
  </cols>
  <sheetData>
    <row r="2" spans="2:21">
      <c r="B2" s="158" t="s">
        <v>386</v>
      </c>
      <c r="C2" s="20"/>
      <c r="D2" s="20"/>
    </row>
    <row r="3" spans="2:21">
      <c r="B3" s="20"/>
      <c r="C3" s="20"/>
      <c r="D3" s="20"/>
      <c r="E3" s="20"/>
      <c r="N3" s="274" t="s">
        <v>387</v>
      </c>
      <c r="O3" s="274" t="s">
        <v>223</v>
      </c>
      <c r="P3" s="273"/>
      <c r="Q3" s="273"/>
      <c r="R3" s="248"/>
    </row>
    <row r="4" spans="2:21">
      <c r="B4" s="227" t="s">
        <v>388</v>
      </c>
      <c r="C4" s="228" t="s">
        <v>365</v>
      </c>
      <c r="D4" s="217" t="s">
        <v>389</v>
      </c>
      <c r="E4" s="229" t="s">
        <v>390</v>
      </c>
      <c r="F4" s="215"/>
      <c r="N4" s="274" t="s">
        <v>391</v>
      </c>
      <c r="O4" s="280" t="s">
        <v>392</v>
      </c>
      <c r="P4" s="278" t="s">
        <v>393</v>
      </c>
      <c r="Q4" s="278" t="s">
        <v>394</v>
      </c>
      <c r="R4" s="277" t="s">
        <v>395</v>
      </c>
      <c r="S4" s="115"/>
      <c r="T4" s="115"/>
      <c r="U4" s="115"/>
    </row>
    <row r="5" spans="2:21">
      <c r="B5" s="204" t="s">
        <v>396</v>
      </c>
      <c r="C5" s="141">
        <v>3000</v>
      </c>
      <c r="D5" s="201" t="s">
        <v>397</v>
      </c>
      <c r="E5" s="141">
        <f>3000*2</f>
        <v>6000</v>
      </c>
      <c r="F5" s="30"/>
      <c r="N5" s="275" t="s">
        <v>398</v>
      </c>
      <c r="O5" s="279">
        <f>C31</f>
        <v>1500000</v>
      </c>
      <c r="P5" s="279">
        <f>G24</f>
        <v>1755000</v>
      </c>
      <c r="Q5" s="279">
        <f>G27</f>
        <v>1845000</v>
      </c>
      <c r="R5" s="197">
        <f>G30</f>
        <v>1650000</v>
      </c>
    </row>
    <row r="6" spans="2:21">
      <c r="B6" s="223" t="s">
        <v>399</v>
      </c>
      <c r="C6" s="110">
        <v>500</v>
      </c>
      <c r="D6" s="20" t="s">
        <v>397</v>
      </c>
      <c r="E6" s="110">
        <f>500*2</f>
        <v>1000</v>
      </c>
      <c r="F6" s="30"/>
      <c r="N6" s="276" t="s">
        <v>400</v>
      </c>
      <c r="O6" s="281">
        <f>C32</f>
        <v>2250000</v>
      </c>
      <c r="P6" s="281">
        <f>G25</f>
        <v>2469000</v>
      </c>
      <c r="Q6" s="281">
        <f>G28</f>
        <v>2550000</v>
      </c>
      <c r="R6" s="282">
        <f>G31</f>
        <v>2340000</v>
      </c>
    </row>
    <row r="7" spans="2:21">
      <c r="B7" s="223" t="s">
        <v>401</v>
      </c>
      <c r="C7" s="110">
        <v>500</v>
      </c>
      <c r="D7" s="20" t="s">
        <v>402</v>
      </c>
      <c r="E7" s="110">
        <f>500*2</f>
        <v>1000</v>
      </c>
      <c r="F7" s="30"/>
      <c r="N7" s="115"/>
    </row>
    <row r="8" spans="2:21">
      <c r="B8" s="17" t="s">
        <v>403</v>
      </c>
      <c r="C8" s="108">
        <v>2000</v>
      </c>
      <c r="D8" t="s">
        <v>404</v>
      </c>
      <c r="E8" s="108">
        <v>0</v>
      </c>
      <c r="F8" s="30"/>
    </row>
    <row r="9" spans="2:21">
      <c r="B9" s="204" t="s">
        <v>405</v>
      </c>
      <c r="C9" s="141">
        <v>10000</v>
      </c>
      <c r="D9" s="201" t="s">
        <v>406</v>
      </c>
      <c r="E9" s="141">
        <f>0.125*10000</f>
        <v>1250</v>
      </c>
      <c r="F9" s="30"/>
    </row>
    <row r="10" spans="2:21">
      <c r="B10" s="17" t="s">
        <v>407</v>
      </c>
      <c r="C10" s="108">
        <v>3000</v>
      </c>
      <c r="D10" t="s">
        <v>408</v>
      </c>
      <c r="E10" s="110">
        <f>3000*2</f>
        <v>6000</v>
      </c>
      <c r="F10" s="30"/>
    </row>
    <row r="11" spans="2:21">
      <c r="B11" s="269"/>
      <c r="C11" s="269"/>
      <c r="D11" s="270" t="s">
        <v>409</v>
      </c>
      <c r="E11" s="268">
        <f>SUM(E5:E10)</f>
        <v>15250</v>
      </c>
      <c r="F11" s="30"/>
    </row>
    <row r="12" spans="2:21">
      <c r="D12" s="219"/>
    </row>
    <row r="13" spans="2:21">
      <c r="E13" s="30"/>
    </row>
    <row r="14" spans="2:21">
      <c r="B14" s="222" t="s">
        <v>410</v>
      </c>
      <c r="C14" s="283"/>
    </row>
    <row r="15" spans="2:21">
      <c r="B15" s="17" t="s">
        <v>398</v>
      </c>
      <c r="C15" s="108">
        <v>1050000</v>
      </c>
    </row>
    <row r="16" spans="2:21">
      <c r="B16" s="204" t="s">
        <v>400</v>
      </c>
      <c r="C16" s="141">
        <v>1800000</v>
      </c>
      <c r="F16" s="30"/>
    </row>
    <row r="17" spans="2:8" ht="4.5" customHeight="1">
      <c r="C17" s="30"/>
    </row>
    <row r="18" spans="2:8" ht="4.5" customHeight="1">
      <c r="E18" s="30"/>
    </row>
    <row r="19" spans="2:8" ht="3" customHeight="1"/>
    <row r="20" spans="2:8" ht="6.75" customHeight="1"/>
    <row r="21" spans="2:8">
      <c r="B21" s="115" t="s">
        <v>411</v>
      </c>
      <c r="C21" s="115"/>
      <c r="F21" s="115" t="s">
        <v>412</v>
      </c>
    </row>
    <row r="22" spans="2:8" ht="18" customHeight="1">
      <c r="B22" s="222" t="s">
        <v>413</v>
      </c>
      <c r="C22" s="221"/>
      <c r="D22" s="17"/>
      <c r="F22" s="222" t="s">
        <v>414</v>
      </c>
      <c r="G22" s="220"/>
      <c r="H22" s="17"/>
    </row>
    <row r="23" spans="2:8">
      <c r="B23" s="17" t="s">
        <v>396</v>
      </c>
      <c r="C23" s="214">
        <f>E5*30</f>
        <v>180000</v>
      </c>
      <c r="D23" s="17"/>
      <c r="F23" s="224" t="s">
        <v>415</v>
      </c>
      <c r="G23" s="20"/>
      <c r="H23" s="17"/>
    </row>
    <row r="24" spans="2:8">
      <c r="B24" s="120" t="s">
        <v>399</v>
      </c>
      <c r="C24" s="214">
        <f>E6*30</f>
        <v>30000</v>
      </c>
      <c r="D24" s="17"/>
      <c r="F24" s="17" t="s">
        <v>398</v>
      </c>
      <c r="G24" s="266">
        <f>(12000*30)+(C5*30)+(C6*30)+(E7*30)+(C27)+(C26)+(C15)</f>
        <v>1755000</v>
      </c>
      <c r="H24" s="17"/>
    </row>
    <row r="25" spans="2:8">
      <c r="B25" s="120" t="s">
        <v>416</v>
      </c>
      <c r="C25" s="214">
        <f>E7*30</f>
        <v>30000</v>
      </c>
      <c r="D25" s="17"/>
      <c r="F25" s="17" t="s">
        <v>417</v>
      </c>
      <c r="G25" s="266">
        <f>(10800*30)+(C5*30)+(C6*30)+(E7*30)+(C27)+(C26)+(C16)</f>
        <v>2469000</v>
      </c>
      <c r="H25" s="17"/>
    </row>
    <row r="26" spans="2:8">
      <c r="B26" s="120" t="s">
        <v>405</v>
      </c>
      <c r="C26" s="214">
        <f>3*C9</f>
        <v>30000</v>
      </c>
      <c r="D26" s="213"/>
      <c r="F26" s="225" t="s">
        <v>418</v>
      </c>
      <c r="G26" s="272"/>
      <c r="H26" s="17"/>
    </row>
    <row r="27" spans="2:8">
      <c r="B27" s="204" t="s">
        <v>419</v>
      </c>
      <c r="C27" s="265">
        <f>E10*30</f>
        <v>180000</v>
      </c>
      <c r="D27" s="17"/>
      <c r="F27" s="17" t="s">
        <v>398</v>
      </c>
      <c r="G27" s="266">
        <f>(15000*30)+(C5*30)+(C6*30)+(E7*30)+(C27)+(C26)+(C15)</f>
        <v>1845000</v>
      </c>
      <c r="H27" s="17"/>
    </row>
    <row r="28" spans="2:8" ht="18" customHeight="1">
      <c r="B28" s="226" t="s">
        <v>301</v>
      </c>
      <c r="C28" s="266">
        <f>SUM(C23:C27)</f>
        <v>450000</v>
      </c>
      <c r="D28" s="17"/>
      <c r="F28" s="17" t="s">
        <v>417</v>
      </c>
      <c r="G28" s="266">
        <f>(13500*30)+(C5*30)+(C6*30)+(E7*30)+(C27)+(C26)+(C16)</f>
        <v>2550000</v>
      </c>
      <c r="H28" s="17"/>
    </row>
    <row r="29" spans="2:8">
      <c r="B29" s="219"/>
      <c r="F29" s="225" t="s">
        <v>420</v>
      </c>
      <c r="G29" s="272"/>
      <c r="H29" s="17"/>
    </row>
    <row r="30" spans="2:8">
      <c r="B30" s="222" t="s">
        <v>421</v>
      </c>
      <c r="C30" s="230"/>
      <c r="F30" s="17" t="s">
        <v>398</v>
      </c>
      <c r="G30" s="266">
        <f>(20000*30)+C15</f>
        <v>1650000</v>
      </c>
      <c r="H30" s="17"/>
    </row>
    <row r="31" spans="2:8">
      <c r="B31" s="17" t="s">
        <v>398</v>
      </c>
      <c r="C31" s="267">
        <f>SUM(C28)+C15</f>
        <v>1500000</v>
      </c>
      <c r="F31" s="17" t="s">
        <v>417</v>
      </c>
      <c r="G31" s="266">
        <f>(18000*30)+C16</f>
        <v>2340000</v>
      </c>
      <c r="H31" s="17"/>
    </row>
    <row r="32" spans="2:8">
      <c r="B32" s="120" t="s">
        <v>400</v>
      </c>
      <c r="C32" s="268">
        <f>SUM(C28)+C16</f>
        <v>2250000</v>
      </c>
      <c r="E32" s="174"/>
      <c r="F32" s="219"/>
      <c r="G32" s="30"/>
    </row>
    <row r="33" spans="1:7">
      <c r="B33" s="219"/>
      <c r="G33" s="30"/>
    </row>
    <row r="38" spans="1:7">
      <c r="B38" s="115"/>
      <c r="C38" s="115"/>
    </row>
    <row r="39" spans="1:7">
      <c r="A39" s="231"/>
    </row>
    <row r="40" spans="1:7">
      <c r="A40" s="231"/>
    </row>
    <row r="41" spans="1:7">
      <c r="A41" s="231"/>
    </row>
    <row r="42" spans="1:7">
      <c r="A42" s="231"/>
    </row>
    <row r="43" spans="1:7">
      <c r="A43" s="231"/>
    </row>
    <row r="44" spans="1:7">
      <c r="A44" s="231"/>
      <c r="B44" s="115"/>
    </row>
    <row r="45" spans="1:7">
      <c r="A45" s="231"/>
      <c r="B45" s="126"/>
    </row>
    <row r="46" spans="1:7">
      <c r="A46" s="231"/>
    </row>
    <row r="58" spans="2:5">
      <c r="B58" s="284"/>
    </row>
    <row r="62" spans="2:5">
      <c r="E62" s="115"/>
    </row>
    <row r="75" spans="3:3">
      <c r="C75" s="284"/>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Toby George (2204590)</cp:lastModifiedBy>
  <cp:revision/>
  <dcterms:created xsi:type="dcterms:W3CDTF">2024-10-18T13:49:55Z</dcterms:created>
  <dcterms:modified xsi:type="dcterms:W3CDTF">2025-05-23T07:42:47Z</dcterms:modified>
  <cp:category/>
  <cp:contentStatus/>
</cp:coreProperties>
</file>