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Courts\"/>
    </mc:Choice>
  </mc:AlternateContent>
  <bookViews>
    <workbookView xWindow="0" yWindow="0" windowWidth="20160" windowHeight="8130" firstSheet="2" activeTab="3"/>
  </bookViews>
  <sheets>
    <sheet name="Army Costs" sheetId="1" r:id="rId1"/>
    <sheet name="Money Value" sheetId="6" r:id="rId2"/>
    <sheet name="Distribution of Money" sheetId="2" r:id="rId3"/>
    <sheet name="Distribution of Troops" sheetId="3" r:id="rId4"/>
    <sheet name="Year 323" sheetId="4" r:id="rId5"/>
    <sheet name="Year 322" sheetId="8" r:id="rId6"/>
    <sheet name="Year 321" sheetId="9" r:id="rId7"/>
    <sheet name="Trade deals" sheetId="10" r:id="rId8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9" i="9" l="1"/>
  <c r="K10" i="9"/>
  <c r="K11" i="9"/>
  <c r="K3" i="9"/>
  <c r="K20" i="9"/>
  <c r="K21" i="9"/>
  <c r="K17" i="9"/>
  <c r="K12" i="9"/>
  <c r="K4" i="9"/>
  <c r="K5" i="9"/>
  <c r="K6" i="9"/>
  <c r="K7" i="9"/>
  <c r="K8" i="9"/>
  <c r="K13" i="9"/>
  <c r="K14" i="9"/>
  <c r="K15" i="9"/>
  <c r="K16" i="9"/>
  <c r="K18" i="9"/>
  <c r="K19" i="9"/>
  <c r="L19" i="9" s="1"/>
  <c r="P19" i="9" s="1"/>
  <c r="K22" i="9"/>
  <c r="H13" i="9"/>
  <c r="H14" i="9"/>
  <c r="J13" i="9"/>
  <c r="L13" i="9" s="1"/>
  <c r="P13" i="9" s="1"/>
  <c r="I13" i="9"/>
  <c r="G13" i="9"/>
  <c r="J6" i="9"/>
  <c r="I6" i="9"/>
  <c r="G6" i="9"/>
  <c r="J22" i="9"/>
  <c r="I22" i="9"/>
  <c r="G22" i="9"/>
  <c r="J21" i="9"/>
  <c r="I21" i="9"/>
  <c r="G21" i="9"/>
  <c r="J20" i="9"/>
  <c r="I20" i="9"/>
  <c r="G20" i="9"/>
  <c r="J19" i="9"/>
  <c r="I19" i="9"/>
  <c r="G19" i="9"/>
  <c r="J18" i="9"/>
  <c r="I18" i="9"/>
  <c r="G18" i="9"/>
  <c r="J17" i="9"/>
  <c r="L17" i="9" s="1"/>
  <c r="P17" i="9" s="1"/>
  <c r="I17" i="9"/>
  <c r="G17" i="9"/>
  <c r="J16" i="9"/>
  <c r="I16" i="9"/>
  <c r="L16" i="9" s="1"/>
  <c r="P16" i="9" s="1"/>
  <c r="G16" i="9"/>
  <c r="J15" i="9"/>
  <c r="I15" i="9"/>
  <c r="G15" i="9"/>
  <c r="J14" i="9"/>
  <c r="I14" i="9"/>
  <c r="G14" i="9"/>
  <c r="L12" i="9"/>
  <c r="P12" i="9" s="1"/>
  <c r="J12" i="9"/>
  <c r="I12" i="9"/>
  <c r="G12" i="9"/>
  <c r="J11" i="9"/>
  <c r="I11" i="9"/>
  <c r="G11" i="9"/>
  <c r="J10" i="9"/>
  <c r="L10" i="9" s="1"/>
  <c r="P10" i="9" s="1"/>
  <c r="I10" i="9"/>
  <c r="G10" i="9"/>
  <c r="J9" i="9"/>
  <c r="I9" i="9"/>
  <c r="G9" i="9"/>
  <c r="J8" i="9"/>
  <c r="I8" i="9"/>
  <c r="G8" i="9"/>
  <c r="J7" i="9"/>
  <c r="L7" i="9" s="1"/>
  <c r="P7" i="9" s="1"/>
  <c r="I7" i="9"/>
  <c r="G7" i="9"/>
  <c r="J5" i="9"/>
  <c r="I5" i="9"/>
  <c r="G5" i="9"/>
  <c r="J4" i="9"/>
  <c r="L4" i="9" s="1"/>
  <c r="P4" i="9" s="1"/>
  <c r="I4" i="9"/>
  <c r="G4" i="9"/>
  <c r="J3" i="9"/>
  <c r="I3" i="9"/>
  <c r="G3" i="9"/>
  <c r="J2" i="9"/>
  <c r="K2" i="9" s="1"/>
  <c r="L2" i="9" s="1"/>
  <c r="P2" i="9" s="1"/>
  <c r="I2" i="9"/>
  <c r="G2" i="9"/>
  <c r="L11" i="9" l="1"/>
  <c r="P11" i="9" s="1"/>
  <c r="L3" i="9"/>
  <c r="P3" i="9" s="1"/>
  <c r="L20" i="9"/>
  <c r="P20" i="9" s="1"/>
  <c r="L21" i="9"/>
  <c r="P21" i="9" s="1"/>
  <c r="L9" i="9"/>
  <c r="P9" i="9" s="1"/>
  <c r="L8" i="9"/>
  <c r="P8" i="9" s="1"/>
  <c r="L14" i="9"/>
  <c r="P14" i="9" s="1"/>
  <c r="L22" i="9"/>
  <c r="P22" i="9" s="1"/>
  <c r="L6" i="9"/>
  <c r="P6" i="9" s="1"/>
  <c r="L5" i="9"/>
  <c r="P5" i="9" s="1"/>
  <c r="L15" i="9"/>
  <c r="P15" i="9" s="1"/>
  <c r="L18" i="9"/>
  <c r="P18" i="9" s="1"/>
  <c r="K17" i="8"/>
  <c r="K18" i="8"/>
  <c r="G12" i="3"/>
  <c r="K11" i="8"/>
  <c r="P8" i="8"/>
  <c r="G13" i="3"/>
  <c r="G3" i="3"/>
  <c r="G4" i="3"/>
  <c r="G5" i="3"/>
  <c r="G6" i="3"/>
  <c r="G7" i="3"/>
  <c r="G8" i="3"/>
  <c r="G9" i="3"/>
  <c r="G10" i="3"/>
  <c r="G11" i="3"/>
  <c r="G2" i="3"/>
  <c r="J13" i="8"/>
  <c r="I13" i="8"/>
  <c r="G13" i="8"/>
  <c r="K13" i="8" s="1"/>
  <c r="J20" i="8"/>
  <c r="I20" i="8"/>
  <c r="G20" i="8"/>
  <c r="J19" i="8"/>
  <c r="K19" i="8" s="1"/>
  <c r="L19" i="8" s="1"/>
  <c r="P19" i="8" s="1"/>
  <c r="I19" i="8"/>
  <c r="G19" i="8"/>
  <c r="J18" i="8"/>
  <c r="I18" i="8"/>
  <c r="G18" i="8"/>
  <c r="J17" i="8"/>
  <c r="I17" i="8"/>
  <c r="G17" i="8"/>
  <c r="J16" i="8"/>
  <c r="I16" i="8"/>
  <c r="G16" i="8"/>
  <c r="J15" i="8"/>
  <c r="I15" i="8"/>
  <c r="G15" i="8"/>
  <c r="J14" i="8"/>
  <c r="I14" i="8"/>
  <c r="G14" i="8"/>
  <c r="J12" i="8"/>
  <c r="K12" i="8" s="1"/>
  <c r="L12" i="8" s="1"/>
  <c r="P12" i="8" s="1"/>
  <c r="I12" i="8"/>
  <c r="G12" i="8"/>
  <c r="J11" i="8"/>
  <c r="I11" i="8"/>
  <c r="G11" i="8"/>
  <c r="J10" i="8"/>
  <c r="K10" i="8" s="1"/>
  <c r="L10" i="8" s="1"/>
  <c r="P10" i="8" s="1"/>
  <c r="I10" i="8"/>
  <c r="G10" i="8"/>
  <c r="J9" i="8"/>
  <c r="K9" i="8" s="1"/>
  <c r="I9" i="8"/>
  <c r="G9" i="8"/>
  <c r="J8" i="8"/>
  <c r="K8" i="8" s="1"/>
  <c r="L8" i="8" s="1"/>
  <c r="I8" i="8"/>
  <c r="G8" i="8"/>
  <c r="J7" i="8"/>
  <c r="I7" i="8"/>
  <c r="G7" i="8"/>
  <c r="K7" i="8" s="1"/>
  <c r="J6" i="8"/>
  <c r="K6" i="8" s="1"/>
  <c r="L6" i="8" s="1"/>
  <c r="P6" i="8" s="1"/>
  <c r="I6" i="8"/>
  <c r="G6" i="8"/>
  <c r="J5" i="8"/>
  <c r="I5" i="8"/>
  <c r="G5" i="8"/>
  <c r="J4" i="8"/>
  <c r="K4" i="8" s="1"/>
  <c r="L4" i="8" s="1"/>
  <c r="P4" i="8" s="1"/>
  <c r="I4" i="8"/>
  <c r="G4" i="8"/>
  <c r="J3" i="8"/>
  <c r="K3" i="8" s="1"/>
  <c r="I3" i="8"/>
  <c r="G3" i="8"/>
  <c r="J2" i="8"/>
  <c r="K2" i="8" s="1"/>
  <c r="L2" i="8" s="1"/>
  <c r="P2" i="8" s="1"/>
  <c r="I2" i="8"/>
  <c r="G2" i="8"/>
  <c r="L19" i="4"/>
  <c r="L14" i="4"/>
  <c r="L15" i="4"/>
  <c r="L16" i="4"/>
  <c r="L17" i="4"/>
  <c r="L13" i="4"/>
  <c r="L11" i="4"/>
  <c r="L9" i="4"/>
  <c r="L2" i="4"/>
  <c r="L3" i="4"/>
  <c r="L4" i="4"/>
  <c r="L5" i="4"/>
  <c r="L6" i="4"/>
  <c r="L7" i="4"/>
  <c r="L8" i="4"/>
  <c r="L10" i="4"/>
  <c r="L12" i="4"/>
  <c r="L18" i="4"/>
  <c r="C13" i="2"/>
  <c r="C16" i="2"/>
  <c r="E16" i="2" s="1"/>
  <c r="C17" i="2"/>
  <c r="M4" i="4"/>
  <c r="Q4" i="4" s="1"/>
  <c r="K4" i="4"/>
  <c r="J4" i="4"/>
  <c r="H4" i="4"/>
  <c r="L13" i="8" l="1"/>
  <c r="P13" i="8" s="1"/>
  <c r="L17" i="8"/>
  <c r="P17" i="8" s="1"/>
  <c r="K5" i="8"/>
  <c r="L5" i="8" s="1"/>
  <c r="P5" i="8" s="1"/>
  <c r="K14" i="8"/>
  <c r="L14" i="8" s="1"/>
  <c r="P14" i="8" s="1"/>
  <c r="L7" i="8"/>
  <c r="P7" i="8" s="1"/>
  <c r="K15" i="8"/>
  <c r="L15" i="8" s="1"/>
  <c r="P15" i="8" s="1"/>
  <c r="K16" i="8"/>
  <c r="L16" i="8" s="1"/>
  <c r="P16" i="8" s="1"/>
  <c r="K20" i="8"/>
  <c r="L20" i="8" s="1"/>
  <c r="P20" i="8" s="1"/>
  <c r="L9" i="8"/>
  <c r="P9" i="8" s="1"/>
  <c r="L3" i="8"/>
  <c r="P3" i="8" s="1"/>
  <c r="L11" i="8"/>
  <c r="P11" i="8" s="1"/>
  <c r="L18" i="8"/>
  <c r="P18" i="8" s="1"/>
  <c r="H10" i="4"/>
  <c r="J10" i="4"/>
  <c r="K10" i="4"/>
  <c r="M10" i="4" s="1"/>
  <c r="K2" i="4"/>
  <c r="M2" i="4" s="1"/>
  <c r="Q2" i="4" s="1"/>
  <c r="K3" i="4"/>
  <c r="M3" i="4" s="1"/>
  <c r="Q3" i="4" s="1"/>
  <c r="K5" i="4"/>
  <c r="M5" i="4" s="1"/>
  <c r="Q5" i="4" s="1"/>
  <c r="K6" i="4"/>
  <c r="M6" i="4" s="1"/>
  <c r="Q6" i="4" s="1"/>
  <c r="K7" i="4"/>
  <c r="M7" i="4" s="1"/>
  <c r="K8" i="4"/>
  <c r="K9" i="4"/>
  <c r="M9" i="4" s="1"/>
  <c r="K11" i="4"/>
  <c r="M11" i="4" s="1"/>
  <c r="K12" i="4"/>
  <c r="M12" i="4" s="1"/>
  <c r="K13" i="4"/>
  <c r="K14" i="4"/>
  <c r="M14" i="4" s="1"/>
  <c r="K15" i="4"/>
  <c r="M15" i="4" s="1"/>
  <c r="K16" i="4"/>
  <c r="M16" i="4" s="1"/>
  <c r="K17" i="4"/>
  <c r="M17" i="4" s="1"/>
  <c r="Q17" i="4" s="1"/>
  <c r="K18" i="4"/>
  <c r="M18" i="4" s="1"/>
  <c r="Q18" i="4" s="1"/>
  <c r="K19" i="4"/>
  <c r="M19" i="4" s="1"/>
  <c r="Q19" i="4" s="1"/>
  <c r="J2" i="4"/>
  <c r="J3" i="4"/>
  <c r="J5" i="4"/>
  <c r="J6" i="4"/>
  <c r="J7" i="4"/>
  <c r="J8" i="4"/>
  <c r="J9" i="4"/>
  <c r="J11" i="4"/>
  <c r="J12" i="4"/>
  <c r="J13" i="4"/>
  <c r="J14" i="4"/>
  <c r="J15" i="4"/>
  <c r="J16" i="4"/>
  <c r="J17" i="4"/>
  <c r="J18" i="4"/>
  <c r="J19" i="4"/>
  <c r="H2" i="4"/>
  <c r="H3" i="4"/>
  <c r="H5" i="4"/>
  <c r="H6" i="4"/>
  <c r="H7" i="4"/>
  <c r="H8" i="4"/>
  <c r="H9" i="4"/>
  <c r="H11" i="4"/>
  <c r="H12" i="4"/>
  <c r="H13" i="4"/>
  <c r="H14" i="4"/>
  <c r="H15" i="4"/>
  <c r="H16" i="4"/>
  <c r="H17" i="4"/>
  <c r="H18" i="4"/>
  <c r="H19" i="4"/>
  <c r="M8" i="4" l="1"/>
  <c r="Q8" i="4" s="1"/>
  <c r="M13" i="4"/>
  <c r="Q13" i="4" s="1"/>
  <c r="Q14" i="4"/>
  <c r="Q10" i="4"/>
  <c r="Q9" i="4"/>
  <c r="Q16" i="4"/>
  <c r="Q12" i="4"/>
  <c r="Q7" i="4"/>
  <c r="Q15" i="4"/>
  <c r="Q11" i="4"/>
  <c r="D2" i="1"/>
  <c r="F2" i="1" s="1"/>
  <c r="D3" i="2" l="1"/>
  <c r="D4" i="2"/>
  <c r="D5" i="2"/>
  <c r="D6" i="2"/>
  <c r="D7" i="2"/>
  <c r="D8" i="2"/>
  <c r="D9" i="2"/>
  <c r="D10" i="2"/>
  <c r="D2" i="2"/>
  <c r="D5" i="1"/>
  <c r="F5" i="1" s="1"/>
  <c r="D4" i="1"/>
  <c r="F4" i="1" s="1"/>
  <c r="D3" i="1"/>
  <c r="F3" i="1" l="1"/>
  <c r="F6" i="1" s="1"/>
</calcChain>
</file>

<file path=xl/sharedStrings.xml><?xml version="1.0" encoding="utf-8"?>
<sst xmlns="http://schemas.openxmlformats.org/spreadsheetml/2006/main" count="316" uniqueCount="124">
  <si>
    <t xml:space="preserve">Infantry member </t>
  </si>
  <si>
    <t>Time Period in months</t>
  </si>
  <si>
    <t>Cavalry member</t>
  </si>
  <si>
    <t>Ship</t>
  </si>
  <si>
    <t>Maintaince Cost</t>
  </si>
  <si>
    <t>Soldiers to be hired</t>
  </si>
  <si>
    <t>Army Cost in talents</t>
  </si>
  <si>
    <t>Total</t>
  </si>
  <si>
    <t>Location</t>
  </si>
  <si>
    <t>Owner</t>
  </si>
  <si>
    <t>Total Value in Talents</t>
  </si>
  <si>
    <t>Athens</t>
  </si>
  <si>
    <t>Harpalus</t>
  </si>
  <si>
    <t>Persepolis</t>
  </si>
  <si>
    <t xml:space="preserve">Sardis </t>
  </si>
  <si>
    <t>Krateros</t>
  </si>
  <si>
    <t>Babylon</t>
  </si>
  <si>
    <t>Bactria</t>
  </si>
  <si>
    <t>Pella</t>
  </si>
  <si>
    <t>Antipater</t>
  </si>
  <si>
    <t>Infantry</t>
  </si>
  <si>
    <t>Cavalry</t>
  </si>
  <si>
    <t>Ships</t>
  </si>
  <si>
    <t>Commander</t>
  </si>
  <si>
    <t>Antigonos</t>
  </si>
  <si>
    <t>Kilikia</t>
  </si>
  <si>
    <t>Kelania</t>
  </si>
  <si>
    <t>Total Value in Drachms</t>
  </si>
  <si>
    <t>Cost in Drachms per month</t>
  </si>
  <si>
    <t>Cost in Talents per month</t>
  </si>
  <si>
    <t>Peukestas</t>
  </si>
  <si>
    <t>Archers/Slingers</t>
  </si>
  <si>
    <t>Archer</t>
  </si>
  <si>
    <t>Region</t>
  </si>
  <si>
    <t>Population</t>
  </si>
  <si>
    <t>Low Grain Harvest</t>
  </si>
  <si>
    <t>Normal Grain Harvest</t>
  </si>
  <si>
    <t>High Grain Harvest</t>
  </si>
  <si>
    <t>Required Grain</t>
  </si>
  <si>
    <t>Macedonia</t>
  </si>
  <si>
    <t xml:space="preserve">Top 3 trade resources </t>
  </si>
  <si>
    <t>timber, gold, silver</t>
  </si>
  <si>
    <t>Thrace</t>
  </si>
  <si>
    <t>gold, tin, silver</t>
  </si>
  <si>
    <t>Mysia</t>
  </si>
  <si>
    <t>Phrygia</t>
  </si>
  <si>
    <t>Lydia</t>
  </si>
  <si>
    <t>Syria</t>
  </si>
  <si>
    <t>Egypt</t>
  </si>
  <si>
    <t>Mesopotamia</t>
  </si>
  <si>
    <t>Babylonia</t>
  </si>
  <si>
    <t>Media</t>
  </si>
  <si>
    <t>Ionia</t>
  </si>
  <si>
    <t>Paphlogonia</t>
  </si>
  <si>
    <t>grain, produce, papyrus, gems</t>
  </si>
  <si>
    <t>Potential Troop levy</t>
  </si>
  <si>
    <t>horses, salt</t>
  </si>
  <si>
    <t>grain, horses, gold</t>
  </si>
  <si>
    <t>Suplus Grain</t>
  </si>
  <si>
    <t>Tax Income in Talents</t>
  </si>
  <si>
    <t>Trade Income</t>
  </si>
  <si>
    <t>Revenue - Expenses</t>
  </si>
  <si>
    <t>Satrap</t>
  </si>
  <si>
    <t>Army Costs</t>
  </si>
  <si>
    <t>Other Expenditure</t>
  </si>
  <si>
    <t>Garrisoned Soldier Cost</t>
  </si>
  <si>
    <t>Garrison Size</t>
  </si>
  <si>
    <t>Capadocia</t>
  </si>
  <si>
    <t>Parthia + Aria</t>
  </si>
  <si>
    <t>Bactria + Sogdiane</t>
  </si>
  <si>
    <t>Persis+ Drangiane</t>
  </si>
  <si>
    <t>Dark Blue</t>
  </si>
  <si>
    <t>Red</t>
  </si>
  <si>
    <t>Green</t>
  </si>
  <si>
    <t>Orange</t>
  </si>
  <si>
    <t>Yellow</t>
  </si>
  <si>
    <t>Purple</t>
  </si>
  <si>
    <t>Light Blue</t>
  </si>
  <si>
    <t>10 talents</t>
  </si>
  <si>
    <t>50 talents</t>
  </si>
  <si>
    <t>100 talents</t>
  </si>
  <si>
    <t>250 talents</t>
  </si>
  <si>
    <t>500 talents</t>
  </si>
  <si>
    <t>750 talents</t>
  </si>
  <si>
    <t>1000 talents</t>
  </si>
  <si>
    <t>grain, dates, salt</t>
  </si>
  <si>
    <t>timber, dyes</t>
  </si>
  <si>
    <t>timber</t>
  </si>
  <si>
    <t>grain</t>
  </si>
  <si>
    <t>gold</t>
  </si>
  <si>
    <t>produce</t>
  </si>
  <si>
    <t>tin</t>
  </si>
  <si>
    <t>grain, gold</t>
  </si>
  <si>
    <t>fish</t>
  </si>
  <si>
    <t>Greece</t>
  </si>
  <si>
    <t>Harpalos</t>
  </si>
  <si>
    <t>Ptolemy</t>
  </si>
  <si>
    <t>Peithon</t>
  </si>
  <si>
    <t>Lysimachos</t>
  </si>
  <si>
    <t>Eumenes</t>
  </si>
  <si>
    <t>Nearchos</t>
  </si>
  <si>
    <t>Kassander</t>
  </si>
  <si>
    <t>Alexandria</t>
  </si>
  <si>
    <t>Meleagros</t>
  </si>
  <si>
    <t>Krateros/Nearchos</t>
  </si>
  <si>
    <t>Cyrene</t>
  </si>
  <si>
    <t>Macedon</t>
  </si>
  <si>
    <t>Perdiccas</t>
  </si>
  <si>
    <t>Sardis</t>
  </si>
  <si>
    <t>Peukestas/Lysimachos</t>
  </si>
  <si>
    <t>Seleukos</t>
  </si>
  <si>
    <t>Eumenes/Antigonos</t>
  </si>
  <si>
    <t>Trade Details</t>
  </si>
  <si>
    <t xml:space="preserve">Babylon </t>
  </si>
  <si>
    <t>Persis</t>
  </si>
  <si>
    <t>Black sea tax</t>
  </si>
  <si>
    <t>20 talents</t>
  </si>
  <si>
    <t>Smyrna</t>
  </si>
  <si>
    <t>Egyptian grain tax</t>
  </si>
  <si>
    <t>273 talents</t>
  </si>
  <si>
    <t>Bosphorus</t>
  </si>
  <si>
    <t>Koile Syria</t>
  </si>
  <si>
    <t>Tax on persian tribes</t>
  </si>
  <si>
    <t>Cost per year in Talents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</si>
</sst>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373A3C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4" fontId="0" fillId="0" borderId="0" xfId="0" applyNumberFormat="1"/>
    <xf numFmtId="1" fontId="0" fillId="0" borderId="0" xfId="0" applyNumberFormat="1"/>
    <xf numFmtId="3" fontId="0" fillId="2" borderId="0" xfId="0" applyNumberFormat="1" applyFill="1"/>
    <xf numFmtId="3" fontId="0" fillId="0" borderId="0" xfId="0" applyNumberFormat="1" applyFill="1"/>
  </cellXfs>
  <cellStyles count="1">
    <cellStyle name="Normal" xfId="0" builtinId="0"/>
  </cellStyles>
  <dxfs count="21"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" formatCode="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Q19" totalsRowShown="0">
  <autoFilter ref="A1:Q19"/>
  <tableColumns count="17">
    <tableColumn id="1" name="Region"/>
    <tableColumn id="15" name="Satrap"/>
    <tableColumn id="22" name="Garrison Size"/>
    <tableColumn id="16" name="Garrisoned Soldier Cost"/>
    <tableColumn id="17" name="Army Costs"/>
    <tableColumn id="2" name="Population"/>
    <tableColumn id="4" name="Potential Troop levy"/>
    <tableColumn id="6" name="Low Grain Harvest" dataDxfId="20">
      <calculatedColumnFormula>Table1[[#This Row],[Normal Grain Harvest]]*0.6</calculatedColumnFormula>
    </tableColumn>
    <tableColumn id="7" name="Normal Grain Harvest" dataDxfId="19"/>
    <tableColumn id="8" name="High Grain Harvest" dataDxfId="18">
      <calculatedColumnFormula>Table1[[#This Row],[Normal Grain Harvest]]*1.3</calculatedColumnFormula>
    </tableColumn>
    <tableColumn id="9" name="Required Grain" dataDxfId="17">
      <calculatedColumnFormula>(Table1[[#This Row],[Population]]*365)/1000</calculatedColumnFormula>
    </tableColumn>
    <tableColumn id="14" name="Suplus Grain" dataDxfId="16">
      <calculatedColumnFormula>Table1[[#This Row],[Normal Grain Harvest]]-Table1[[#This Row],[Required Grain]]</calculatedColumnFormula>
    </tableColumn>
    <tableColumn id="10" name="Tax Income in Talents" dataDxfId="15">
      <calculatedColumnFormula>(Table1[[#This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14">
      <calculatedColumnFormula>(Table1[[#This Row],[Tax Income in Talents]]+Table1[[#This Row],[Trade Income]]-Table1[[#This Row],[Army Costs]]-Table1[[#This Row],[Other Expenditure]]-Table1[[#This Row],[Garrisoned Soldier Cost]])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P20" totalsRowShown="0">
  <autoFilter ref="A1:P20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13">
      <calculatedColumnFormula>Table13[[#This Row],[Normal Grain Harvest]]*0.6</calculatedColumnFormula>
    </tableColumn>
    <tableColumn id="7" name="Normal Grain Harvest" dataDxfId="12"/>
    <tableColumn id="8" name="High Grain Harvest" dataDxfId="11">
      <calculatedColumnFormula>Table13[[#This Row],[Normal Grain Harvest]]*1.3</calculatedColumnFormula>
    </tableColumn>
    <tableColumn id="9" name="Required Grain" dataDxfId="10">
      <calculatedColumnFormula>(Table13[[#This Row],[Population]]*365)/1000</calculatedColumnFormula>
    </tableColumn>
    <tableColumn id="14" name="Suplus Grain" dataDxfId="9">
      <calculatedColumnFormula>Table13[[#This Row],[Normal Grain Harvest]]-Table13[[#This Row],[Required Grain]]</calculatedColumnFormula>
    </tableColumn>
    <tableColumn id="10" name="Tax Income in Talents" dataDxfId="8">
      <calculatedColumnFormula>(Table13[[#This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7">
      <calculatedColumnFormula>(Table13[[#This Row],[Tax Income in Talents]]+Table13[[#This Row],[Trade Income]]-Table13[[#This Row],[Other Expenditure]]-Table13[[#This Row],[Garrisoned Soldier Cost]])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134" displayName="Table134" ref="A1:P22" totalsRowShown="0">
  <autoFilter ref="A1:P22"/>
  <tableColumns count="16">
    <tableColumn id="1" name="Region"/>
    <tableColumn id="15" name="Satrap"/>
    <tableColumn id="22" name="Garrison Size"/>
    <tableColumn id="16" name="Garrisoned Soldier Cost"/>
    <tableColumn id="2" name="Population"/>
    <tableColumn id="4" name="Potential Troop levy"/>
    <tableColumn id="6" name="Low Grain Harvest" dataDxfId="6">
      <calculatedColumnFormula>Table134[[#This Row],[Normal Grain Harvest]]*0.6</calculatedColumnFormula>
    </tableColumn>
    <tableColumn id="7" name="Normal Grain Harvest" dataDxfId="5"/>
    <tableColumn id="8" name="High Grain Harvest" dataDxfId="4">
      <calculatedColumnFormula>Table134[[#This Row],[Normal Grain Harvest]]*1.3</calculatedColumnFormula>
    </tableColumn>
    <tableColumn id="9" name="Required Grain" dataDxfId="3">
      <calculatedColumnFormula>(Table134[[#This Row],[Population]]*365)/1000</calculatedColumnFormula>
    </tableColumn>
    <tableColumn id="14" name="Suplus Grain" dataDxfId="2">
      <calculatedColumnFormula>Table134[[#This Row],[Normal Grain Harvest]]-Table134[[#This Row],[Required Grain]]</calculatedColumnFormula>
    </tableColumn>
    <tableColumn id="10" name="Tax Income in Talents" dataDxfId="1">
      <calculatedColumnFormula>(Table134[[#This Row],[Suplus Grain]]/2)/2000</calculatedColumnFormula>
    </tableColumn>
    <tableColumn id="11" name="Top 3 trade resources "/>
    <tableColumn id="12" name="Trade Income"/>
    <tableColumn id="21" name="Other Expenditure"/>
    <tableColumn id="13" name="Revenue - Expenses" dataDxfId="0">
      <calculatedColumnFormula>(Table134[[#This Row],[Tax Income in Talents]]+Table134[[#This Row],[Trade Income]]-Table134[[#This Row],[Other Expenditure]]-Table134[[#This Row],[Garrisoned Soldier Cost]])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G11" sqref="G11"/>
    </sheetView>
  </sheetViews>
  <sheetFormatPr defaultRowHeight="15" x14ac:dyDescent="0.25"/>
  <cols>
    <col min="1" max="1" width="17.28515625" customWidth="1"/>
    <col min="2" max="2" width="16.5703125" customWidth="1"/>
    <col min="3" max="3" width="17.85546875" customWidth="1"/>
    <col min="4" max="4" width="18.5703125" customWidth="1"/>
    <col min="5" max="5" width="12.85546875" customWidth="1"/>
    <col min="6" max="6" width="9.140625" customWidth="1"/>
  </cols>
  <sheetData>
    <row r="1" spans="1:6" x14ac:dyDescent="0.25">
      <c r="A1" t="s">
        <v>4</v>
      </c>
      <c r="B1" t="s">
        <v>1</v>
      </c>
      <c r="C1" t="s">
        <v>28</v>
      </c>
      <c r="D1" t="s">
        <v>29</v>
      </c>
      <c r="E1" t="s">
        <v>5</v>
      </c>
      <c r="F1" t="s">
        <v>6</v>
      </c>
    </row>
    <row r="2" spans="1:6" x14ac:dyDescent="0.25">
      <c r="A2" t="s">
        <v>32</v>
      </c>
      <c r="B2">
        <v>12</v>
      </c>
      <c r="C2">
        <v>150</v>
      </c>
      <c r="D2">
        <f>(C2/6000)*B2</f>
        <v>0.30000000000000004</v>
      </c>
      <c r="E2" s="1">
        <v>1000</v>
      </c>
      <c r="F2">
        <f>E2*D2</f>
        <v>300.00000000000006</v>
      </c>
    </row>
    <row r="3" spans="1:6" x14ac:dyDescent="0.25">
      <c r="A3" t="s">
        <v>0</v>
      </c>
      <c r="B3">
        <v>12</v>
      </c>
      <c r="C3">
        <v>250</v>
      </c>
      <c r="D3">
        <f>(C3/6000)*B3</f>
        <v>0.5</v>
      </c>
      <c r="E3" s="1">
        <v>200</v>
      </c>
      <c r="F3">
        <f>E3*D3</f>
        <v>100</v>
      </c>
    </row>
    <row r="4" spans="1:6" x14ac:dyDescent="0.25">
      <c r="A4" t="s">
        <v>2</v>
      </c>
      <c r="B4">
        <v>12</v>
      </c>
      <c r="C4">
        <v>500</v>
      </c>
      <c r="D4">
        <f>(C4/6000)*B4</f>
        <v>1</v>
      </c>
      <c r="F4">
        <f t="shared" ref="F4:F5" si="0">E4*D4</f>
        <v>0</v>
      </c>
    </row>
    <row r="5" spans="1:6" x14ac:dyDescent="0.25">
      <c r="A5" t="s">
        <v>3</v>
      </c>
      <c r="B5">
        <v>12</v>
      </c>
      <c r="C5">
        <v>6000</v>
      </c>
      <c r="D5">
        <f>(C5/6000)*B5</f>
        <v>12</v>
      </c>
      <c r="F5">
        <f t="shared" si="0"/>
        <v>0</v>
      </c>
    </row>
    <row r="6" spans="1:6" x14ac:dyDescent="0.25">
      <c r="A6" t="s">
        <v>7</v>
      </c>
      <c r="F6">
        <f>SUM(F2:F5)</f>
        <v>400.00000000000006</v>
      </c>
    </row>
    <row r="19" spans="5:6" x14ac:dyDescent="0.25">
      <c r="E19" s="1"/>
      <c r="F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D13" sqref="D13"/>
    </sheetView>
  </sheetViews>
  <sheetFormatPr defaultRowHeight="15" x14ac:dyDescent="0.25"/>
  <sheetData>
    <row r="1" spans="1:2" x14ac:dyDescent="0.25">
      <c r="A1" t="s">
        <v>78</v>
      </c>
      <c r="B1" t="s">
        <v>77</v>
      </c>
    </row>
    <row r="2" spans="1:2" x14ac:dyDescent="0.25">
      <c r="A2" t="s">
        <v>79</v>
      </c>
      <c r="B2" t="s">
        <v>76</v>
      </c>
    </row>
    <row r="3" spans="1:2" x14ac:dyDescent="0.25">
      <c r="A3" t="s">
        <v>80</v>
      </c>
      <c r="B3" t="s">
        <v>75</v>
      </c>
    </row>
    <row r="4" spans="1:2" x14ac:dyDescent="0.25">
      <c r="A4" t="s">
        <v>81</v>
      </c>
      <c r="B4" t="s">
        <v>74</v>
      </c>
    </row>
    <row r="5" spans="1:2" x14ac:dyDescent="0.25">
      <c r="A5" t="s">
        <v>82</v>
      </c>
      <c r="B5" t="s">
        <v>73</v>
      </c>
    </row>
    <row r="6" spans="1:2" x14ac:dyDescent="0.25">
      <c r="A6" t="s">
        <v>83</v>
      </c>
      <c r="B6" t="s">
        <v>72</v>
      </c>
    </row>
    <row r="7" spans="1:2" x14ac:dyDescent="0.25">
      <c r="A7" t="s">
        <v>84</v>
      </c>
      <c r="B7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C10" sqref="C10"/>
    </sheetView>
  </sheetViews>
  <sheetFormatPr defaultRowHeight="15" x14ac:dyDescent="0.25"/>
  <cols>
    <col min="1" max="1" width="10.85546875" customWidth="1"/>
    <col min="2" max="2" width="9.28515625" customWidth="1"/>
    <col min="3" max="3" width="20" customWidth="1"/>
    <col min="4" max="4" width="14.42578125" customWidth="1"/>
  </cols>
  <sheetData>
    <row r="1" spans="1:5" x14ac:dyDescent="0.25">
      <c r="A1" t="s">
        <v>8</v>
      </c>
      <c r="B1" t="s">
        <v>9</v>
      </c>
      <c r="C1" t="s">
        <v>10</v>
      </c>
      <c r="D1" t="s">
        <v>27</v>
      </c>
    </row>
    <row r="2" spans="1:5" x14ac:dyDescent="0.25">
      <c r="A2" t="s">
        <v>11</v>
      </c>
      <c r="B2" t="s">
        <v>12</v>
      </c>
      <c r="C2" s="1"/>
      <c r="D2">
        <f>C2*6000</f>
        <v>0</v>
      </c>
    </row>
    <row r="3" spans="1:5" x14ac:dyDescent="0.25">
      <c r="A3" t="s">
        <v>25</v>
      </c>
      <c r="B3" t="s">
        <v>15</v>
      </c>
      <c r="C3" s="1"/>
      <c r="D3">
        <f t="shared" ref="D3:D10" si="0">C3*6000</f>
        <v>0</v>
      </c>
    </row>
    <row r="4" spans="1:5" x14ac:dyDescent="0.25">
      <c r="A4" t="s">
        <v>13</v>
      </c>
      <c r="B4" t="s">
        <v>30</v>
      </c>
      <c r="C4" s="1"/>
      <c r="D4">
        <f t="shared" si="0"/>
        <v>0</v>
      </c>
    </row>
    <row r="5" spans="1:5" x14ac:dyDescent="0.25">
      <c r="A5" t="s">
        <v>14</v>
      </c>
      <c r="B5" t="s">
        <v>99</v>
      </c>
      <c r="C5" s="1"/>
      <c r="D5">
        <f t="shared" si="0"/>
        <v>0</v>
      </c>
    </row>
    <row r="6" spans="1:5" x14ac:dyDescent="0.25">
      <c r="A6" t="s">
        <v>16</v>
      </c>
      <c r="B6" t="s">
        <v>103</v>
      </c>
      <c r="C6" s="1"/>
      <c r="D6">
        <f t="shared" si="0"/>
        <v>0</v>
      </c>
    </row>
    <row r="7" spans="1:5" x14ac:dyDescent="0.25">
      <c r="A7" t="s">
        <v>17</v>
      </c>
      <c r="B7" t="s">
        <v>98</v>
      </c>
      <c r="C7" s="1"/>
      <c r="D7">
        <f t="shared" si="0"/>
        <v>0</v>
      </c>
    </row>
    <row r="8" spans="1:5" x14ac:dyDescent="0.25">
      <c r="A8" t="s">
        <v>18</v>
      </c>
      <c r="B8" t="s">
        <v>19</v>
      </c>
      <c r="C8" s="1"/>
      <c r="D8">
        <f t="shared" si="0"/>
        <v>0</v>
      </c>
    </row>
    <row r="9" spans="1:5" ht="14.25" customHeight="1" x14ac:dyDescent="0.25">
      <c r="A9" t="s">
        <v>26</v>
      </c>
      <c r="B9" t="s">
        <v>24</v>
      </c>
      <c r="C9" s="1"/>
      <c r="D9">
        <f t="shared" si="0"/>
        <v>0</v>
      </c>
    </row>
    <row r="10" spans="1:5" x14ac:dyDescent="0.25">
      <c r="A10" t="s">
        <v>102</v>
      </c>
      <c r="B10" t="s">
        <v>96</v>
      </c>
      <c r="C10" s="1"/>
      <c r="D10">
        <f t="shared" si="0"/>
        <v>0</v>
      </c>
    </row>
    <row r="11" spans="1:5" x14ac:dyDescent="0.25">
      <c r="C11" s="1"/>
    </row>
    <row r="13" spans="1:5" x14ac:dyDescent="0.25">
      <c r="C13" s="1">
        <f>SUM(C2:C10)</f>
        <v>0</v>
      </c>
      <c r="D13" s="1"/>
    </row>
    <row r="16" spans="1:5" x14ac:dyDescent="0.25">
      <c r="C16">
        <f>90000-36000-21600</f>
        <v>32400</v>
      </c>
      <c r="D16">
        <v>0.6</v>
      </c>
      <c r="E16">
        <f>C16*D16</f>
        <v>19440</v>
      </c>
    </row>
    <row r="17" spans="3:3" x14ac:dyDescent="0.25">
      <c r="C17">
        <f>90000*0.4</f>
        <v>36000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H4" sqref="H4"/>
    </sheetView>
  </sheetViews>
  <sheetFormatPr defaultRowHeight="15" x14ac:dyDescent="0.25"/>
  <cols>
    <col min="2" max="3" width="13.5703125" customWidth="1"/>
  </cols>
  <sheetData>
    <row r="1" spans="1:7" x14ac:dyDescent="0.25">
      <c r="A1" t="s">
        <v>8</v>
      </c>
      <c r="B1" t="s">
        <v>23</v>
      </c>
      <c r="C1" t="s">
        <v>31</v>
      </c>
      <c r="D1" t="s">
        <v>20</v>
      </c>
      <c r="E1" t="s">
        <v>21</v>
      </c>
      <c r="F1" t="s">
        <v>22</v>
      </c>
      <c r="G1" t="s">
        <v>123</v>
      </c>
    </row>
    <row r="2" spans="1:7" x14ac:dyDescent="0.25">
      <c r="A2" t="s">
        <v>25</v>
      </c>
      <c r="B2" t="s">
        <v>24</v>
      </c>
      <c r="D2" s="1"/>
      <c r="E2" s="1">
        <v>1620</v>
      </c>
      <c r="F2">
        <v>0</v>
      </c>
      <c r="G2">
        <f>(D2*'Army Costs'!$D$3)+(E2*'Army Costs'!$D$4)+('Distribution of Troops'!F2*'Army Costs'!$D$5)+(C2*'Army Costs'!$D$2)</f>
        <v>1620</v>
      </c>
    </row>
    <row r="3" spans="1:7" x14ac:dyDescent="0.25">
      <c r="A3" t="s">
        <v>42</v>
      </c>
      <c r="B3" t="s">
        <v>15</v>
      </c>
      <c r="D3" s="1">
        <v>9900</v>
      </c>
      <c r="E3" s="1">
        <v>1485</v>
      </c>
      <c r="F3">
        <v>0</v>
      </c>
      <c r="G3">
        <f>(D3*'Army Costs'!$D$3)+(E3*'Army Costs'!$D$4)+('Distribution of Troops'!F3*'Army Costs'!$D$5)+(C3*'Army Costs'!$D$2)</f>
        <v>6435</v>
      </c>
    </row>
    <row r="4" spans="1:7" x14ac:dyDescent="0.25">
      <c r="A4" t="s">
        <v>106</v>
      </c>
      <c r="B4" t="s">
        <v>19</v>
      </c>
      <c r="D4" s="1">
        <v>17000</v>
      </c>
      <c r="E4" s="1">
        <v>3000</v>
      </c>
      <c r="F4">
        <v>0</v>
      </c>
      <c r="G4">
        <f>(D4*'Army Costs'!$D$3)+(E4*'Army Costs'!$D$4)+('Distribution of Troops'!F4*'Army Costs'!$D$5)+(C4*'Army Costs'!$D$2)</f>
        <v>11500</v>
      </c>
    </row>
    <row r="5" spans="1:7" x14ac:dyDescent="0.25">
      <c r="A5" t="s">
        <v>106</v>
      </c>
      <c r="B5" t="s">
        <v>107</v>
      </c>
      <c r="C5" s="1"/>
      <c r="D5" s="1"/>
      <c r="E5">
        <v>235</v>
      </c>
      <c r="G5">
        <f>(D5*'Army Costs'!$D$3)+(E5*'Army Costs'!$D$4)+('Distribution of Troops'!F5*'Army Costs'!$D$5)+(C5*'Army Costs'!$D$2)</f>
        <v>235</v>
      </c>
    </row>
    <row r="6" spans="1:7" x14ac:dyDescent="0.25">
      <c r="A6" t="s">
        <v>42</v>
      </c>
      <c r="B6" t="s">
        <v>100</v>
      </c>
      <c r="G6">
        <f>(D6*'Army Costs'!$D$3)+(E6*'Army Costs'!$D$4)+('Distribution of Troops'!F6*'Army Costs'!$D$5)+(C6*'Army Costs'!$D$2)</f>
        <v>0</v>
      </c>
    </row>
    <row r="7" spans="1:7" x14ac:dyDescent="0.25">
      <c r="A7" t="s">
        <v>94</v>
      </c>
      <c r="B7" t="s">
        <v>95</v>
      </c>
      <c r="D7" s="1"/>
      <c r="E7" s="1"/>
      <c r="G7">
        <f>(D7*'Army Costs'!$D$3)+(E7*'Army Costs'!$D$4)+('Distribution of Troops'!F7*'Army Costs'!$D$5)+(C7*'Army Costs'!$D$2)</f>
        <v>0</v>
      </c>
    </row>
    <row r="8" spans="1:7" x14ac:dyDescent="0.25">
      <c r="A8" t="s">
        <v>108</v>
      </c>
      <c r="B8" t="s">
        <v>99</v>
      </c>
      <c r="D8" s="1"/>
      <c r="E8" s="1">
        <v>0</v>
      </c>
      <c r="G8">
        <f>(D8*'Army Costs'!$D$3)+(E8*'Army Costs'!$D$4)+('Distribution of Troops'!F8*'Army Costs'!$D$5)+(C8*'Army Costs'!$D$2)</f>
        <v>0</v>
      </c>
    </row>
    <row r="9" spans="1:7" x14ac:dyDescent="0.25">
      <c r="A9" t="s">
        <v>16</v>
      </c>
      <c r="B9" t="s">
        <v>103</v>
      </c>
      <c r="C9">
        <v>2000</v>
      </c>
      <c r="D9" s="1">
        <v>3000</v>
      </c>
      <c r="E9" s="1"/>
      <c r="G9">
        <f>(D9*'Army Costs'!$D$3)+(E9*'Army Costs'!$D$4)+('Distribution of Troops'!F9*'Army Costs'!$D$5)+(C9*'Army Costs'!$D$2)</f>
        <v>2100</v>
      </c>
    </row>
    <row r="10" spans="1:7" x14ac:dyDescent="0.25">
      <c r="A10" t="s">
        <v>51</v>
      </c>
      <c r="B10" t="s">
        <v>97</v>
      </c>
      <c r="E10" s="1"/>
      <c r="G10">
        <f>(D10*'Army Costs'!$D$3)+(E10*'Army Costs'!$D$4)+('Distribution of Troops'!F10*'Army Costs'!$D$5)+(C10*'Army Costs'!$D$2)</f>
        <v>0</v>
      </c>
    </row>
    <row r="11" spans="1:7" x14ac:dyDescent="0.25">
      <c r="A11" t="s">
        <v>17</v>
      </c>
      <c r="B11" t="s">
        <v>109</v>
      </c>
      <c r="C11">
        <v>1000</v>
      </c>
      <c r="D11" s="1">
        <v>1000</v>
      </c>
      <c r="G11">
        <f>(D11*'Army Costs'!$D$3)+(E11*'Army Costs'!$D$4)+('Distribution of Troops'!F11*'Army Costs'!$D$5)+(C11*'Army Costs'!$D$2)</f>
        <v>800</v>
      </c>
    </row>
    <row r="12" spans="1:7" x14ac:dyDescent="0.25">
      <c r="A12" t="s">
        <v>47</v>
      </c>
      <c r="B12" t="s">
        <v>96</v>
      </c>
      <c r="D12" s="1"/>
      <c r="E12" s="1"/>
      <c r="G12">
        <f>(D12*'Army Costs'!$D$3)+(E12*'Army Costs'!$D$4)+('Distribution of Troops'!F12*'Army Costs'!$D$5)+(C12*'Army Costs'!$D$2)</f>
        <v>0</v>
      </c>
    </row>
    <row r="13" spans="1:7" x14ac:dyDescent="0.25">
      <c r="A13" t="s">
        <v>48</v>
      </c>
      <c r="B13" t="s">
        <v>110</v>
      </c>
      <c r="D13" s="1"/>
      <c r="E13" s="1">
        <v>200</v>
      </c>
      <c r="G13">
        <f>(D13*'Army Costs'!$D$3)+(E13*'Army Costs'!$D$4)+('Distribution of Troops'!F13*'Army Costs'!$D$5)+(C13*'Army Costs'!$D$2)</f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zoomScaleNormal="100" workbookViewId="0">
      <pane xSplit="1" topLeftCell="D1" activePane="topRight" state="frozen"/>
      <selection pane="topRight" activeCell="E23" sqref="E23"/>
    </sheetView>
  </sheetViews>
  <sheetFormatPr defaultRowHeight="15" x14ac:dyDescent="0.25"/>
  <cols>
    <col min="1" max="5" width="17.7109375" customWidth="1"/>
    <col min="6" max="6" width="14" customWidth="1"/>
    <col min="7" max="7" width="22.42578125" customWidth="1"/>
    <col min="8" max="8" width="19.42578125" customWidth="1"/>
    <col min="9" max="9" width="20.42578125" customWidth="1"/>
    <col min="10" max="10" width="18" customWidth="1"/>
    <col min="11" max="12" width="14.85546875" customWidth="1"/>
    <col min="13" max="13" width="22.5703125" customWidth="1"/>
    <col min="14" max="14" width="21" customWidth="1"/>
    <col min="15" max="15" width="14.7109375" customWidth="1"/>
    <col min="16" max="16" width="19.28515625" customWidth="1"/>
    <col min="17" max="17" width="16.7109375" customWidth="1"/>
  </cols>
  <sheetData>
    <row r="1" spans="1:17" x14ac:dyDescent="0.25">
      <c r="A1" t="s">
        <v>33</v>
      </c>
      <c r="B1" t="s">
        <v>62</v>
      </c>
      <c r="C1" t="s">
        <v>66</v>
      </c>
      <c r="D1" t="s">
        <v>65</v>
      </c>
      <c r="E1" t="s">
        <v>63</v>
      </c>
      <c r="F1" t="s">
        <v>34</v>
      </c>
      <c r="G1" t="s">
        <v>55</v>
      </c>
      <c r="H1" t="s">
        <v>35</v>
      </c>
      <c r="I1" t="s">
        <v>36</v>
      </c>
      <c r="J1" t="s">
        <v>37</v>
      </c>
      <c r="K1" t="s">
        <v>38</v>
      </c>
      <c r="L1" t="s">
        <v>58</v>
      </c>
      <c r="M1" t="s">
        <v>59</v>
      </c>
      <c r="N1" t="s">
        <v>40</v>
      </c>
      <c r="O1" t="s">
        <v>60</v>
      </c>
      <c r="P1" t="s">
        <v>64</v>
      </c>
      <c r="Q1" t="s">
        <v>61</v>
      </c>
    </row>
    <row r="2" spans="1:17" x14ac:dyDescent="0.25">
      <c r="A2" t="s">
        <v>39</v>
      </c>
      <c r="B2" t="s">
        <v>19</v>
      </c>
      <c r="C2" s="1">
        <v>1000</v>
      </c>
      <c r="D2">
        <v>500</v>
      </c>
      <c r="E2">
        <v>6000</v>
      </c>
      <c r="F2" s="1">
        <v>200000</v>
      </c>
      <c r="G2" s="1">
        <v>12000</v>
      </c>
      <c r="H2" s="1">
        <f>Table1[[#This Row],[Normal Grain Harvest]]*0.6</f>
        <v>1500000</v>
      </c>
      <c r="I2" s="1">
        <v>2500000</v>
      </c>
      <c r="J2" s="1">
        <f>Table1[[#This Row],[Normal Grain Harvest]]*1.3</f>
        <v>3250000</v>
      </c>
      <c r="K2" s="1">
        <f>(Table1[[#This Row],[Population]]*365)/1000</f>
        <v>73000</v>
      </c>
      <c r="L2" s="1">
        <f>Table1[[#This Row],[Normal Grain Harvest]]-Table1[[#This Row],[Required Grain]]</f>
        <v>2427000</v>
      </c>
      <c r="M2" s="3">
        <f>(Table1[[#This Row],[Suplus Grain]]/2)/2000</f>
        <v>606.75</v>
      </c>
      <c r="N2" t="s">
        <v>41</v>
      </c>
      <c r="Q2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3" spans="1:17" x14ac:dyDescent="0.25">
      <c r="A3" t="s">
        <v>42</v>
      </c>
      <c r="B3" t="s">
        <v>104</v>
      </c>
      <c r="C3" s="1">
        <v>1000</v>
      </c>
      <c r="D3">
        <v>500</v>
      </c>
      <c r="E3">
        <v>5750</v>
      </c>
      <c r="F3" s="1">
        <v>200000</v>
      </c>
      <c r="G3">
        <v>7000</v>
      </c>
      <c r="H3" s="1">
        <f>Table1[[#This Row],[Normal Grain Harvest]]*0.6</f>
        <v>1500000</v>
      </c>
      <c r="I3" s="1">
        <v>2500000</v>
      </c>
      <c r="J3" s="1">
        <f>Table1[[#This Row],[Normal Grain Harvest]]*1.3</f>
        <v>3250000</v>
      </c>
      <c r="K3" s="1">
        <f>(Table1[[#This Row],[Population]]*365)/1000</f>
        <v>73000</v>
      </c>
      <c r="L3" s="1">
        <f>Table1[[#This Row],[Low Grain Harvest]]-Table1[[#This Row],[Required Grain]]</f>
        <v>1427000</v>
      </c>
      <c r="M3" s="3">
        <f>(Table1[[#This Row],[Suplus Grain]]/2)/2000</f>
        <v>356.75</v>
      </c>
      <c r="N3" t="s">
        <v>43</v>
      </c>
      <c r="Q3" s="4">
        <f>(Table1[[#This Row],[Tax Income in Talents]]+Table1[[#This Row],[Trade Income]]-Table1[[#This Row],[Army Costs]]-Table1[[#This Row],[Other Expenditure]]-Table1[[#This Row],[Garrisoned Soldier Cost]])</f>
        <v>-5893.25</v>
      </c>
    </row>
    <row r="4" spans="1:17" x14ac:dyDescent="0.25">
      <c r="A4" t="s">
        <v>53</v>
      </c>
      <c r="C4" s="1">
        <v>3000</v>
      </c>
      <c r="D4">
        <v>1500</v>
      </c>
      <c r="F4" s="1">
        <v>500000</v>
      </c>
      <c r="G4" s="1">
        <v>15000</v>
      </c>
      <c r="H4" s="1">
        <f>Table1[[#This Row],[Normal Grain Harvest]]*0.6</f>
        <v>4050000</v>
      </c>
      <c r="I4" s="1">
        <v>6750000</v>
      </c>
      <c r="J4" s="1">
        <f>Table1[[#This Row],[Normal Grain Harvest]]*1.3</f>
        <v>8775000</v>
      </c>
      <c r="K4" s="1">
        <f>(Table1[[#This Row],[Population]]*365)/1000</f>
        <v>182500</v>
      </c>
      <c r="L4" s="1">
        <f>Table1[[#This Row],[Normal Grain Harvest]]-Table1[[#This Row],[Required Grain]]</f>
        <v>6567500</v>
      </c>
      <c r="M4" s="3">
        <f>(Table1[[#This Row],[Suplus Grain]]/2)/2000</f>
        <v>1641.875</v>
      </c>
      <c r="N4" t="s">
        <v>93</v>
      </c>
      <c r="Q4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5" spans="1:17" x14ac:dyDescent="0.25">
      <c r="A5" t="s">
        <v>94</v>
      </c>
      <c r="B5" t="s">
        <v>95</v>
      </c>
      <c r="C5" s="1">
        <v>3000</v>
      </c>
      <c r="D5">
        <v>1500</v>
      </c>
      <c r="E5">
        <v>7500</v>
      </c>
      <c r="F5" s="1">
        <v>500000</v>
      </c>
      <c r="G5" s="1">
        <v>15000</v>
      </c>
      <c r="H5" s="1">
        <f>Table1[[#This Row],[Normal Grain Harvest]]*0.6</f>
        <v>4050000</v>
      </c>
      <c r="I5" s="1">
        <v>6750000</v>
      </c>
      <c r="J5" s="1">
        <f>Table1[[#This Row],[Normal Grain Harvest]]*1.3</f>
        <v>8775000</v>
      </c>
      <c r="K5" s="1">
        <f>(Table1[[#This Row],[Population]]*365)/1000</f>
        <v>182500</v>
      </c>
      <c r="L5" s="1">
        <f>Table1[[#This Row],[Normal Grain Harvest]]-Table1[[#This Row],[Required Grain]]</f>
        <v>6567500</v>
      </c>
      <c r="M5" s="3">
        <f>(Table1[[#This Row],[Suplus Grain]]/2)/2000</f>
        <v>1641.875</v>
      </c>
      <c r="N5" t="s">
        <v>93</v>
      </c>
      <c r="Q5" s="4">
        <f>(Table1[[#This Row],[Tax Income in Talents]]+Table1[[#This Row],[Trade Income]]-Table1[[#This Row],[Army Costs]]-Table1[[#This Row],[Other Expenditure]]-Table1[[#This Row],[Garrisoned Soldier Cost]])</f>
        <v>-7358.125</v>
      </c>
    </row>
    <row r="6" spans="1:17" x14ac:dyDescent="0.25">
      <c r="A6" t="s">
        <v>52</v>
      </c>
      <c r="B6" t="s">
        <v>100</v>
      </c>
      <c r="C6" s="1">
        <v>3000</v>
      </c>
      <c r="D6">
        <v>1500</v>
      </c>
      <c r="F6" s="1">
        <v>500000</v>
      </c>
      <c r="G6" s="1">
        <v>13000</v>
      </c>
      <c r="H6" s="1">
        <f>Table1[[#This Row],[Normal Grain Harvest]]*0.6</f>
        <v>4050000</v>
      </c>
      <c r="I6" s="1">
        <v>6750000</v>
      </c>
      <c r="J6" s="1">
        <f>Table1[[#This Row],[Normal Grain Harvest]]*1.3</f>
        <v>8775000</v>
      </c>
      <c r="K6" s="1">
        <f>(Table1[[#This Row],[Population]]*365)/1000</f>
        <v>182500</v>
      </c>
      <c r="L6" s="1">
        <f>Table1[[#This Row],[Normal Grain Harvest]]-Table1[[#This Row],[Required Grain]]</f>
        <v>6567500</v>
      </c>
      <c r="M6" s="3">
        <f>(Table1[[#This Row],[Suplus Grain]]/2)/2000</f>
        <v>1641.875</v>
      </c>
      <c r="N6" t="s">
        <v>93</v>
      </c>
      <c r="Q6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7" spans="1:17" x14ac:dyDescent="0.25">
      <c r="A7" t="s">
        <v>44</v>
      </c>
      <c r="C7" s="1">
        <v>3000</v>
      </c>
      <c r="D7">
        <v>1500</v>
      </c>
      <c r="F7" s="1">
        <v>500000</v>
      </c>
      <c r="G7" s="1">
        <v>10000</v>
      </c>
      <c r="H7" s="1">
        <f>Table1[[#This Row],[Normal Grain Harvest]]*0.6</f>
        <v>4050000</v>
      </c>
      <c r="I7" s="1">
        <v>6750000</v>
      </c>
      <c r="J7" s="1">
        <f>Table1[[#This Row],[Normal Grain Harvest]]*1.3</f>
        <v>8775000</v>
      </c>
      <c r="K7" s="1">
        <f>(Table1[[#This Row],[Population]]*365)/1000</f>
        <v>182500</v>
      </c>
      <c r="L7" s="1">
        <f>Table1[[#This Row],[Normal Grain Harvest]]-Table1[[#This Row],[Required Grain]]</f>
        <v>6567500</v>
      </c>
      <c r="M7" s="3">
        <f>(Table1[[#This Row],[Suplus Grain]]/2)/2000</f>
        <v>1641.875</v>
      </c>
      <c r="N7" t="s">
        <v>90</v>
      </c>
      <c r="Q7" s="4">
        <f>(Table1[[#This Row],[Tax Income in Talents]]+Table1[[#This Row],[Trade Income]]-Table1[[#This Row],[Army Costs]]-Table1[[#This Row],[Other Expenditure]]-Table1[[#This Row],[Garrisoned Soldier Cost]])</f>
        <v>141.875</v>
      </c>
    </row>
    <row r="8" spans="1:17" x14ac:dyDescent="0.25">
      <c r="A8" t="s">
        <v>45</v>
      </c>
      <c r="B8" t="s">
        <v>24</v>
      </c>
      <c r="C8" s="1">
        <v>3000</v>
      </c>
      <c r="D8">
        <v>1500</v>
      </c>
      <c r="E8">
        <v>5400</v>
      </c>
      <c r="F8" s="1">
        <v>500000</v>
      </c>
      <c r="G8" s="1">
        <v>20000</v>
      </c>
      <c r="H8" s="1">
        <f>Table1[[#This Row],[Normal Grain Harvest]]*0.6</f>
        <v>4050000</v>
      </c>
      <c r="I8" s="1">
        <v>6750000</v>
      </c>
      <c r="J8" s="1">
        <f>Table1[[#This Row],[Normal Grain Harvest]]*1.3</f>
        <v>8775000</v>
      </c>
      <c r="K8" s="1">
        <f>(Table1[[#This Row],[Population]]*365)/1000</f>
        <v>182500</v>
      </c>
      <c r="L8" s="1">
        <f>Table1[[#This Row],[Normal Grain Harvest]]-Table1[[#This Row],[Required Grain]]</f>
        <v>6567500</v>
      </c>
      <c r="M8" s="3">
        <f>(Table1[[#This Row],[Suplus Grain]]/2)/2000</f>
        <v>1641.875</v>
      </c>
      <c r="N8" t="s">
        <v>89</v>
      </c>
      <c r="Q8" s="4">
        <f>(Table1[[#This Row],[Tax Income in Talents]]+Table1[[#This Row],[Trade Income]]-Table1[[#This Row],[Army Costs]]-Table1[[#This Row],[Other Expenditure]]-Table1[[#This Row],[Garrisoned Soldier Cost]])</f>
        <v>-5258.125</v>
      </c>
    </row>
    <row r="9" spans="1:17" x14ac:dyDescent="0.25">
      <c r="A9" t="s">
        <v>46</v>
      </c>
      <c r="B9" t="s">
        <v>99</v>
      </c>
      <c r="C9" s="1">
        <v>3000</v>
      </c>
      <c r="D9">
        <v>1500</v>
      </c>
      <c r="F9" s="1">
        <v>500000</v>
      </c>
      <c r="G9" s="1">
        <v>20000</v>
      </c>
      <c r="H9" s="1">
        <f>Table1[[#This Row],[Normal Grain Harvest]]*0.6</f>
        <v>4050000</v>
      </c>
      <c r="I9" s="1">
        <v>6750000</v>
      </c>
      <c r="J9" s="1">
        <f>Table1[[#This Row],[Normal Grain Harvest]]*1.3</f>
        <v>8775000</v>
      </c>
      <c r="K9" s="1">
        <f>(Table1[[#This Row],[Population]]*365)/1000</f>
        <v>182500</v>
      </c>
      <c r="L9" s="1">
        <f>Table1[[#This Row],[Required Grain]]-Table1[[#This Row],[Low Grain Harvest]]</f>
        <v>-3867500</v>
      </c>
      <c r="M9" s="3">
        <f>(Table1[[#This Row],[Suplus Grain]]/2)/2000</f>
        <v>-966.875</v>
      </c>
      <c r="N9" t="s">
        <v>88</v>
      </c>
      <c r="Q9" s="4">
        <f>(Table1[[#This Row],[Tax Income in Talents]]+Table1[[#This Row],[Trade Income]]-Table1[[#This Row],[Army Costs]]-Table1[[#This Row],[Other Expenditure]]-Table1[[#This Row],[Garrisoned Soldier Cost]])</f>
        <v>-2466.875</v>
      </c>
    </row>
    <row r="10" spans="1:17" x14ac:dyDescent="0.25">
      <c r="A10" t="s">
        <v>67</v>
      </c>
      <c r="C10" s="1">
        <v>3000</v>
      </c>
      <c r="D10">
        <v>1500</v>
      </c>
      <c r="F10" s="1">
        <v>400000</v>
      </c>
      <c r="G10" s="1">
        <v>20000</v>
      </c>
      <c r="H10" s="1">
        <f>Table1[[#This Row],[Normal Grain Harvest]]*0.6</f>
        <v>4050000</v>
      </c>
      <c r="I10" s="1">
        <v>6750000</v>
      </c>
      <c r="J10" s="1">
        <f>Table1[[#This Row],[Normal Grain Harvest]]*1.3</f>
        <v>8775000</v>
      </c>
      <c r="K10" s="1">
        <f>(Table1[[#This Row],[Population]]*365)/1000</f>
        <v>146000</v>
      </c>
      <c r="L10" s="1">
        <f>Table1[[#This Row],[Normal Grain Harvest]]-Table1[[#This Row],[Required Grain]]</f>
        <v>6604000</v>
      </c>
      <c r="M10" s="3">
        <f>(Table1[[#This Row],[Suplus Grain]]/2)/2000</f>
        <v>1651</v>
      </c>
      <c r="N10" t="s">
        <v>91</v>
      </c>
      <c r="Q10" s="4">
        <f>(Table1[[#This Row],[Tax Income in Talents]]+Table1[[#This Row],[Trade Income]]-Table1[[#This Row],[Army Costs]]-Table1[[#This Row],[Other Expenditure]]-Table1[[#This Row],[Garrisoned Soldier Cost]])</f>
        <v>151</v>
      </c>
    </row>
    <row r="11" spans="1:17" x14ac:dyDescent="0.25">
      <c r="A11" t="s">
        <v>25</v>
      </c>
      <c r="B11" t="s">
        <v>24</v>
      </c>
      <c r="C11" s="1">
        <v>3000</v>
      </c>
      <c r="D11">
        <v>1500</v>
      </c>
      <c r="F11" s="1">
        <v>750000</v>
      </c>
      <c r="G11" s="1">
        <v>13000</v>
      </c>
      <c r="H11" s="1">
        <f>Table1[[#This Row],[Normal Grain Harvest]]*0.6</f>
        <v>4050000</v>
      </c>
      <c r="I11" s="1">
        <v>6750000</v>
      </c>
      <c r="J11" s="1">
        <f>Table1[[#This Row],[Normal Grain Harvest]]*1.3</f>
        <v>8775000</v>
      </c>
      <c r="K11" s="1">
        <f>(Table1[[#This Row],[Population]]*365)/1000</f>
        <v>273750</v>
      </c>
      <c r="L11" s="1">
        <f>Table1[[#This Row],[Low Grain Harvest]]-Table1[[#This Row],[Required Grain]]</f>
        <v>3776250</v>
      </c>
      <c r="M11" s="3">
        <f>(Table1[[#This Row],[Suplus Grain]]/2)/2000</f>
        <v>944.0625</v>
      </c>
      <c r="N11" t="s">
        <v>87</v>
      </c>
      <c r="Q11" s="4">
        <f>(Table1[[#This Row],[Tax Income in Talents]]+Table1[[#This Row],[Trade Income]]-Table1[[#This Row],[Army Costs]]-Table1[[#This Row],[Other Expenditure]]-Table1[[#This Row],[Garrisoned Soldier Cost]])</f>
        <v>-555.9375</v>
      </c>
    </row>
    <row r="12" spans="1:17" x14ac:dyDescent="0.25">
      <c r="A12" t="s">
        <v>47</v>
      </c>
      <c r="C12" s="1">
        <v>3000</v>
      </c>
      <c r="D12">
        <v>1500</v>
      </c>
      <c r="F12" s="1">
        <v>1000000</v>
      </c>
      <c r="G12" s="1">
        <v>20000</v>
      </c>
      <c r="H12" s="1">
        <f>Table1[[#This Row],[Normal Grain Harvest]]*0.6</f>
        <v>4500000</v>
      </c>
      <c r="I12" s="1">
        <v>7500000</v>
      </c>
      <c r="J12" s="1">
        <f>Table1[[#This Row],[Normal Grain Harvest]]*1.3</f>
        <v>9750000</v>
      </c>
      <c r="K12" s="1">
        <f>(Table1[[#This Row],[Population]]*365)/1000</f>
        <v>365000</v>
      </c>
      <c r="L12" s="1">
        <f>Table1[[#This Row],[Normal Grain Harvest]]-Table1[[#This Row],[Required Grain]]</f>
        <v>7135000</v>
      </c>
      <c r="M12" s="3">
        <f>(Table1[[#This Row],[Suplus Grain]]/2)/2000</f>
        <v>1783.75</v>
      </c>
      <c r="N12" t="s">
        <v>86</v>
      </c>
      <c r="Q12" s="4">
        <f>(Table1[[#This Row],[Tax Income in Talents]]+Table1[[#This Row],[Trade Income]]-Table1[[#This Row],[Army Costs]]-Table1[[#This Row],[Other Expenditure]]-Table1[[#This Row],[Garrisoned Soldier Cost]])</f>
        <v>283.75</v>
      </c>
    </row>
    <row r="13" spans="1:17" x14ac:dyDescent="0.25">
      <c r="A13" t="s">
        <v>48</v>
      </c>
      <c r="B13" t="s">
        <v>96</v>
      </c>
      <c r="C13" s="1">
        <v>7500</v>
      </c>
      <c r="D13">
        <v>3750</v>
      </c>
      <c r="E13">
        <v>10000</v>
      </c>
      <c r="F13" s="1">
        <v>3500000</v>
      </c>
      <c r="G13" s="1">
        <v>80000</v>
      </c>
      <c r="H13" s="1">
        <f>Table1[[#This Row],[Normal Grain Harvest]]*0.6</f>
        <v>13500000</v>
      </c>
      <c r="I13" s="1">
        <v>22500000</v>
      </c>
      <c r="J13" s="1">
        <f>Table1[[#This Row],[Normal Grain Harvest]]*1.3</f>
        <v>29250000</v>
      </c>
      <c r="K13" s="1">
        <f>(Table1[[#This Row],[Population]]*365)/1000</f>
        <v>1277500</v>
      </c>
      <c r="L13" s="1">
        <f>Table1[[#This Row],[High Grain Harvest]]-Table1[[#This Row],[Required Grain]]</f>
        <v>27972500</v>
      </c>
      <c r="M13" s="3">
        <f>(Table1[[#This Row],[Suplus Grain]]/2)/2000</f>
        <v>6993.125</v>
      </c>
      <c r="N13" t="s">
        <v>54</v>
      </c>
      <c r="Q13" s="4">
        <f>(Table1[[#This Row],[Tax Income in Talents]]+Table1[[#This Row],[Trade Income]]-Table1[[#This Row],[Army Costs]]-Table1[[#This Row],[Other Expenditure]]-Table1[[#This Row],[Garrisoned Soldier Cost]])</f>
        <v>-6756.875</v>
      </c>
    </row>
    <row r="14" spans="1:17" x14ac:dyDescent="0.25">
      <c r="A14" t="s">
        <v>49</v>
      </c>
      <c r="B14" t="s">
        <v>101</v>
      </c>
      <c r="C14" s="1">
        <v>5000</v>
      </c>
      <c r="D14">
        <v>2500</v>
      </c>
      <c r="F14" s="1">
        <v>2000000</v>
      </c>
      <c r="G14" s="1">
        <v>45000</v>
      </c>
      <c r="H14" s="1">
        <f>Table1[[#This Row],[Normal Grain Harvest]]*0.6</f>
        <v>7800000</v>
      </c>
      <c r="I14" s="1">
        <v>13000000</v>
      </c>
      <c r="J14" s="1">
        <f>Table1[[#This Row],[Normal Grain Harvest]]*1.3</f>
        <v>16900000</v>
      </c>
      <c r="K14" s="1">
        <f>(Table1[[#This Row],[Population]]*365)/1000</f>
        <v>730000</v>
      </c>
      <c r="L14" s="1">
        <f>Table1[[#This Row],[High Grain Harvest]]-Table1[[#This Row],[Required Grain]]</f>
        <v>16170000</v>
      </c>
      <c r="M14" s="3">
        <f>(Table1[[#This Row],[Suplus Grain]]/2)/2000</f>
        <v>4042.5</v>
      </c>
      <c r="N14" t="s">
        <v>85</v>
      </c>
      <c r="Q14" s="4">
        <f>(Table1[[#This Row],[Tax Income in Talents]]+Table1[[#This Row],[Trade Income]]-Table1[[#This Row],[Army Costs]]-Table1[[#This Row],[Other Expenditure]]-Table1[[#This Row],[Garrisoned Soldier Cost]])</f>
        <v>1542.5</v>
      </c>
    </row>
    <row r="15" spans="1:17" x14ac:dyDescent="0.25">
      <c r="A15" t="s">
        <v>50</v>
      </c>
      <c r="B15" t="s">
        <v>103</v>
      </c>
      <c r="C15" s="1">
        <v>5000</v>
      </c>
      <c r="D15">
        <v>2500</v>
      </c>
      <c r="E15">
        <v>37640</v>
      </c>
      <c r="F15" s="1">
        <v>1500000</v>
      </c>
      <c r="G15" s="1">
        <v>40000</v>
      </c>
      <c r="H15" s="1">
        <f>Table1[[#This Row],[Normal Grain Harvest]]*0.6</f>
        <v>7800000</v>
      </c>
      <c r="I15" s="1">
        <v>13000000</v>
      </c>
      <c r="J15" s="1">
        <f>Table1[[#This Row],[Normal Grain Harvest]]*1.3</f>
        <v>16900000</v>
      </c>
      <c r="K15" s="1">
        <f>(Table1[[#This Row],[Population]]*365)/1000</f>
        <v>547500</v>
      </c>
      <c r="L15" s="1">
        <f>Table1[[#This Row],[High Grain Harvest]]-Table1[[#This Row],[Required Grain]]</f>
        <v>16352500</v>
      </c>
      <c r="M15" s="3">
        <f>(Table1[[#This Row],[Suplus Grain]]/2)/2000</f>
        <v>4088.125</v>
      </c>
      <c r="N15" t="s">
        <v>85</v>
      </c>
      <c r="Q15" s="4">
        <f>(Table1[[#This Row],[Tax Income in Talents]]+Table1[[#This Row],[Trade Income]]-Table1[[#This Row],[Army Costs]]-Table1[[#This Row],[Other Expenditure]]-Table1[[#This Row],[Garrisoned Soldier Cost]])</f>
        <v>-36051.875</v>
      </c>
    </row>
    <row r="16" spans="1:17" x14ac:dyDescent="0.25">
      <c r="A16" t="s">
        <v>51</v>
      </c>
      <c r="B16" t="s">
        <v>97</v>
      </c>
      <c r="C16" s="1">
        <v>5000</v>
      </c>
      <c r="D16">
        <v>2500</v>
      </c>
      <c r="E16">
        <v>150</v>
      </c>
      <c r="F16" s="1">
        <v>1000000</v>
      </c>
      <c r="G16" s="1">
        <v>45000</v>
      </c>
      <c r="H16" s="1">
        <f>Table1[[#This Row],[Normal Grain Harvest]]*0.6</f>
        <v>7800000</v>
      </c>
      <c r="I16" s="1">
        <v>13000000</v>
      </c>
      <c r="J16" s="1">
        <f>Table1[[#This Row],[Normal Grain Harvest]]*1.3</f>
        <v>16900000</v>
      </c>
      <c r="K16" s="1">
        <f>(Table1[[#This Row],[Population]]*365)/1000</f>
        <v>365000</v>
      </c>
      <c r="L16" s="1">
        <f>Table1[[#This Row],[High Grain Harvest]]-Table1[[#This Row],[Required Grain]]</f>
        <v>16535000</v>
      </c>
      <c r="M16" s="3">
        <f>(Table1[[#This Row],[Suplus Grain]]/2)/2000</f>
        <v>4133.75</v>
      </c>
      <c r="N16" t="s">
        <v>56</v>
      </c>
      <c r="Q16" s="4">
        <f>(Table1[[#This Row],[Tax Income in Talents]]+Table1[[#This Row],[Trade Income]]-Table1[[#This Row],[Army Costs]]-Table1[[#This Row],[Other Expenditure]]-Table1[[#This Row],[Garrisoned Soldier Cost]])</f>
        <v>1483.75</v>
      </c>
    </row>
    <row r="17" spans="1:17" x14ac:dyDescent="0.25">
      <c r="A17" t="s">
        <v>70</v>
      </c>
      <c r="B17" t="s">
        <v>30</v>
      </c>
      <c r="C17" s="1">
        <v>5000</v>
      </c>
      <c r="D17">
        <v>2500</v>
      </c>
      <c r="E17">
        <v>250</v>
      </c>
      <c r="F17" s="1">
        <v>2250000</v>
      </c>
      <c r="G17" s="1">
        <v>45000</v>
      </c>
      <c r="H17" s="1">
        <f>Table1[[#This Row],[Normal Grain Harvest]]*0.6</f>
        <v>7800000</v>
      </c>
      <c r="I17" s="1">
        <v>13000000</v>
      </c>
      <c r="J17" s="1">
        <f>Table1[[#This Row],[Normal Grain Harvest]]*1.3</f>
        <v>16900000</v>
      </c>
      <c r="K17" s="1">
        <f>(Table1[[#This Row],[Population]]*365)/1000</f>
        <v>821250</v>
      </c>
      <c r="L17" s="1">
        <f>Table1[[#This Row],[Low Grain Harvest]]-Table1[[#This Row],[Required Grain]]</f>
        <v>6978750</v>
      </c>
      <c r="M17" s="3">
        <f>(Table1[[#This Row],[Suplus Grain]]/2)/2000</f>
        <v>1744.6875</v>
      </c>
      <c r="N17" t="s">
        <v>57</v>
      </c>
      <c r="Q17" s="4">
        <f>(Table1[[#This Row],[Tax Income in Talents]]+Table1[[#This Row],[Trade Income]]-Table1[[#This Row],[Army Costs]]-Table1[[#This Row],[Other Expenditure]]-Table1[[#This Row],[Garrisoned Soldier Cost]])</f>
        <v>-1005.3125</v>
      </c>
    </row>
    <row r="18" spans="1:17" x14ac:dyDescent="0.25">
      <c r="A18" t="s">
        <v>68</v>
      </c>
      <c r="C18" s="1">
        <v>3000</v>
      </c>
      <c r="D18">
        <v>1500</v>
      </c>
      <c r="F18" s="1">
        <v>750000</v>
      </c>
      <c r="G18">
        <v>7000</v>
      </c>
      <c r="H18" s="1">
        <f>Table1[[#This Row],[Normal Grain Harvest]]*0.6</f>
        <v>3900000</v>
      </c>
      <c r="I18" s="1">
        <v>6500000</v>
      </c>
      <c r="J18" s="1">
        <f>Table1[[#This Row],[Normal Grain Harvest]]*1.3</f>
        <v>8450000</v>
      </c>
      <c r="K18" s="1">
        <f>(Table1[[#This Row],[Population]]*365)/1000</f>
        <v>273750</v>
      </c>
      <c r="L18" s="1">
        <f>Table1[[#This Row],[Normal Grain Harvest]]-Table1[[#This Row],[Required Grain]]</f>
        <v>6226250</v>
      </c>
      <c r="M18" s="3">
        <f>(Table1[[#This Row],[Suplus Grain]]/2)/2000</f>
        <v>1556.5625</v>
      </c>
      <c r="N18" t="s">
        <v>88</v>
      </c>
      <c r="Q18" s="4">
        <f>(Table1[[#This Row],[Tax Income in Talents]]+Table1[[#This Row],[Trade Income]]-Table1[[#This Row],[Army Costs]]-Table1[[#This Row],[Other Expenditure]]-Table1[[#This Row],[Garrisoned Soldier Cost]])</f>
        <v>56.5625</v>
      </c>
    </row>
    <row r="19" spans="1:17" x14ac:dyDescent="0.25">
      <c r="A19" t="s">
        <v>69</v>
      </c>
      <c r="B19" t="s">
        <v>98</v>
      </c>
      <c r="C19" s="1">
        <v>3000</v>
      </c>
      <c r="D19">
        <v>1500</v>
      </c>
      <c r="E19">
        <v>9500</v>
      </c>
      <c r="F19" s="1">
        <v>1000000</v>
      </c>
      <c r="G19" s="1">
        <v>20000</v>
      </c>
      <c r="H19" s="1">
        <f>Table1[[#This Row],[Normal Grain Harvest]]*0.6</f>
        <v>4500000</v>
      </c>
      <c r="I19" s="1">
        <v>7500000</v>
      </c>
      <c r="J19" s="1">
        <f>Table1[[#This Row],[Normal Grain Harvest]]*1.3</f>
        <v>9750000</v>
      </c>
      <c r="K19" s="1">
        <f>(Table1[[#This Row],[Population]]*365)/1000</f>
        <v>365000</v>
      </c>
      <c r="L19" s="1">
        <f>Table1[[#This Row],[High Grain Harvest]]-Table1[[#This Row],[Required Grain]]</f>
        <v>9385000</v>
      </c>
      <c r="M19" s="3">
        <f>(Table1[[#This Row],[Suplus Grain]]/2)/2000</f>
        <v>2346.25</v>
      </c>
      <c r="N19" t="s">
        <v>92</v>
      </c>
      <c r="Q19" s="4">
        <f>(Table1[[#This Row],[Tax Income in Talents]]+Table1[[#This Row],[Trade Income]]-Table1[[#This Row],[Army Costs]]-Table1[[#This Row],[Other Expenditure]]-Table1[[#This Row],[Garrisoned Soldier Cost]])</f>
        <v>-8653.75</v>
      </c>
    </row>
    <row r="21" spans="1:17" x14ac:dyDescent="0.25">
      <c r="F21" s="1"/>
      <c r="G21" s="1"/>
    </row>
    <row r="22" spans="1:17" x14ac:dyDescent="0.25">
      <c r="F22" s="1"/>
    </row>
    <row r="23" spans="1:17" x14ac:dyDescent="0.25">
      <c r="H23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G1" workbookViewId="0">
      <selection sqref="A1:P20"/>
    </sheetView>
  </sheetViews>
  <sheetFormatPr defaultRowHeight="15" x14ac:dyDescent="0.25"/>
  <cols>
    <col min="5" max="5" width="15.140625" customWidth="1"/>
    <col min="6" max="6" width="11.7109375" customWidth="1"/>
    <col min="7" max="7" width="13.140625" customWidth="1"/>
    <col min="8" max="8" width="11.140625" customWidth="1"/>
    <col min="9" max="9" width="10.85546875" customWidth="1"/>
    <col min="10" max="10" width="11" customWidth="1"/>
    <col min="11" max="11" width="12" customWidth="1"/>
    <col min="12" max="12" width="10.42578125" customWidth="1"/>
    <col min="13" max="13" width="12.42578125" customWidth="1"/>
    <col min="14" max="14" width="10" customWidth="1"/>
    <col min="15" max="15" width="10.42578125" customWidth="1"/>
    <col min="16" max="16" width="21.28515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Table13[[#This Row],[Normal Grain Harvest]]*0.6</f>
        <v>1500000</v>
      </c>
      <c r="H2" s="1">
        <v>2500000</v>
      </c>
      <c r="I2" s="1">
        <f>Table13[[#This Row],[Normal Grain Harvest]]*1.3</f>
        <v>3250000</v>
      </c>
      <c r="J2" s="1">
        <f>(Table13[[#This Row],[Population]]*365)/1000</f>
        <v>73000</v>
      </c>
      <c r="K2" s="1">
        <f>Table13[[#This Row],[Normal Grain Harvest]]-Table13[[#This Row],[Required Grain]]</f>
        <v>2427000</v>
      </c>
      <c r="L2" s="3">
        <f>(Table13[[#This Row],[Suplus Grain]]/2)/2000</f>
        <v>606.75</v>
      </c>
      <c r="M2" t="s">
        <v>41</v>
      </c>
      <c r="P2" s="4">
        <f>(Table13[[#This Row],[Tax Income in Talents]]+Table13[[#This Row],[Trade Income]]-Table13[[#This Row],[Other Expenditure]]-Table13[[#This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Table13[[#This Row],[Normal Grain Harvest]]*0.6</f>
        <v>1500000</v>
      </c>
      <c r="H3" s="1">
        <v>2500000</v>
      </c>
      <c r="I3" s="1">
        <f>Table13[[#This Row],[Normal Grain Harvest]]*1.3</f>
        <v>3250000</v>
      </c>
      <c r="J3" s="1">
        <f>(Table13[[#This Row],[Population]]*365)/1000</f>
        <v>73000</v>
      </c>
      <c r="K3" s="1">
        <f>Table13[[#This Row],[Normal Grain Harvest]]-Table13[[#This Row],[Required Grain]]</f>
        <v>2427000</v>
      </c>
      <c r="L3" s="3">
        <f>(Table13[[#This Row],[Suplus Grain]]/2)/2000</f>
        <v>606.75</v>
      </c>
      <c r="M3" t="s">
        <v>43</v>
      </c>
      <c r="P3" s="4">
        <f>(Table13[[#This Row],[Tax Income in Talents]]+Table13[[#This Row],[Trade Income]]-Table13[[#This Row],[Other Expenditure]]-Table13[[#This Row],[Garrisoned Soldier Cost]])</f>
        <v>106.75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Table13[[#This Row],[Normal Grain Harvest]]*0.6</f>
        <v>4050000</v>
      </c>
      <c r="H4" s="1">
        <v>6750000</v>
      </c>
      <c r="I4" s="1">
        <f>Table13[[#This Row],[Normal Grain Harvest]]*1.3</f>
        <v>8775000</v>
      </c>
      <c r="J4" s="1">
        <f>(Table13[[#This Row],[Population]]*365)/1000</f>
        <v>182500</v>
      </c>
      <c r="K4" s="1">
        <f>Table13[[#This Row],[Normal Grain Harvest]]-Table13[[#This Row],[Required Grain]]</f>
        <v>6567500</v>
      </c>
      <c r="L4" s="3">
        <f>(Table13[[#This Row],[Suplus Grain]]/2)/2000</f>
        <v>1641.875</v>
      </c>
      <c r="M4" t="s">
        <v>93</v>
      </c>
      <c r="P4" s="4">
        <f>(Table13[[#This Row],[Tax Income in Talents]]+Table13[[#This Row],[Trade Income]]-Table13[[#This Row],[Other Expenditure]]-Table13[[#This Row],[Garrisoned Soldier Cost]])</f>
        <v>141.875</v>
      </c>
    </row>
    <row r="5" spans="1:16" x14ac:dyDescent="0.25">
      <c r="A5" t="s">
        <v>94</v>
      </c>
      <c r="B5" t="s">
        <v>95</v>
      </c>
      <c r="C5" s="1">
        <v>3000</v>
      </c>
      <c r="D5">
        <v>1500</v>
      </c>
      <c r="E5" s="1">
        <v>500000</v>
      </c>
      <c r="F5" s="1">
        <v>15000</v>
      </c>
      <c r="G5" s="5">
        <f>Table13[[#This Row],[Normal Grain Harvest]]*0.6</f>
        <v>4050000</v>
      </c>
      <c r="H5" s="1">
        <v>6750000</v>
      </c>
      <c r="I5" s="1">
        <f>Table13[[#This Row],[Normal Grain Harvest]]*1.3</f>
        <v>8775000</v>
      </c>
      <c r="J5" s="1">
        <f>(Table13[[#This Row],[Population]]*365)/1000</f>
        <v>182500</v>
      </c>
      <c r="K5" s="1">
        <f>Table13[[#This Row],[Low Grain Harvest]]-Table13[[#This Row],[Required Grain]]</f>
        <v>3867500</v>
      </c>
      <c r="L5" s="3">
        <f>(Table13[[#This Row],[Suplus Grain]]/2)/2000</f>
        <v>966.875</v>
      </c>
      <c r="M5" t="s">
        <v>93</v>
      </c>
      <c r="N5">
        <v>1000</v>
      </c>
      <c r="P5" s="4">
        <f>(Table13[[#This Row],[Tax Income in Talents]]+Table13[[#This Row],[Trade Income]]-Table13[[#This Row],[Other Expenditure]]-Table13[[#This Row],[Garrisoned Soldier Cost]])</f>
        <v>466.875</v>
      </c>
    </row>
    <row r="6" spans="1:16" x14ac:dyDescent="0.25">
      <c r="A6" t="s">
        <v>52</v>
      </c>
      <c r="B6" t="s">
        <v>111</v>
      </c>
      <c r="C6" s="1">
        <v>3000</v>
      </c>
      <c r="D6">
        <v>1500</v>
      </c>
      <c r="E6" s="1">
        <v>500000</v>
      </c>
      <c r="F6" s="1">
        <v>13000</v>
      </c>
      <c r="G6" s="1">
        <f>Table13[[#This Row],[Normal Grain Harvest]]*0.6</f>
        <v>4050000</v>
      </c>
      <c r="H6" s="1">
        <v>6750000</v>
      </c>
      <c r="I6" s="1">
        <f>Table13[[#This Row],[Normal Grain Harvest]]*1.3</f>
        <v>8775000</v>
      </c>
      <c r="J6" s="1">
        <f>(Table13[[#This Row],[Population]]*365)/1000</f>
        <v>182500</v>
      </c>
      <c r="K6" s="1">
        <f>Table13[[#This Row],[Normal Grain Harvest]]-Table13[[#This Row],[Required Grain]]</f>
        <v>6567500</v>
      </c>
      <c r="L6" s="3">
        <f>(Table13[[#This Row],[Suplus Grain]]/2)/2000</f>
        <v>1641.875</v>
      </c>
      <c r="M6" t="s">
        <v>93</v>
      </c>
      <c r="P6" s="4">
        <f>(Table13[[#This Row],[Tax Income in Talents]]+Table13[[#This Row],[Trade Income]]-Table13[[#This Row],[Other Expenditure]]-Table13[[#This Row],[Garrisoned Soldier Cost]])</f>
        <v>141.875</v>
      </c>
    </row>
    <row r="7" spans="1:16" x14ac:dyDescent="0.25">
      <c r="A7" t="s">
        <v>44</v>
      </c>
      <c r="B7" t="s">
        <v>99</v>
      </c>
      <c r="C7" s="1">
        <v>3000</v>
      </c>
      <c r="D7">
        <v>1500</v>
      </c>
      <c r="E7" s="1">
        <v>500000</v>
      </c>
      <c r="F7" s="1">
        <v>10000</v>
      </c>
      <c r="G7" s="5">
        <f>Table13[[#This Row],[Normal Grain Harvest]]*0.6</f>
        <v>4050000</v>
      </c>
      <c r="H7" s="1">
        <v>6750000</v>
      </c>
      <c r="I7" s="1">
        <f>Table13[[#This Row],[Normal Grain Harvest]]*1.3</f>
        <v>8775000</v>
      </c>
      <c r="J7" s="1">
        <f>(Table13[[#This Row],[Population]]*365)/1000</f>
        <v>182500</v>
      </c>
      <c r="K7" s="1">
        <f>Table13[[#This Row],[Low Grain Harvest]]-Table13[[#This Row],[Required Grain]]</f>
        <v>3867500</v>
      </c>
      <c r="L7" s="3">
        <f>(Table13[[#This Row],[Suplus Grain]]/2)/2000</f>
        <v>966.875</v>
      </c>
      <c r="M7" t="s">
        <v>90</v>
      </c>
      <c r="P7" s="4">
        <f>(Table13[[#This Row],[Tax Income in Talents]]+Table13[[#This Row],[Trade Income]]-Table13[[#This Row],[Other Expenditure]]-Table13[[#This Row],[Garrisoned Soldier Cost]])</f>
        <v>-533.125</v>
      </c>
    </row>
    <row r="8" spans="1:16" x14ac:dyDescent="0.25">
      <c r="A8" t="s">
        <v>45</v>
      </c>
      <c r="B8" t="s">
        <v>24</v>
      </c>
      <c r="C8" s="1">
        <v>3000</v>
      </c>
      <c r="D8">
        <v>1500</v>
      </c>
      <c r="E8" s="1">
        <v>500000</v>
      </c>
      <c r="F8" s="1">
        <v>20000</v>
      </c>
      <c r="G8" s="1">
        <f>Table13[[#This Row],[Normal Grain Harvest]]*0.6</f>
        <v>4050000</v>
      </c>
      <c r="H8" s="1">
        <v>6750000</v>
      </c>
      <c r="I8" s="1">
        <f>Table13[[#This Row],[Normal Grain Harvest]]*1.3</f>
        <v>8775000</v>
      </c>
      <c r="J8" s="1">
        <f>(Table13[[#This Row],[Population]]*365)/1000</f>
        <v>182500</v>
      </c>
      <c r="K8" s="1">
        <f>Table13[[#This Row],[Normal Grain Harvest]]-Table13[[#This Row],[Required Grain]]</f>
        <v>6567500</v>
      </c>
      <c r="L8" s="3">
        <f>(Table13[[#This Row],[Suplus Grain]]/2)/2000</f>
        <v>1641.875</v>
      </c>
      <c r="M8" t="s">
        <v>89</v>
      </c>
      <c r="P8" s="4">
        <f>(Table13[[#This Row],[Tax Income in Talents]]+Table13[[#This Row],[Trade Income]]-Table13[[#This Row],[Other Expenditure]]-Table13[[#This Row],[Garrisoned Soldier Cost]])</f>
        <v>141.875</v>
      </c>
    </row>
    <row r="9" spans="1:16" x14ac:dyDescent="0.25">
      <c r="A9" t="s">
        <v>46</v>
      </c>
      <c r="B9" t="s">
        <v>99</v>
      </c>
      <c r="C9" s="1">
        <v>3000</v>
      </c>
      <c r="D9">
        <v>1500</v>
      </c>
      <c r="E9" s="1">
        <v>500000</v>
      </c>
      <c r="F9" s="1">
        <v>20000</v>
      </c>
      <c r="G9" s="1">
        <f>Table13[[#This Row],[Normal Grain Harvest]]*0.6</f>
        <v>4050000</v>
      </c>
      <c r="H9" s="1">
        <v>6750000</v>
      </c>
      <c r="I9" s="1">
        <f>Table13[[#This Row],[Normal Grain Harvest]]*1.3</f>
        <v>8775000</v>
      </c>
      <c r="J9" s="1">
        <f>(Table13[[#This Row],[Population]]*365)/1000</f>
        <v>182500</v>
      </c>
      <c r="K9" s="1">
        <f>Table13[[#This Row],[Normal Grain Harvest]]-Table13[[#This Row],[Required Grain]]</f>
        <v>6567500</v>
      </c>
      <c r="L9" s="3">
        <f>(Table13[[#This Row],[Suplus Grain]]/2)/2000</f>
        <v>1641.875</v>
      </c>
      <c r="M9" t="s">
        <v>88</v>
      </c>
      <c r="P9" s="4">
        <f>(Table13[[#This Row],[Tax Income in Talents]]+Table13[[#This Row],[Trade Income]]-Table13[[#This Row],[Other Expenditure]]-Table13[[#This Row],[Garrisoned Soldier Cost]])</f>
        <v>141.875</v>
      </c>
    </row>
    <row r="10" spans="1:16" x14ac:dyDescent="0.25">
      <c r="A10" t="s">
        <v>67</v>
      </c>
      <c r="C10" s="1">
        <v>3000</v>
      </c>
      <c r="D10">
        <v>1500</v>
      </c>
      <c r="E10" s="1">
        <v>400000</v>
      </c>
      <c r="F10" s="1">
        <v>20000</v>
      </c>
      <c r="G10" s="1">
        <f>Table13[[#This Row],[Normal Grain Harvest]]*0.6</f>
        <v>4050000</v>
      </c>
      <c r="H10" s="1">
        <v>6750000</v>
      </c>
      <c r="I10" s="1">
        <f>Table13[[#This Row],[Normal Grain Harvest]]*1.3</f>
        <v>8775000</v>
      </c>
      <c r="J10" s="1">
        <f>(Table13[[#This Row],[Population]]*365)/1000</f>
        <v>146000</v>
      </c>
      <c r="K10" s="1">
        <f>Table13[[#This Row],[Normal Grain Harvest]]-Table13[[#This Row],[Required Grain]]</f>
        <v>6604000</v>
      </c>
      <c r="L10" s="3">
        <f>(Table13[[#This Row],[Suplus Grain]]/2)/2000</f>
        <v>1651</v>
      </c>
      <c r="M10" t="s">
        <v>91</v>
      </c>
      <c r="P10" s="4">
        <f>(Table13[[#This Row],[Tax Income in Talents]]+Table13[[#This Row],[Trade Income]]-Table13[[#This Row],[Other Expenditure]]-Table13[[#This Row],[Garrisoned Soldier Cost]])</f>
        <v>151</v>
      </c>
    </row>
    <row r="11" spans="1:16" x14ac:dyDescent="0.25">
      <c r="A11" t="s">
        <v>25</v>
      </c>
      <c r="B11" t="s">
        <v>24</v>
      </c>
      <c r="C11" s="1">
        <v>3000</v>
      </c>
      <c r="D11">
        <v>1500</v>
      </c>
      <c r="E11" s="1">
        <v>750000</v>
      </c>
      <c r="F11" s="1">
        <v>13000</v>
      </c>
      <c r="G11" s="1">
        <f>Table13[[#This Row],[Normal Grain Harvest]]*0.6</f>
        <v>4050000</v>
      </c>
      <c r="H11" s="1">
        <v>6750000</v>
      </c>
      <c r="I11" s="1">
        <f>Table13[[#This Row],[Normal Grain Harvest]]*1.3</f>
        <v>8775000</v>
      </c>
      <c r="J11" s="1">
        <f>(Table13[[#This Row],[Population]]*365)/1000</f>
        <v>273750</v>
      </c>
      <c r="K11" s="1">
        <f>Table13[[#This Row],[Normal Grain Harvest]]-Table13[[#This Row],[Required Grain]]</f>
        <v>6476250</v>
      </c>
      <c r="L11" s="3">
        <f>(Table13[[#This Row],[Suplus Grain]]/2)/2000</f>
        <v>1619.0625</v>
      </c>
      <c r="M11" t="s">
        <v>87</v>
      </c>
      <c r="P11" s="4">
        <f>(Table13[[#This Row],[Tax Income in Talents]]+Table13[[#This Row],[Trade Income]]-Table13[[#This Row],[Other Expenditure]]-Table13[[#This Row],[Garrisoned Soldier Cost]])</f>
        <v>119.0625</v>
      </c>
    </row>
    <row r="12" spans="1:16" x14ac:dyDescent="0.25">
      <c r="A12" t="s">
        <v>47</v>
      </c>
      <c r="C12" s="1">
        <v>3000</v>
      </c>
      <c r="D12">
        <v>1500</v>
      </c>
      <c r="E12" s="1">
        <v>1000000</v>
      </c>
      <c r="F12" s="1">
        <v>20000</v>
      </c>
      <c r="G12" s="1">
        <f>Table13[[#This Row],[Normal Grain Harvest]]*0.6</f>
        <v>4500000</v>
      </c>
      <c r="H12" s="1">
        <v>7500000</v>
      </c>
      <c r="I12" s="1">
        <f>Table13[[#This Row],[Normal Grain Harvest]]*1.3</f>
        <v>9750000</v>
      </c>
      <c r="J12" s="1">
        <f>(Table13[[#This Row],[Population]]*365)/1000</f>
        <v>365000</v>
      </c>
      <c r="K12" s="1">
        <f>Table13[[#This Row],[Normal Grain Harvest]]-Table13[[#This Row],[Required Grain]]</f>
        <v>7135000</v>
      </c>
      <c r="L12" s="3">
        <f>(Table13[[#This Row],[Suplus Grain]]/2)/2000</f>
        <v>1783.75</v>
      </c>
      <c r="M12" t="s">
        <v>86</v>
      </c>
      <c r="P12" s="4">
        <f>(Table13[[#This Row],[Tax Income in Talents]]+Table13[[#This Row],[Trade Income]]-Table13[[#This Row],[Other Expenditure]]-Table13[[#This Row],[Garrisoned Soldier Cost]])</f>
        <v>283.75</v>
      </c>
    </row>
    <row r="13" spans="1:16" x14ac:dyDescent="0.25">
      <c r="A13" t="s">
        <v>105</v>
      </c>
      <c r="B13" t="s">
        <v>96</v>
      </c>
      <c r="C13" s="1">
        <v>3000</v>
      </c>
      <c r="D13">
        <v>1500</v>
      </c>
      <c r="E13" s="1">
        <v>1000000</v>
      </c>
      <c r="F13" s="1">
        <v>20000</v>
      </c>
      <c r="G13" s="5">
        <f>Table13[[#This Row],[Normal Grain Harvest]]*0.6</f>
        <v>4500000</v>
      </c>
      <c r="H13" s="1">
        <v>7500000</v>
      </c>
      <c r="I13" s="1">
        <f>Table13[[#This Row],[Normal Grain Harvest]]*1.3</f>
        <v>9750000</v>
      </c>
      <c r="J13" s="1">
        <f>(Table13[[#This Row],[Population]]*365)/1000</f>
        <v>365000</v>
      </c>
      <c r="K13" s="1">
        <f>Table13[[#This Row],[Low Grain Harvest]]-Table13[[#This Row],[Required Grain]]</f>
        <v>4135000</v>
      </c>
      <c r="L13" s="3">
        <f>(Table13[[#This Row],[Suplus Grain]]/2)/2000</f>
        <v>1033.75</v>
      </c>
      <c r="M13" t="s">
        <v>86</v>
      </c>
      <c r="P13" s="4">
        <f>(Table13[[#This Row],[Tax Income in Talents]]+Table13[[#This Row],[Trade Income]]-Table13[[#This Row],[Other Expenditure]]-Table13[[#This Row],[Garrisoned Soldier Cost]])</f>
        <v>-466.25</v>
      </c>
    </row>
    <row r="14" spans="1:16" x14ac:dyDescent="0.25">
      <c r="A14" t="s">
        <v>48</v>
      </c>
      <c r="B14" t="s">
        <v>96</v>
      </c>
      <c r="C14" s="1">
        <v>7500</v>
      </c>
      <c r="D14">
        <v>3750</v>
      </c>
      <c r="E14" s="1">
        <v>3500000</v>
      </c>
      <c r="F14" s="1">
        <v>80000</v>
      </c>
      <c r="G14" s="1">
        <f>Table13[[#This Row],[Normal Grain Harvest]]*0.6</f>
        <v>13500000</v>
      </c>
      <c r="H14" s="1">
        <v>22500000</v>
      </c>
      <c r="I14" s="5">
        <f>Table13[[#This Row],[Normal Grain Harvest]]*1.3</f>
        <v>29250000</v>
      </c>
      <c r="J14" s="1">
        <f>(Table13[[#This Row],[Population]]*365)/1000</f>
        <v>1277500</v>
      </c>
      <c r="K14" s="1">
        <f>Table13[[#This Row],[High Grain Harvest]]-Table13[[#This Row],[Required Grain]]</f>
        <v>27972500</v>
      </c>
      <c r="L14" s="3">
        <f>(Table13[[#This Row],[Suplus Grain]]/2)/2000</f>
        <v>6993.125</v>
      </c>
      <c r="M14" t="s">
        <v>54</v>
      </c>
      <c r="P14" s="4">
        <f>(Table13[[#This Row],[Tax Income in Talents]]+Table13[[#This Row],[Trade Income]]-Table13[[#This Row],[Other Expenditure]]-Table13[[#This Row],[Garrisoned Soldier Cost]])</f>
        <v>3243.125</v>
      </c>
    </row>
    <row r="15" spans="1:16" x14ac:dyDescent="0.25">
      <c r="A15" t="s">
        <v>49</v>
      </c>
      <c r="B15" t="s">
        <v>101</v>
      </c>
      <c r="C15" s="1">
        <v>5000</v>
      </c>
      <c r="D15">
        <v>2500</v>
      </c>
      <c r="E15" s="1">
        <v>2000000</v>
      </c>
      <c r="F15" s="1">
        <v>45000</v>
      </c>
      <c r="G15" s="1">
        <f>Table13[[#This Row],[Normal Grain Harvest]]*0.6</f>
        <v>7800000</v>
      </c>
      <c r="H15" s="1">
        <v>13000000</v>
      </c>
      <c r="I15" s="5">
        <f>Table13[[#This Row],[Normal Grain Harvest]]*1.3</f>
        <v>16900000</v>
      </c>
      <c r="J15" s="1">
        <f>(Table13[[#This Row],[Population]]*365)/1000</f>
        <v>730000</v>
      </c>
      <c r="K15" s="1">
        <f>Table13[[#This Row],[High Grain Harvest]]-Table13[[#This Row],[Required Grain]]</f>
        <v>16170000</v>
      </c>
      <c r="L15" s="3">
        <f>(Table13[[#This Row],[Suplus Grain]]/2)/2000</f>
        <v>4042.5</v>
      </c>
      <c r="M15" t="s">
        <v>85</v>
      </c>
      <c r="P15" s="4">
        <f>(Table13[[#This Row],[Tax Income in Talents]]+Table13[[#This Row],[Trade Income]]-Table13[[#This Row],[Other Expenditure]]-Table13[[#This Row],[Garrisoned Soldier Cost]])</f>
        <v>1542.5</v>
      </c>
    </row>
    <row r="16" spans="1:16" x14ac:dyDescent="0.25">
      <c r="A16" t="s">
        <v>50</v>
      </c>
      <c r="B16" t="s">
        <v>103</v>
      </c>
      <c r="C16" s="1">
        <v>5000</v>
      </c>
      <c r="D16">
        <v>2500</v>
      </c>
      <c r="E16" s="1">
        <v>1500000</v>
      </c>
      <c r="F16" s="1">
        <v>40000</v>
      </c>
      <c r="G16" s="1">
        <f>Table13[[#This Row],[Normal Grain Harvest]]*0.6</f>
        <v>7800000</v>
      </c>
      <c r="H16" s="1">
        <v>13000000</v>
      </c>
      <c r="I16" s="1">
        <f>Table13[[#This Row],[Normal Grain Harvest]]*1.3</f>
        <v>16900000</v>
      </c>
      <c r="J16" s="1">
        <f>(Table13[[#This Row],[Population]]*365)/1000</f>
        <v>547500</v>
      </c>
      <c r="K16" s="1">
        <f>Table13[[#This Row],[High Grain Harvest]]-Table13[[#This Row],[Required Grain]]</f>
        <v>16352500</v>
      </c>
      <c r="L16" s="3">
        <f>(Table13[[#This Row],[Suplus Grain]]/2)/2000</f>
        <v>4088.125</v>
      </c>
      <c r="M16" t="s">
        <v>85</v>
      </c>
      <c r="P16" s="4">
        <f>(Table13[[#This Row],[Tax Income in Talents]]+Table13[[#This Row],[Trade Income]]-Table13[[#This Row],[Other Expenditure]]-Table13[[#This Row],[Garrisoned Soldier Cost]])</f>
        <v>1588.125</v>
      </c>
    </row>
    <row r="17" spans="1:16" x14ac:dyDescent="0.25">
      <c r="A17" t="s">
        <v>51</v>
      </c>
      <c r="B17" t="s">
        <v>97</v>
      </c>
      <c r="C17" s="1">
        <v>5000</v>
      </c>
      <c r="D17">
        <v>2500</v>
      </c>
      <c r="E17" s="1">
        <v>1000000</v>
      </c>
      <c r="F17" s="1">
        <v>45000</v>
      </c>
      <c r="G17" s="1">
        <f>Table13[[#This Row],[Normal Grain Harvest]]*0.6</f>
        <v>7800000</v>
      </c>
      <c r="H17" s="1">
        <v>13000000</v>
      </c>
      <c r="I17" s="1">
        <f>Table13[[#This Row],[Normal Grain Harvest]]*1.3</f>
        <v>16900000</v>
      </c>
      <c r="J17" s="1">
        <f>(Table13[[#This Row],[Population]]*365)/1000</f>
        <v>365000</v>
      </c>
      <c r="K17" s="1">
        <f>Table13[[#This Row],[Normal Grain Harvest]]-Table13[[#This Row],[Required Grain]]</f>
        <v>12635000</v>
      </c>
      <c r="L17" s="3">
        <f>(Table13[[#This Row],[Suplus Grain]]/2)/2000</f>
        <v>3158.75</v>
      </c>
      <c r="M17" t="s">
        <v>56</v>
      </c>
      <c r="P17" s="4">
        <f>(Table13[[#This Row],[Tax Income in Talents]]+Table13[[#This Row],[Trade Income]]-Table13[[#This Row],[Other Expenditure]]-Table13[[#This Row],[Garrisoned Soldier Cost]])</f>
        <v>658.75</v>
      </c>
    </row>
    <row r="18" spans="1:16" x14ac:dyDescent="0.25">
      <c r="A18" t="s">
        <v>70</v>
      </c>
      <c r="B18" t="s">
        <v>30</v>
      </c>
      <c r="C18" s="1">
        <v>5000</v>
      </c>
      <c r="D18">
        <v>2500</v>
      </c>
      <c r="E18" s="1">
        <v>2250000</v>
      </c>
      <c r="F18" s="1">
        <v>45000</v>
      </c>
      <c r="G18" s="1">
        <f>Table13[[#This Row],[Normal Grain Harvest]]*0.6</f>
        <v>7800000</v>
      </c>
      <c r="H18" s="1">
        <v>13000000</v>
      </c>
      <c r="I18" s="1">
        <f>Table13[[#This Row],[Normal Grain Harvest]]*1.3</f>
        <v>16900000</v>
      </c>
      <c r="J18" s="1">
        <f>(Table13[[#This Row],[Population]]*365)/1000</f>
        <v>821250</v>
      </c>
      <c r="K18" s="1">
        <f>Table13[[#This Row],[Normal Grain Harvest]]-Table13[[#This Row],[Required Grain]]</f>
        <v>12178750</v>
      </c>
      <c r="L18" s="3">
        <f>(Table13[[#This Row],[Suplus Grain]]/2)/2000</f>
        <v>3044.6875</v>
      </c>
      <c r="M18" t="s">
        <v>57</v>
      </c>
      <c r="P18" s="4">
        <f>(Table13[[#This Row],[Tax Income in Talents]]+Table13[[#This Row],[Trade Income]]-Table13[[#This Row],[Other Expenditure]]-Table13[[#This Row],[Garrisoned Soldier Cost]])</f>
        <v>544.6875</v>
      </c>
    </row>
    <row r="19" spans="1:16" x14ac:dyDescent="0.25">
      <c r="A19" t="s">
        <v>68</v>
      </c>
      <c r="B19" t="s">
        <v>109</v>
      </c>
      <c r="C19" s="1">
        <v>3000</v>
      </c>
      <c r="D19">
        <v>1500</v>
      </c>
      <c r="E19" s="1">
        <v>750000</v>
      </c>
      <c r="F19">
        <v>7000</v>
      </c>
      <c r="G19" s="1">
        <f>Table13[[#This Row],[Normal Grain Harvest]]*0.6</f>
        <v>3900000</v>
      </c>
      <c r="H19" s="1">
        <v>6500000</v>
      </c>
      <c r="I19" s="1">
        <f>Table13[[#This Row],[Normal Grain Harvest]]*1.3</f>
        <v>8450000</v>
      </c>
      <c r="J19" s="1">
        <f>(Table13[[#This Row],[Population]]*365)/1000</f>
        <v>273750</v>
      </c>
      <c r="K19" s="1">
        <f>Table13[[#This Row],[Normal Grain Harvest]]-Table13[[#This Row],[Required Grain]]</f>
        <v>6226250</v>
      </c>
      <c r="L19" s="3">
        <f>(Table13[[#This Row],[Suplus Grain]]/2)/2000</f>
        <v>1556.5625</v>
      </c>
      <c r="M19" t="s">
        <v>88</v>
      </c>
      <c r="P19" s="4">
        <f>(Table13[[#This Row],[Tax Income in Talents]]+Table13[[#This Row],[Trade Income]]-Table13[[#This Row],[Other Expenditure]]-Table13[[#This Row],[Garrisoned Soldier Cost]])</f>
        <v>56.5625</v>
      </c>
    </row>
    <row r="20" spans="1:16" x14ac:dyDescent="0.25">
      <c r="A20" t="s">
        <v>69</v>
      </c>
      <c r="B20" t="s">
        <v>98</v>
      </c>
      <c r="C20" s="1">
        <v>3000</v>
      </c>
      <c r="D20">
        <v>1500</v>
      </c>
      <c r="E20" s="1">
        <v>1000000</v>
      </c>
      <c r="F20" s="1">
        <v>20000</v>
      </c>
      <c r="G20" s="1">
        <f>Table13[[#This Row],[Normal Grain Harvest]]*0.6</f>
        <v>4500000</v>
      </c>
      <c r="H20" s="1">
        <v>7500000</v>
      </c>
      <c r="I20" s="5">
        <f>Table13[[#This Row],[Normal Grain Harvest]]*1.3</f>
        <v>9750000</v>
      </c>
      <c r="J20" s="1">
        <f>(Table13[[#This Row],[Population]]*365)/1000</f>
        <v>365000</v>
      </c>
      <c r="K20" s="1">
        <f>Table13[[#This Row],[High Grain Harvest]]-Table13[[#This Row],[Required Grain]]</f>
        <v>9385000</v>
      </c>
      <c r="L20" s="3">
        <f>(Table13[[#This Row],[Suplus Grain]]/2)/2000</f>
        <v>2346.25</v>
      </c>
      <c r="M20" t="s">
        <v>92</v>
      </c>
      <c r="P20" s="4">
        <f>(Table13[[#This Row],[Tax Income in Talents]]+Table13[[#This Row],[Trade Income]]-Table13[[#This Row],[Other Expenditure]]-Table13[[#This Row],[Garrisoned Soldier Cost]])</f>
        <v>846.25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pane xSplit="7" ySplit="11" topLeftCell="K12" activePane="bottomRight" state="frozen"/>
      <selection pane="topRight" activeCell="H1" sqref="H1"/>
      <selection pane="bottomLeft" activeCell="A12" sqref="A12"/>
      <selection pane="bottomRight" activeCell="P17" sqref="P17"/>
    </sheetView>
  </sheetViews>
  <sheetFormatPr defaultRowHeight="15" x14ac:dyDescent="0.25"/>
  <cols>
    <col min="3" max="3" width="9" customWidth="1"/>
    <col min="4" max="4" width="6.28515625" customWidth="1"/>
    <col min="5" max="6" width="9.140625" customWidth="1"/>
    <col min="7" max="7" width="9.7109375" customWidth="1"/>
    <col min="8" max="8" width="10.28515625" customWidth="1"/>
    <col min="9" max="9" width="10.42578125" customWidth="1"/>
    <col min="11" max="11" width="11.42578125" customWidth="1"/>
    <col min="12" max="12" width="10.85546875" customWidth="1"/>
    <col min="13" max="13" width="11.140625" customWidth="1"/>
  </cols>
  <sheetData>
    <row r="1" spans="1:16" x14ac:dyDescent="0.25">
      <c r="A1" t="s">
        <v>33</v>
      </c>
      <c r="B1" t="s">
        <v>62</v>
      </c>
      <c r="C1" t="s">
        <v>66</v>
      </c>
      <c r="D1" t="s">
        <v>65</v>
      </c>
      <c r="E1" t="s">
        <v>34</v>
      </c>
      <c r="F1" t="s">
        <v>55</v>
      </c>
      <c r="G1" t="s">
        <v>35</v>
      </c>
      <c r="H1" t="s">
        <v>36</v>
      </c>
      <c r="I1" t="s">
        <v>37</v>
      </c>
      <c r="J1" t="s">
        <v>38</v>
      </c>
      <c r="K1" t="s">
        <v>58</v>
      </c>
      <c r="L1" t="s">
        <v>59</v>
      </c>
      <c r="M1" t="s">
        <v>40</v>
      </c>
      <c r="N1" t="s">
        <v>60</v>
      </c>
      <c r="O1" t="s">
        <v>64</v>
      </c>
      <c r="P1" t="s">
        <v>61</v>
      </c>
    </row>
    <row r="2" spans="1:16" x14ac:dyDescent="0.25">
      <c r="A2" t="s">
        <v>39</v>
      </c>
      <c r="B2" t="s">
        <v>19</v>
      </c>
      <c r="C2" s="1">
        <v>1000</v>
      </c>
      <c r="D2">
        <v>500</v>
      </c>
      <c r="E2" s="1">
        <v>200000</v>
      </c>
      <c r="F2" s="1">
        <v>12000</v>
      </c>
      <c r="G2" s="1">
        <f>Table134[[#This Row],[Normal Grain Harvest]]*0.6</f>
        <v>1500000</v>
      </c>
      <c r="H2" s="1">
        <v>2500000</v>
      </c>
      <c r="I2" s="1">
        <f>Table134[[#This Row],[Normal Grain Harvest]]*1.3</f>
        <v>3250000</v>
      </c>
      <c r="J2" s="1">
        <f>(Table134[[#This Row],[Population]]*365)/1000</f>
        <v>73000</v>
      </c>
      <c r="K2" s="1">
        <f>Table134[[#This Row],[Normal Grain Harvest]]-Table134[[#This Row],[Required Grain]]</f>
        <v>2427000</v>
      </c>
      <c r="L2" s="3">
        <f>(Table134[[#This Row],[Suplus Grain]]/2)/2000</f>
        <v>606.75</v>
      </c>
      <c r="M2" t="s">
        <v>41</v>
      </c>
      <c r="P2" s="4">
        <f>(Table134[[#This Row],[Tax Income in Talents]]+Table134[[#This Row],[Trade Income]]-Table134[[#This Row],[Other Expenditure]]-Table134[[#This Row],[Garrisoned Soldier Cost]])</f>
        <v>106.75</v>
      </c>
    </row>
    <row r="3" spans="1:16" x14ac:dyDescent="0.25">
      <c r="A3" t="s">
        <v>42</v>
      </c>
      <c r="B3" t="s">
        <v>104</v>
      </c>
      <c r="C3" s="1">
        <v>1000</v>
      </c>
      <c r="D3">
        <v>500</v>
      </c>
      <c r="E3" s="1">
        <v>200000</v>
      </c>
      <c r="F3">
        <v>7000</v>
      </c>
      <c r="G3" s="1">
        <f>Table134[[#This Row],[Normal Grain Harvest]]*0.6</f>
        <v>1500000</v>
      </c>
      <c r="H3" s="1">
        <v>2500000</v>
      </c>
      <c r="I3" s="1">
        <f>Table134[[#This Row],[Normal Grain Harvest]]*1.3</f>
        <v>3250000</v>
      </c>
      <c r="J3" s="1">
        <f>(Table134[[#This Row],[Population]]*365)/1000</f>
        <v>73000</v>
      </c>
      <c r="K3" s="1">
        <f>Table134[[#This Row],[Low Grain Harvest]]-Table134[[#This Row],[Required Grain]]</f>
        <v>1427000</v>
      </c>
      <c r="L3" s="3">
        <f>(Table134[[#This Row],[Suplus Grain]]/2)/2000</f>
        <v>356.75</v>
      </c>
      <c r="M3" t="s">
        <v>43</v>
      </c>
      <c r="P3" s="4">
        <f>(Table134[[#This Row],[Tax Income in Talents]]+Table134[[#This Row],[Trade Income]]-Table134[[#This Row],[Other Expenditure]]-Table134[[#This Row],[Garrisoned Soldier Cost]])</f>
        <v>-143.25</v>
      </c>
    </row>
    <row r="4" spans="1:16" x14ac:dyDescent="0.25">
      <c r="A4" t="s">
        <v>53</v>
      </c>
      <c r="C4" s="1">
        <v>3000</v>
      </c>
      <c r="D4">
        <v>1500</v>
      </c>
      <c r="E4" s="1">
        <v>500000</v>
      </c>
      <c r="F4" s="1">
        <v>15000</v>
      </c>
      <c r="G4" s="1">
        <f>Table134[[#This Row],[Normal Grain Harvest]]*0.6</f>
        <v>4050000</v>
      </c>
      <c r="H4" s="1">
        <v>6750000</v>
      </c>
      <c r="I4" s="1">
        <f>Table134[[#This Row],[Normal Grain Harvest]]*1.3</f>
        <v>8775000</v>
      </c>
      <c r="J4" s="1">
        <f>(Table134[[#This Row],[Population]]*365)/1000</f>
        <v>182500</v>
      </c>
      <c r="K4" s="1">
        <f>Table134[[#This Row],[Normal Grain Harvest]]-Table134[[#This Row],[Required Grain]]</f>
        <v>6567500</v>
      </c>
      <c r="L4" s="3">
        <f>(Table134[[#This Row],[Suplus Grain]]/2)/2000</f>
        <v>1641.875</v>
      </c>
      <c r="M4" t="s">
        <v>93</v>
      </c>
      <c r="P4" s="4">
        <f>(Table134[[#This Row],[Tax Income in Talents]]+Table134[[#This Row],[Trade Income]]-Table134[[#This Row],[Other Expenditure]]-Table134[[#This Row],[Garrisoned Soldier Cost]])</f>
        <v>141.875</v>
      </c>
    </row>
    <row r="5" spans="1:16" x14ac:dyDescent="0.25">
      <c r="A5" t="s">
        <v>94</v>
      </c>
      <c r="C5" s="1">
        <v>2700</v>
      </c>
      <c r="D5">
        <v>1350</v>
      </c>
      <c r="E5" s="1">
        <v>450000</v>
      </c>
      <c r="F5" s="1">
        <v>15000</v>
      </c>
      <c r="G5" s="6">
        <f>Table134[[#This Row],[Normal Grain Harvest]]*0.6</f>
        <v>4050000</v>
      </c>
      <c r="H5" s="1">
        <v>6750000</v>
      </c>
      <c r="I5" s="1">
        <f>Table134[[#This Row],[Normal Grain Harvest]]*1.3</f>
        <v>8775000</v>
      </c>
      <c r="J5" s="1">
        <f>(Table134[[#This Row],[Population]]*365)/1000</f>
        <v>164250</v>
      </c>
      <c r="K5" s="1">
        <f>Table134[[#This Row],[Normal Grain Harvest]]-Table134[[#This Row],[Required Grain]]</f>
        <v>6585750</v>
      </c>
      <c r="L5" s="3">
        <f>(Table134[[#This Row],[Suplus Grain]]/2)/2000</f>
        <v>1646.4375</v>
      </c>
      <c r="M5" t="s">
        <v>93</v>
      </c>
      <c r="N5">
        <v>200</v>
      </c>
      <c r="P5" s="4">
        <f>(Table134[[#This Row],[Tax Income in Talents]]+Table134[[#This Row],[Trade Income]]-Table134[[#This Row],[Other Expenditure]]-Table134[[#This Row],[Garrisoned Soldier Cost]])</f>
        <v>496.4375</v>
      </c>
    </row>
    <row r="6" spans="1:16" x14ac:dyDescent="0.25">
      <c r="A6" t="s">
        <v>120</v>
      </c>
      <c r="C6" s="1">
        <v>3000</v>
      </c>
      <c r="D6">
        <v>1500</v>
      </c>
      <c r="E6" s="1">
        <v>500000</v>
      </c>
      <c r="F6" s="1">
        <v>13000</v>
      </c>
      <c r="G6" s="1">
        <f>Table134[[#This Row],[Normal Grain Harvest]]*0.6</f>
        <v>4050000</v>
      </c>
      <c r="H6" s="1">
        <v>6750000</v>
      </c>
      <c r="I6" s="1">
        <f>Table134[[#This Row],[Normal Grain Harvest]]*1.3</f>
        <v>8775000</v>
      </c>
      <c r="J6" s="1">
        <f>(Table134[[#This Row],[Population]]*365)/1000</f>
        <v>182500</v>
      </c>
      <c r="K6" s="1">
        <f>Table134[[#This Row],[Normal Grain Harvest]]-Table134[[#This Row],[Required Grain]]</f>
        <v>6567500</v>
      </c>
      <c r="L6" s="3">
        <f>(Table134[[#This Row],[Suplus Grain]]/2)/2000</f>
        <v>1641.875</v>
      </c>
      <c r="M6" t="s">
        <v>93</v>
      </c>
      <c r="P6" s="4">
        <f>(Table134[[#This Row],[Tax Income in Talents]]+Table134[[#This Row],[Trade Income]]-Table134[[#This Row],[Other Expenditure]]-Table134[[#This Row],[Garrisoned Soldier Cost]])</f>
        <v>141.875</v>
      </c>
    </row>
    <row r="7" spans="1:16" x14ac:dyDescent="0.25">
      <c r="A7" t="s">
        <v>52</v>
      </c>
      <c r="B7" t="s">
        <v>111</v>
      </c>
      <c r="C7" s="1">
        <v>3000</v>
      </c>
      <c r="D7">
        <v>1500</v>
      </c>
      <c r="E7" s="1">
        <v>500000</v>
      </c>
      <c r="F7" s="1">
        <v>13000</v>
      </c>
      <c r="G7" s="1">
        <f>Table134[[#This Row],[Normal Grain Harvest]]*0.6</f>
        <v>4050000</v>
      </c>
      <c r="H7" s="1">
        <v>6750000</v>
      </c>
      <c r="I7" s="1">
        <f>Table134[[#This Row],[Normal Grain Harvest]]*1.3</f>
        <v>8775000</v>
      </c>
      <c r="J7" s="1">
        <f>(Table134[[#This Row],[Population]]*365)/1000</f>
        <v>182500</v>
      </c>
      <c r="K7" s="1">
        <f>Table134[[#This Row],[Normal Grain Harvest]]-Table134[[#This Row],[Required Grain]]</f>
        <v>6567500</v>
      </c>
      <c r="L7" s="3">
        <f>(Table134[[#This Row],[Suplus Grain]]/2)/2000</f>
        <v>1641.875</v>
      </c>
      <c r="M7" t="s">
        <v>93</v>
      </c>
      <c r="P7" s="4">
        <f>(Table134[[#This Row],[Tax Income in Talents]]+Table134[[#This Row],[Trade Income]]-Table134[[#This Row],[Other Expenditure]]-Table134[[#This Row],[Garrisoned Soldier Cost]])</f>
        <v>141.875</v>
      </c>
    </row>
    <row r="8" spans="1:16" x14ac:dyDescent="0.25">
      <c r="A8" t="s">
        <v>44</v>
      </c>
      <c r="B8" t="s">
        <v>99</v>
      </c>
      <c r="C8" s="1">
        <v>3000</v>
      </c>
      <c r="D8">
        <v>1500</v>
      </c>
      <c r="E8" s="1">
        <v>500000</v>
      </c>
      <c r="F8" s="1">
        <v>10000</v>
      </c>
      <c r="G8" s="6">
        <f>Table134[[#This Row],[Normal Grain Harvest]]*0.6</f>
        <v>4050000</v>
      </c>
      <c r="H8" s="1">
        <v>6750000</v>
      </c>
      <c r="I8" s="1">
        <f>Table134[[#This Row],[Normal Grain Harvest]]*1.3</f>
        <v>8775000</v>
      </c>
      <c r="J8" s="1">
        <f>(Table134[[#This Row],[Population]]*365)/1000</f>
        <v>182500</v>
      </c>
      <c r="K8" s="1">
        <f>Table134[[#This Row],[Normal Grain Harvest]]-Table134[[#This Row],[Required Grain]]</f>
        <v>6567500</v>
      </c>
      <c r="L8" s="3">
        <f>(Table134[[#This Row],[Suplus Grain]]/2)/2000</f>
        <v>1641.875</v>
      </c>
      <c r="M8" t="s">
        <v>90</v>
      </c>
      <c r="P8" s="4">
        <f>(Table134[[#This Row],[Tax Income in Talents]]+Table134[[#This Row],[Trade Income]]-Table134[[#This Row],[Other Expenditure]]-Table134[[#This Row],[Garrisoned Soldier Cost]])</f>
        <v>141.875</v>
      </c>
    </row>
    <row r="9" spans="1:16" x14ac:dyDescent="0.25">
      <c r="A9" t="s">
        <v>45</v>
      </c>
      <c r="B9" t="s">
        <v>24</v>
      </c>
      <c r="C9" s="1">
        <v>4000</v>
      </c>
      <c r="D9">
        <v>1800</v>
      </c>
      <c r="E9" s="1">
        <v>500000</v>
      </c>
      <c r="F9" s="1">
        <v>20000</v>
      </c>
      <c r="G9" s="1">
        <f>Table134[[#This Row],[Normal Grain Harvest]]*0.6</f>
        <v>4050000</v>
      </c>
      <c r="H9" s="1">
        <v>6750000</v>
      </c>
      <c r="I9" s="1">
        <f>Table134[[#This Row],[Normal Grain Harvest]]*1.3</f>
        <v>8775000</v>
      </c>
      <c r="J9" s="1">
        <f>(Table134[[#This Row],[Population]]*365)/1000</f>
        <v>182500</v>
      </c>
      <c r="K9" s="1">
        <f>Table134[[#This Row],[High Grain Harvest]]-Table134[[#This Row],[Required Grain]]</f>
        <v>8592500</v>
      </c>
      <c r="L9" s="3">
        <f>(Table134[[#This Row],[Suplus Grain]]/2)/2000</f>
        <v>2148.125</v>
      </c>
      <c r="M9" t="s">
        <v>89</v>
      </c>
      <c r="P9" s="4">
        <f>(Table134[[#This Row],[Tax Income in Talents]]+Table134[[#This Row],[Trade Income]]-Table134[[#This Row],[Other Expenditure]]-Table134[[#This Row],[Garrisoned Soldier Cost]])</f>
        <v>348.125</v>
      </c>
    </row>
    <row r="10" spans="1:16" x14ac:dyDescent="0.25">
      <c r="A10" t="s">
        <v>46</v>
      </c>
      <c r="B10" t="s">
        <v>99</v>
      </c>
      <c r="C10" s="1">
        <v>3000</v>
      </c>
      <c r="D10">
        <v>1500</v>
      </c>
      <c r="E10" s="1">
        <v>500000</v>
      </c>
      <c r="F10" s="1">
        <v>20000</v>
      </c>
      <c r="G10" s="1">
        <f>Table134[[#This Row],[Normal Grain Harvest]]*0.6</f>
        <v>4050000</v>
      </c>
      <c r="H10" s="1">
        <v>6750000</v>
      </c>
      <c r="I10" s="1">
        <f>Table134[[#This Row],[Normal Grain Harvest]]*1.3</f>
        <v>8775000</v>
      </c>
      <c r="J10" s="1">
        <f>(Table134[[#This Row],[Population]]*365)/1000</f>
        <v>182500</v>
      </c>
      <c r="K10" s="1">
        <f>Table134[[#This Row],[Low Grain Harvest]]-Table134[[#This Row],[Required Grain]]</f>
        <v>3867500</v>
      </c>
      <c r="L10" s="3">
        <f>(Table134[[#This Row],[Suplus Grain]]/2)/2000</f>
        <v>966.875</v>
      </c>
      <c r="M10" t="s">
        <v>88</v>
      </c>
      <c r="P10" s="4">
        <f>(Table134[[#This Row],[Tax Income in Talents]]+Table134[[#This Row],[Trade Income]]-Table134[[#This Row],[Other Expenditure]]-Table134[[#This Row],[Garrisoned Soldier Cost]])</f>
        <v>-533.125</v>
      </c>
    </row>
    <row r="11" spans="1:16" x14ac:dyDescent="0.25">
      <c r="A11" t="s">
        <v>67</v>
      </c>
      <c r="B11" t="s">
        <v>24</v>
      </c>
      <c r="C11" s="1">
        <v>4000</v>
      </c>
      <c r="D11">
        <v>1800</v>
      </c>
      <c r="E11" s="1">
        <v>400000</v>
      </c>
      <c r="F11" s="1">
        <v>20000</v>
      </c>
      <c r="G11" s="1">
        <f>Table134[[#This Row],[Normal Grain Harvest]]*0.6</f>
        <v>4050000</v>
      </c>
      <c r="H11" s="1">
        <v>6750000</v>
      </c>
      <c r="I11" s="1">
        <f>Table134[[#This Row],[Normal Grain Harvest]]*1.3</f>
        <v>8775000</v>
      </c>
      <c r="J11" s="1">
        <f>(Table134[[#This Row],[Population]]*365)/1000</f>
        <v>146000</v>
      </c>
      <c r="K11" s="1">
        <f>Table134[[#This Row],[High Grain Harvest]]-Table134[[#This Row],[Required Grain]]</f>
        <v>8629000</v>
      </c>
      <c r="L11" s="3">
        <f>(Table134[[#This Row],[Suplus Grain]]/2)/2000</f>
        <v>2157.25</v>
      </c>
      <c r="M11" t="s">
        <v>91</v>
      </c>
      <c r="P11" s="4">
        <f>(Table134[[#This Row],[Tax Income in Talents]]+Table134[[#This Row],[Trade Income]]-Table134[[#This Row],[Other Expenditure]]-Table134[[#This Row],[Garrisoned Soldier Cost]])</f>
        <v>357.25</v>
      </c>
    </row>
    <row r="12" spans="1:16" x14ac:dyDescent="0.25">
      <c r="A12" t="s">
        <v>25</v>
      </c>
      <c r="B12" t="s">
        <v>24</v>
      </c>
      <c r="C12" s="1">
        <v>4000</v>
      </c>
      <c r="D12">
        <v>1800</v>
      </c>
      <c r="E12" s="1">
        <v>750000</v>
      </c>
      <c r="F12" s="1">
        <v>13000</v>
      </c>
      <c r="G12" s="1">
        <f>Table134[[#This Row],[Normal Grain Harvest]]*0.6</f>
        <v>4050000</v>
      </c>
      <c r="H12" s="1">
        <v>6750000</v>
      </c>
      <c r="I12" s="1">
        <f>Table134[[#This Row],[Normal Grain Harvest]]*1.3</f>
        <v>8775000</v>
      </c>
      <c r="J12" s="1">
        <f>(Table134[[#This Row],[Population]]*365)/1000</f>
        <v>273750</v>
      </c>
      <c r="K12" s="1">
        <f>Table134[[#This Row],[Low Grain Harvest]]-Table134[[#This Row],[Required Grain]]</f>
        <v>3776250</v>
      </c>
      <c r="L12" s="3">
        <f>(Table134[[#This Row],[Suplus Grain]]/2)/2000</f>
        <v>944.0625</v>
      </c>
      <c r="M12" t="s">
        <v>87</v>
      </c>
      <c r="P12" s="4">
        <f>(Table134[[#This Row],[Tax Income in Talents]]+Table134[[#This Row],[Trade Income]]-Table134[[#This Row],[Other Expenditure]]-Table134[[#This Row],[Garrisoned Soldier Cost]])</f>
        <v>-855.9375</v>
      </c>
    </row>
    <row r="13" spans="1:16" x14ac:dyDescent="0.25">
      <c r="A13" t="s">
        <v>47</v>
      </c>
      <c r="B13" t="s">
        <v>96</v>
      </c>
      <c r="C13" s="1">
        <v>1500</v>
      </c>
      <c r="D13">
        <v>1500</v>
      </c>
      <c r="E13" s="1">
        <v>500000</v>
      </c>
      <c r="F13" s="1">
        <v>10000</v>
      </c>
      <c r="G13" s="1">
        <f>Table134[[#This Row],[Normal Grain Harvest]]*0.6</f>
        <v>2250000</v>
      </c>
      <c r="H13" s="1">
        <f>7500000/2</f>
        <v>3750000</v>
      </c>
      <c r="I13" s="1">
        <f>Table134[[#This Row],[Normal Grain Harvest]]*1.3</f>
        <v>4875000</v>
      </c>
      <c r="J13" s="1">
        <f>(Table134[[#This Row],[Population]]*365)/1000</f>
        <v>182500</v>
      </c>
      <c r="K13" s="1">
        <f>Table134[[#This Row],[Normal Grain Harvest]]-Table134[[#This Row],[Required Grain]]</f>
        <v>3567500</v>
      </c>
      <c r="L13" s="3">
        <f>(Table134[[#This Row],[Suplus Grain]]/2)/2000</f>
        <v>891.875</v>
      </c>
      <c r="M13" t="s">
        <v>86</v>
      </c>
      <c r="P13" s="4">
        <f>(Table134[[#This Row],[Tax Income in Talents]]+Table134[[#This Row],[Trade Income]]-Table134[[#This Row],[Other Expenditure]]-Table134[[#This Row],[Garrisoned Soldier Cost]])</f>
        <v>-608.125</v>
      </c>
    </row>
    <row r="14" spans="1:16" x14ac:dyDescent="0.25">
      <c r="A14" t="s">
        <v>121</v>
      </c>
      <c r="B14" t="s">
        <v>96</v>
      </c>
      <c r="C14" s="1">
        <v>1500</v>
      </c>
      <c r="D14">
        <v>1500</v>
      </c>
      <c r="E14" s="1">
        <v>500000</v>
      </c>
      <c r="F14" s="1">
        <v>10000</v>
      </c>
      <c r="G14" s="1">
        <f>Table134[[#This Row],[Normal Grain Harvest]]*0.6</f>
        <v>2250000</v>
      </c>
      <c r="H14" s="1">
        <f>7500000/2</f>
        <v>3750000</v>
      </c>
      <c r="I14" s="1">
        <f>Table134[[#This Row],[Normal Grain Harvest]]*1.3</f>
        <v>4875000</v>
      </c>
      <c r="J14" s="1">
        <f>(Table134[[#This Row],[Population]]*365)/1000</f>
        <v>182500</v>
      </c>
      <c r="K14" s="1">
        <f>Table134[[#This Row],[Normal Grain Harvest]]-Table134[[#This Row],[Required Grain]]</f>
        <v>3567500</v>
      </c>
      <c r="L14" s="3">
        <f>(Table134[[#This Row],[Suplus Grain]]/2)/2000</f>
        <v>891.875</v>
      </c>
      <c r="M14" t="s">
        <v>86</v>
      </c>
      <c r="P14" s="4">
        <f>(Table134[[#This Row],[Tax Income in Talents]]+Table134[[#This Row],[Trade Income]]-Table134[[#This Row],[Other Expenditure]]-Table134[[#This Row],[Garrisoned Soldier Cost]])</f>
        <v>-608.125</v>
      </c>
    </row>
    <row r="15" spans="1:16" x14ac:dyDescent="0.25">
      <c r="A15" t="s">
        <v>105</v>
      </c>
      <c r="B15" t="s">
        <v>96</v>
      </c>
      <c r="C15" s="1">
        <v>200</v>
      </c>
      <c r="D15">
        <v>100</v>
      </c>
      <c r="E15" s="1">
        <v>1000000</v>
      </c>
      <c r="F15" s="1">
        <v>20000</v>
      </c>
      <c r="G15" s="6">
        <f>Table134[[#This Row],[Normal Grain Harvest]]*0.6</f>
        <v>4500000</v>
      </c>
      <c r="H15" s="1">
        <v>7500000</v>
      </c>
      <c r="I15" s="1">
        <f>Table134[[#This Row],[Normal Grain Harvest]]*1.3</f>
        <v>9750000</v>
      </c>
      <c r="J15" s="1">
        <f>(Table134[[#This Row],[Population]]*365)/1000</f>
        <v>365000</v>
      </c>
      <c r="K15" s="1">
        <f>Table134[[#This Row],[Normal Grain Harvest]]-Table134[[#This Row],[Required Grain]]</f>
        <v>7135000</v>
      </c>
      <c r="L15" s="3">
        <f>(Table134[[#This Row],[Suplus Grain]]/2)/2000</f>
        <v>1783.75</v>
      </c>
      <c r="M15" t="s">
        <v>86</v>
      </c>
      <c r="P15" s="4">
        <f>(Table134[[#This Row],[Tax Income in Talents]]+Table134[[#This Row],[Trade Income]]-Table134[[#This Row],[Other Expenditure]]-Table134[[#This Row],[Garrisoned Soldier Cost]])</f>
        <v>1683.75</v>
      </c>
    </row>
    <row r="16" spans="1:16" x14ac:dyDescent="0.25">
      <c r="A16" t="s">
        <v>48</v>
      </c>
      <c r="B16" t="s">
        <v>96</v>
      </c>
      <c r="C16" s="1">
        <v>6000</v>
      </c>
      <c r="D16">
        <v>2400</v>
      </c>
      <c r="E16" s="1">
        <v>3500000</v>
      </c>
      <c r="F16" s="1">
        <v>80000</v>
      </c>
      <c r="G16" s="1">
        <f>Table134[[#This Row],[Normal Grain Harvest]]*0.6</f>
        <v>13905000</v>
      </c>
      <c r="H16" s="1">
        <v>23175000</v>
      </c>
      <c r="I16" s="6">
        <f>Table134[[#This Row],[Normal Grain Harvest]]*1.3</f>
        <v>30127500</v>
      </c>
      <c r="J16" s="1">
        <f>(Table134[[#This Row],[Population]]*365)/1000</f>
        <v>1277500</v>
      </c>
      <c r="K16" s="1">
        <f>Table134[[#This Row],[Normal Grain Harvest]]-Table134[[#This Row],[Required Grain]]</f>
        <v>21897500</v>
      </c>
      <c r="L16" s="3">
        <f>(Table134[[#This Row],[Suplus Grain]]/2)/2000</f>
        <v>5474.375</v>
      </c>
      <c r="M16">
        <v>273</v>
      </c>
      <c r="P16" s="4">
        <f>(Table134[[#This Row],[Tax Income in Talents]]+Table134[[#This Row],[Trade Income]]-Table134[[#This Row],[Other Expenditure]]-Table134[[#This Row],[Garrisoned Soldier Cost]])</f>
        <v>3074.375</v>
      </c>
    </row>
    <row r="17" spans="1:16" x14ac:dyDescent="0.25">
      <c r="A17" t="s">
        <v>49</v>
      </c>
      <c r="B17" t="s">
        <v>101</v>
      </c>
      <c r="C17" s="1">
        <v>5000</v>
      </c>
      <c r="D17">
        <v>2500</v>
      </c>
      <c r="E17" s="1">
        <v>2000000</v>
      </c>
      <c r="F17" s="1">
        <v>45000</v>
      </c>
      <c r="G17" s="1">
        <f>Table134[[#This Row],[Normal Grain Harvest]]*0.6</f>
        <v>7800000</v>
      </c>
      <c r="H17" s="1">
        <v>13000000</v>
      </c>
      <c r="I17" s="6">
        <f>Table134[[#This Row],[Normal Grain Harvest]]*1.3</f>
        <v>16900000</v>
      </c>
      <c r="J17" s="1">
        <f>(Table134[[#This Row],[Population]]*365)/1000</f>
        <v>730000</v>
      </c>
      <c r="K17" s="1">
        <f>Table134[[#This Row],[Low Grain Harvest]]-Table134[[#This Row],[Required Grain]]</f>
        <v>7070000</v>
      </c>
      <c r="L17" s="3">
        <f>(Table134[[#This Row],[Suplus Grain]]/2)/2000</f>
        <v>1767.5</v>
      </c>
      <c r="M17" t="s">
        <v>85</v>
      </c>
      <c r="P17" s="4">
        <f>(Table134[[#This Row],[Tax Income in Talents]]+Table134[[#This Row],[Trade Income]]-Table134[[#This Row],[Other Expenditure]]-Table134[[#This Row],[Garrisoned Soldier Cost]])</f>
        <v>-732.5</v>
      </c>
    </row>
    <row r="18" spans="1:16" x14ac:dyDescent="0.25">
      <c r="A18" t="s">
        <v>50</v>
      </c>
      <c r="B18" t="s">
        <v>103</v>
      </c>
      <c r="C18" s="1">
        <v>5000</v>
      </c>
      <c r="D18">
        <v>2500</v>
      </c>
      <c r="E18" s="1">
        <v>1500000</v>
      </c>
      <c r="F18" s="1">
        <v>40000</v>
      </c>
      <c r="G18" s="1">
        <f>Table134[[#This Row],[Normal Grain Harvest]]*0.6</f>
        <v>7800000</v>
      </c>
      <c r="H18" s="1">
        <v>13000000</v>
      </c>
      <c r="I18" s="1">
        <f>Table134[[#This Row],[Normal Grain Harvest]]*1.3</f>
        <v>16900000</v>
      </c>
      <c r="J18" s="1">
        <f>(Table134[[#This Row],[Population]]*365)/1000</f>
        <v>547500</v>
      </c>
      <c r="K18" s="1">
        <f>Table134[[#This Row],[Normal Grain Harvest]]-Table134[[#This Row],[Required Grain]]</f>
        <v>12452500</v>
      </c>
      <c r="L18" s="3">
        <f>(Table134[[#This Row],[Suplus Grain]]/2)/2000</f>
        <v>3113.125</v>
      </c>
      <c r="M18" t="s">
        <v>85</v>
      </c>
      <c r="N18">
        <v>10</v>
      </c>
      <c r="P18" s="4">
        <f>(Table134[[#This Row],[Tax Income in Talents]]+Table134[[#This Row],[Trade Income]]-Table134[[#This Row],[Other Expenditure]]-Table134[[#This Row],[Garrisoned Soldier Cost]])</f>
        <v>623.125</v>
      </c>
    </row>
    <row r="19" spans="1:16" x14ac:dyDescent="0.25">
      <c r="A19" t="s">
        <v>51</v>
      </c>
      <c r="B19" t="s">
        <v>97</v>
      </c>
      <c r="C19" s="1">
        <v>5000</v>
      </c>
      <c r="D19">
        <v>2500</v>
      </c>
      <c r="E19" s="1">
        <v>1000000</v>
      </c>
      <c r="F19" s="1">
        <v>45000</v>
      </c>
      <c r="G19" s="1">
        <f>Table134[[#This Row],[Normal Grain Harvest]]*0.6</f>
        <v>7800000</v>
      </c>
      <c r="H19" s="1">
        <v>13000000</v>
      </c>
      <c r="I19" s="1">
        <f>Table134[[#This Row],[Normal Grain Harvest]]*1.3</f>
        <v>16900000</v>
      </c>
      <c r="J19" s="1">
        <f>(Table134[[#This Row],[Population]]*365)/1000</f>
        <v>365000</v>
      </c>
      <c r="K19" s="1">
        <f>Table134[[#This Row],[Normal Grain Harvest]]-Table134[[#This Row],[Required Grain]]</f>
        <v>12635000</v>
      </c>
      <c r="L19" s="3">
        <f>(Table134[[#This Row],[Suplus Grain]]/2)/2000</f>
        <v>3158.75</v>
      </c>
      <c r="M19" t="s">
        <v>56</v>
      </c>
      <c r="P19" s="4">
        <f>(Table134[[#This Row],[Tax Income in Talents]]+Table134[[#This Row],[Trade Income]]-Table134[[#This Row],[Other Expenditure]]-Table134[[#This Row],[Garrisoned Soldier Cost]])</f>
        <v>658.75</v>
      </c>
    </row>
    <row r="20" spans="1:16" x14ac:dyDescent="0.25">
      <c r="A20" t="s">
        <v>70</v>
      </c>
      <c r="B20" t="s">
        <v>30</v>
      </c>
      <c r="C20" s="1">
        <v>5000</v>
      </c>
      <c r="D20">
        <v>2500</v>
      </c>
      <c r="E20" s="1">
        <v>2250000</v>
      </c>
      <c r="F20" s="1">
        <v>45000</v>
      </c>
      <c r="G20" s="1">
        <f>Table134[[#This Row],[Normal Grain Harvest]]*0.6</f>
        <v>7800000</v>
      </c>
      <c r="H20" s="1">
        <v>13000000</v>
      </c>
      <c r="I20" s="1">
        <f>Table134[[#This Row],[Normal Grain Harvest]]*1.3</f>
        <v>16900000</v>
      </c>
      <c r="J20" s="1">
        <f>(Table134[[#This Row],[Population]]*365)/1000</f>
        <v>821250</v>
      </c>
      <c r="K20" s="1">
        <f>Table134[[#This Row],[Low Grain Harvest]]-Table134[[#This Row],[Required Grain]]</f>
        <v>6978750</v>
      </c>
      <c r="L20" s="3">
        <f>(Table134[[#This Row],[Suplus Grain]]/2)/2000</f>
        <v>1744.6875</v>
      </c>
      <c r="M20" t="s">
        <v>57</v>
      </c>
      <c r="P20" s="4">
        <f>(Table134[[#This Row],[Tax Income in Talents]]+Table134[[#This Row],[Trade Income]]-Table134[[#This Row],[Other Expenditure]]-Table134[[#This Row],[Garrisoned Soldier Cost]])</f>
        <v>-755.3125</v>
      </c>
    </row>
    <row r="21" spans="1:16" x14ac:dyDescent="0.25">
      <c r="A21" t="s">
        <v>68</v>
      </c>
      <c r="B21" t="s">
        <v>109</v>
      </c>
      <c r="C21" s="1">
        <v>3000</v>
      </c>
      <c r="D21">
        <v>1500</v>
      </c>
      <c r="E21" s="1">
        <v>750000</v>
      </c>
      <c r="F21">
        <v>7000</v>
      </c>
      <c r="G21" s="1">
        <f>Table134[[#This Row],[Normal Grain Harvest]]*0.6</f>
        <v>3900000</v>
      </c>
      <c r="H21" s="1">
        <v>6500000</v>
      </c>
      <c r="I21" s="1">
        <f>Table134[[#This Row],[Normal Grain Harvest]]*1.3</f>
        <v>8450000</v>
      </c>
      <c r="J21" s="1">
        <f>(Table134[[#This Row],[Population]]*365)/1000</f>
        <v>273750</v>
      </c>
      <c r="K21" s="1">
        <f>Table134[[#This Row],[Low Grain Harvest]]-Table134[[#This Row],[Required Grain]]</f>
        <v>3626250</v>
      </c>
      <c r="L21" s="3">
        <f>(Table134[[#This Row],[Suplus Grain]]/2)/2000</f>
        <v>906.5625</v>
      </c>
      <c r="M21" t="s">
        <v>88</v>
      </c>
      <c r="P21" s="4">
        <f>(Table134[[#This Row],[Tax Income in Talents]]+Table134[[#This Row],[Trade Income]]-Table134[[#This Row],[Other Expenditure]]-Table134[[#This Row],[Garrisoned Soldier Cost]])</f>
        <v>-593.4375</v>
      </c>
    </row>
    <row r="22" spans="1:16" x14ac:dyDescent="0.25">
      <c r="A22" t="s">
        <v>69</v>
      </c>
      <c r="B22" t="s">
        <v>98</v>
      </c>
      <c r="C22" s="1">
        <v>3000</v>
      </c>
      <c r="D22">
        <v>1500</v>
      </c>
      <c r="E22" s="1">
        <v>1000000</v>
      </c>
      <c r="F22" s="1">
        <v>20000</v>
      </c>
      <c r="G22" s="1">
        <f>Table134[[#This Row],[Normal Grain Harvest]]*0.6</f>
        <v>4500000</v>
      </c>
      <c r="H22" s="1">
        <v>7500000</v>
      </c>
      <c r="I22" s="6">
        <f>Table134[[#This Row],[Normal Grain Harvest]]*1.3</f>
        <v>9750000</v>
      </c>
      <c r="J22" s="1">
        <f>(Table134[[#This Row],[Population]]*365)/1000</f>
        <v>365000</v>
      </c>
      <c r="K22" s="1">
        <f>Table134[[#This Row],[Normal Grain Harvest]]-Table134[[#This Row],[Required Grain]]</f>
        <v>7135000</v>
      </c>
      <c r="L22" s="3">
        <f>(Table134[[#This Row],[Suplus Grain]]/2)/2000</f>
        <v>1783.75</v>
      </c>
      <c r="M22" t="s">
        <v>92</v>
      </c>
      <c r="P22" s="4">
        <f>(Table134[[#This Row],[Tax Income in Talents]]+Table134[[#This Row],[Trade Income]]-Table134[[#This Row],[Other Expenditure]]-Table134[[#This Row],[Garrisoned Soldier Cost]])</f>
        <v>283.75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D16" sqref="D16"/>
    </sheetView>
  </sheetViews>
  <sheetFormatPr defaultRowHeight="15" x14ac:dyDescent="0.25"/>
  <cols>
    <col min="1" max="1" width="13.5703125" customWidth="1"/>
  </cols>
  <sheetData>
    <row r="1" spans="1:3" x14ac:dyDescent="0.25">
      <c r="A1" t="s">
        <v>112</v>
      </c>
    </row>
    <row r="2" spans="1:3" x14ac:dyDescent="0.25">
      <c r="A2" t="s">
        <v>113</v>
      </c>
      <c r="B2" t="s">
        <v>114</v>
      </c>
      <c r="C2" t="s">
        <v>116</v>
      </c>
    </row>
    <row r="3" spans="1:3" x14ac:dyDescent="0.25">
      <c r="A3" t="s">
        <v>113</v>
      </c>
      <c r="B3" t="s">
        <v>49</v>
      </c>
      <c r="C3" t="s">
        <v>116</v>
      </c>
    </row>
    <row r="4" spans="1:3" x14ac:dyDescent="0.25">
      <c r="A4" t="s">
        <v>113</v>
      </c>
      <c r="B4" t="s">
        <v>51</v>
      </c>
      <c r="C4" t="s">
        <v>116</v>
      </c>
    </row>
    <row r="5" spans="1:3" x14ac:dyDescent="0.25">
      <c r="A5" t="s">
        <v>113</v>
      </c>
      <c r="B5" t="s">
        <v>17</v>
      </c>
      <c r="C5" t="s">
        <v>116</v>
      </c>
    </row>
    <row r="6" spans="1:3" x14ac:dyDescent="0.25">
      <c r="A6" t="s">
        <v>115</v>
      </c>
      <c r="C6">
        <v>200</v>
      </c>
    </row>
    <row r="7" spans="1:3" x14ac:dyDescent="0.25">
      <c r="A7" t="s">
        <v>16</v>
      </c>
      <c r="B7" t="s">
        <v>48</v>
      </c>
      <c r="C7" t="s">
        <v>116</v>
      </c>
    </row>
    <row r="8" spans="1:3" x14ac:dyDescent="0.25">
      <c r="A8" t="s">
        <v>113</v>
      </c>
      <c r="B8" t="s">
        <v>117</v>
      </c>
      <c r="C8" t="s">
        <v>78</v>
      </c>
    </row>
    <row r="9" spans="1:3" x14ac:dyDescent="0.25">
      <c r="A9" t="s">
        <v>118</v>
      </c>
      <c r="C9" t="s">
        <v>119</v>
      </c>
    </row>
    <row r="10" spans="1:3" x14ac:dyDescent="0.25">
      <c r="A10" t="s">
        <v>39</v>
      </c>
      <c r="B10" t="s">
        <v>120</v>
      </c>
      <c r="C10" t="s">
        <v>116</v>
      </c>
    </row>
    <row r="11" spans="1:3" x14ac:dyDescent="0.25">
      <c r="A11" t="s">
        <v>122</v>
      </c>
      <c r="C1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Army Costs</vt:lpstr>
      <vt:lpstr>Money Value</vt:lpstr>
      <vt:lpstr>Distribution of Money</vt:lpstr>
      <vt:lpstr>Distribution of Troops</vt:lpstr>
      <vt:lpstr>Year 323</vt:lpstr>
      <vt:lpstr>Year 322</vt:lpstr>
      <vt:lpstr>Year 321</vt:lpstr>
      <vt:lpstr>Trade deals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Erickson</dc:creator>
  <cp:lastModifiedBy>Kyle Erickson</cp:lastModifiedBy>
  <dcterms:created xsi:type="dcterms:W3CDTF">2018-10-26T07:41:42Z</dcterms:created>
  <dcterms:modified xsi:type="dcterms:W3CDTF">2018-10-30T13:26:05Z</dcterms:modified>
</cp:coreProperties>
</file>