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01478_student_uwtsd_ac_uk/Documents/Documents/"/>
    </mc:Choice>
  </mc:AlternateContent>
  <xr:revisionPtr revIDLastSave="0" documentId="8_{3DBE000E-E73E-495F-B0E5-C58E67A1CB3A}" xr6:coauthVersionLast="47" xr6:coauthVersionMax="47" xr10:uidLastSave="{00000000-0000-0000-0000-000000000000}"/>
  <bookViews>
    <workbookView xWindow="-120" yWindow="-120" windowWidth="29040" windowHeight="15840" xr2:uid="{A6935BD3-09BD-4DFA-98A0-73AEC26381C1}"/>
  </bookViews>
  <sheets>
    <sheet name="Friction" sheetId="3" r:id="rId1"/>
    <sheet name="Gears" sheetId="4" r:id="rId2"/>
    <sheet name="Simple Harmonic Motion" sheetId="6" r:id="rId3"/>
    <sheet name="Rotational Friction"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7" i="5" l="1"/>
  <c r="X16" i="5"/>
  <c r="X15" i="5"/>
  <c r="X14" i="5"/>
  <c r="X13" i="5"/>
  <c r="X12" i="5"/>
  <c r="X11" i="5"/>
  <c r="X10" i="5"/>
  <c r="X9" i="5"/>
  <c r="X8" i="5"/>
  <c r="AC9" i="5"/>
  <c r="W17" i="5"/>
  <c r="W16" i="5"/>
  <c r="W15" i="5"/>
  <c r="W14" i="5"/>
  <c r="W13" i="5"/>
  <c r="W12" i="5"/>
  <c r="W11" i="5"/>
  <c r="W10" i="5"/>
  <c r="W9" i="5"/>
  <c r="W8" i="5"/>
  <c r="T49" i="3"/>
  <c r="T17" i="3"/>
  <c r="N7" i="5"/>
  <c r="X9" i="3"/>
  <c r="X8" i="3"/>
  <c r="X7" i="3"/>
  <c r="X6" i="3"/>
  <c r="E17" i="3"/>
  <c r="E16" i="3"/>
  <c r="E15" i="3"/>
  <c r="E14" i="3"/>
  <c r="E13" i="3"/>
  <c r="B17" i="3"/>
  <c r="B16" i="3"/>
  <c r="B15" i="3"/>
  <c r="B14" i="3"/>
  <c r="B13" i="3"/>
  <c r="AF8" i="4"/>
  <c r="AE8" i="4"/>
  <c r="Z8" i="4"/>
  <c r="Y8" i="4"/>
  <c r="G17" i="3"/>
  <c r="G16" i="3"/>
  <c r="G15" i="3"/>
  <c r="G14" i="3"/>
  <c r="AH17" i="5"/>
  <c r="AH16" i="5"/>
  <c r="AH15" i="5"/>
  <c r="AH14" i="5"/>
  <c r="AH13" i="5"/>
  <c r="AH12" i="5"/>
  <c r="AH11" i="5"/>
  <c r="AH10" i="5"/>
  <c r="AH9" i="5"/>
  <c r="AH8" i="5"/>
  <c r="AG17" i="5"/>
  <c r="AG16" i="5"/>
  <c r="AG15" i="5"/>
  <c r="AG14" i="5"/>
  <c r="AG13" i="5"/>
  <c r="AG12" i="5"/>
  <c r="AG11" i="5"/>
  <c r="AG10" i="5"/>
  <c r="AG9" i="5"/>
  <c r="AG8" i="5"/>
  <c r="AC17" i="5"/>
  <c r="AC16" i="5"/>
  <c r="AC15" i="5"/>
  <c r="AC14" i="5"/>
  <c r="AC13" i="5"/>
  <c r="AC12" i="5"/>
  <c r="AC11" i="5"/>
  <c r="AC10" i="5"/>
  <c r="AC8" i="5"/>
  <c r="AB17" i="5"/>
  <c r="AB16" i="5"/>
  <c r="AB15" i="5"/>
  <c r="AB14" i="5"/>
  <c r="AB13" i="5"/>
  <c r="AB12" i="5"/>
  <c r="AB11" i="5"/>
  <c r="AB10" i="5"/>
  <c r="AB9" i="5"/>
  <c r="AB8" i="5"/>
  <c r="S17" i="5"/>
  <c r="S16" i="5"/>
  <c r="S15" i="5"/>
  <c r="S14" i="5"/>
  <c r="S13" i="5"/>
  <c r="S12" i="5"/>
  <c r="S11" i="5"/>
  <c r="S10" i="5"/>
  <c r="S9" i="5"/>
  <c r="S8" i="5"/>
  <c r="R17" i="5"/>
  <c r="R16" i="5"/>
  <c r="R15" i="5"/>
  <c r="R14" i="5"/>
  <c r="R13" i="5"/>
  <c r="R12" i="5"/>
  <c r="R11" i="5"/>
  <c r="R10" i="5"/>
  <c r="R9" i="5"/>
  <c r="R8" i="5"/>
  <c r="AG20" i="4"/>
  <c r="AG19" i="4"/>
  <c r="AG18" i="4"/>
  <c r="AG17" i="4"/>
  <c r="AG16" i="4"/>
  <c r="AG15" i="4"/>
  <c r="AG14" i="4"/>
  <c r="AF20" i="4"/>
  <c r="AF19" i="4"/>
  <c r="AF15" i="4"/>
  <c r="AF18" i="4"/>
  <c r="AF17" i="4"/>
  <c r="AF16" i="4"/>
  <c r="AF14" i="4"/>
  <c r="N16" i="5"/>
  <c r="N15" i="5"/>
  <c r="N14" i="5"/>
  <c r="N13" i="5"/>
  <c r="N12" i="5"/>
  <c r="N11" i="5"/>
  <c r="N10" i="5"/>
  <c r="N9" i="5"/>
  <c r="N8" i="5"/>
  <c r="M16" i="5"/>
  <c r="M15" i="5"/>
  <c r="M14" i="5"/>
  <c r="M13" i="5"/>
  <c r="M12" i="5"/>
  <c r="M11" i="5"/>
  <c r="M10" i="5"/>
  <c r="M9" i="5"/>
  <c r="M8" i="5"/>
  <c r="M7" i="5"/>
  <c r="I16" i="5"/>
  <c r="I15" i="5"/>
  <c r="I14" i="5"/>
  <c r="I13" i="5"/>
  <c r="I12" i="5"/>
  <c r="I11" i="5"/>
  <c r="I10" i="5"/>
  <c r="I9" i="5"/>
  <c r="I8" i="5"/>
  <c r="I7" i="5"/>
  <c r="H11" i="5"/>
  <c r="H16" i="5"/>
  <c r="H15" i="5"/>
  <c r="H14" i="5"/>
  <c r="H13" i="5"/>
  <c r="H12" i="5"/>
  <c r="H10" i="5"/>
  <c r="H9" i="5"/>
  <c r="H8" i="5"/>
  <c r="H7" i="5"/>
  <c r="D16" i="5"/>
  <c r="D15" i="5"/>
  <c r="D14" i="5"/>
  <c r="D13" i="5"/>
  <c r="D12" i="5"/>
  <c r="D11" i="5"/>
  <c r="D10" i="5"/>
  <c r="D9" i="5"/>
  <c r="D8" i="5"/>
  <c r="D7" i="5"/>
  <c r="C16" i="5"/>
  <c r="C15" i="5"/>
  <c r="C14" i="5"/>
  <c r="C13" i="5"/>
  <c r="C12" i="5"/>
  <c r="C11" i="5"/>
  <c r="C10" i="5"/>
  <c r="C9" i="5"/>
  <c r="C8" i="5"/>
  <c r="C7" i="5"/>
  <c r="AA14" i="4"/>
  <c r="AA20" i="4"/>
  <c r="AA19" i="4"/>
  <c r="AA18" i="4"/>
  <c r="AA17" i="4"/>
  <c r="AA16" i="4"/>
  <c r="AA15" i="4"/>
  <c r="Z20" i="4"/>
  <c r="Z19" i="4"/>
  <c r="Z18" i="4"/>
  <c r="Z17" i="4"/>
  <c r="Z16" i="4"/>
  <c r="Z15" i="4"/>
  <c r="Z14" i="4"/>
  <c r="T27" i="4"/>
  <c r="T26" i="4"/>
  <c r="T25" i="4"/>
  <c r="T24" i="4"/>
  <c r="T23" i="4"/>
  <c r="T22" i="4"/>
  <c r="T21" i="4"/>
  <c r="T20" i="4"/>
  <c r="I18" i="4"/>
  <c r="S21" i="4"/>
  <c r="S27" i="4"/>
  <c r="S26" i="4"/>
  <c r="S25" i="4"/>
  <c r="S24" i="4"/>
  <c r="S23" i="4"/>
  <c r="S22" i="4"/>
  <c r="S20" i="4"/>
  <c r="D23" i="4"/>
  <c r="D22" i="4"/>
  <c r="D21" i="4"/>
  <c r="D20" i="4"/>
  <c r="D19" i="4"/>
  <c r="D18" i="4"/>
  <c r="D17" i="4"/>
  <c r="D16" i="4"/>
  <c r="N17" i="4"/>
  <c r="N23" i="4"/>
  <c r="N22" i="4"/>
  <c r="N21" i="4"/>
  <c r="N20" i="4"/>
  <c r="N19" i="4"/>
  <c r="N18" i="4"/>
  <c r="N16" i="4"/>
  <c r="M16" i="4"/>
  <c r="M20" i="4"/>
  <c r="M23" i="4"/>
  <c r="M22" i="4"/>
  <c r="M21" i="4"/>
  <c r="M19" i="4"/>
  <c r="M18" i="4"/>
  <c r="M17" i="4"/>
  <c r="I23" i="4"/>
  <c r="I22" i="4"/>
  <c r="I21" i="4"/>
  <c r="I20" i="4"/>
  <c r="I19" i="4"/>
  <c r="I17" i="4"/>
  <c r="I16" i="4"/>
  <c r="H23" i="4"/>
  <c r="H22" i="4"/>
  <c r="H21" i="4"/>
  <c r="H20" i="4"/>
  <c r="H19" i="4"/>
  <c r="H18" i="4"/>
  <c r="H17" i="4"/>
  <c r="H16" i="4"/>
  <c r="C16" i="4"/>
  <c r="C23" i="4"/>
  <c r="C22" i="4"/>
  <c r="C21" i="4"/>
  <c r="C20" i="4"/>
  <c r="C19" i="4"/>
  <c r="C18" i="4"/>
  <c r="C17" i="4"/>
  <c r="G13" i="3"/>
  <c r="D17" i="3"/>
  <c r="D16" i="3"/>
  <c r="D15" i="3"/>
  <c r="D14" i="3"/>
  <c r="D13" i="3"/>
  <c r="T62" i="3"/>
  <c r="T61" i="3"/>
  <c r="T60" i="3"/>
  <c r="T59" i="3"/>
  <c r="T58" i="3"/>
  <c r="R62" i="3"/>
  <c r="R61" i="3"/>
  <c r="R60" i="3"/>
  <c r="R59" i="3"/>
  <c r="R58" i="3"/>
  <c r="T53" i="3"/>
  <c r="T52" i="3"/>
  <c r="T51" i="3"/>
  <c r="T50" i="3"/>
  <c r="R53" i="3"/>
  <c r="R52" i="3"/>
  <c r="R51" i="3"/>
  <c r="R50" i="3"/>
  <c r="R40" i="3"/>
  <c r="R49" i="3"/>
  <c r="T44" i="3"/>
  <c r="T43" i="3"/>
  <c r="T42" i="3"/>
  <c r="T41" i="3"/>
  <c r="R44" i="3"/>
  <c r="R43" i="3"/>
  <c r="R42" i="3"/>
  <c r="R41" i="3"/>
  <c r="T40" i="3"/>
  <c r="T30" i="3"/>
  <c r="T29" i="3"/>
  <c r="T28" i="3"/>
  <c r="T27" i="3"/>
  <c r="T26" i="3"/>
  <c r="R30" i="3"/>
  <c r="R29" i="3"/>
  <c r="R28" i="3"/>
  <c r="R27" i="3"/>
  <c r="R26" i="3"/>
  <c r="T21" i="3"/>
  <c r="T20" i="3"/>
  <c r="T19" i="3"/>
  <c r="T18" i="3"/>
  <c r="R21" i="3"/>
  <c r="R20" i="3"/>
  <c r="R19" i="3"/>
  <c r="R18" i="3"/>
  <c r="R17" i="3"/>
  <c r="T12" i="3"/>
  <c r="T11" i="3"/>
  <c r="T10" i="3"/>
  <c r="T9" i="3"/>
  <c r="T8" i="3"/>
  <c r="R12" i="3"/>
  <c r="R11" i="3"/>
  <c r="R10" i="3"/>
  <c r="R9" i="3"/>
  <c r="R8" i="3"/>
  <c r="N9" i="3"/>
  <c r="N8" i="3"/>
  <c r="N7" i="3"/>
  <c r="L9" i="3"/>
  <c r="L8" i="3"/>
  <c r="L7" i="3"/>
</calcChain>
</file>

<file path=xl/sharedStrings.xml><?xml version="1.0" encoding="utf-8"?>
<sst xmlns="http://schemas.openxmlformats.org/spreadsheetml/2006/main" count="404" uniqueCount="152">
  <si>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</si>
  <si>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</si>
  <si>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</si>
  <si>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</si>
  <si>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</si>
  <si>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</si>
  <si>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</si>
  <si>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</si>
  <si>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</si>
  <si>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</si>
  <si>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</si>
  <si>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</si>
  <si>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</si>
  <si>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</si>
  <si>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</si>
  <si>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</si>
  <si>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</si>
  <si>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</si>
  <si>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</si>
  <si>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</si>
  <si>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</si>
  <si>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</si>
  <si>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</si>
  <si>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</si>
  <si>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</si>
  <si>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</si>
  <si>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</si>
  <si>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</si>
  <si>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</si>
  <si>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</si>
  <si>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</si>
  <si>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</si>
  <si>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</si>
  <si>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</si>
  <si>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</si>
  <si>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</si>
  <si>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</si>
  <si>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</si>
  <si>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</si>
  <si>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</si>
  <si>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</si>
  <si>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</si>
  <si>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</si>
  <si>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</si>
  <si>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</si>
  <si>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(g)</t>
  </si>
  <si>
    <t>(Rn)(N)</t>
  </si>
  <si>
    <t>(Rp)(WSineθ)(N)</t>
  </si>
  <si>
    <t>(Rp)(N)</t>
  </si>
  <si>
    <t>320 (4x80)</t>
  </si>
  <si>
    <t>Static Wood</t>
  </si>
  <si>
    <t>Questions</t>
  </si>
  <si>
    <t>Do your answers compare well with the typical values show in the guidance notes? Explain any differences.</t>
  </si>
  <si>
    <t>Answer</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</si>
  <si>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</si>
  <si>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</si>
  <si>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</si>
  <si>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</si>
  <si>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</si>
  <si>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</si>
  <si>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</si>
  <si>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</si>
  <si>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</si>
  <si>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</si>
  <si>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</si>
  <si>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</si>
  <si>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</si>
  <si>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</si>
  <si>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</si>
  <si>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</si>
  <si>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</si>
  <si>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</si>
  <si>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</si>
  <si>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</si>
  <si>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</si>
  <si>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</si>
  <si>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</si>
  <si>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</si>
  <si>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</si>
  <si>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</si>
  <si>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</si>
  <si>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</si>
  <si>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</si>
  <si>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</si>
  <si>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</si>
  <si>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</si>
  <si>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</si>
  <si>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</si>
  <si>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</si>
  <si>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Velocity (turns)</t>
  </si>
  <si>
    <t>Direction</t>
  </si>
  <si>
    <t>Clockwise</t>
  </si>
  <si>
    <t>Gears: Bevel Gears</t>
  </si>
  <si>
    <t>Gears: Worm Gears</t>
  </si>
  <si>
    <t>Velocity Ratio: 4:1</t>
  </si>
  <si>
    <t>Velocity Ratio: 40:1</t>
  </si>
  <si>
    <t>Gears: Small:Small</t>
  </si>
  <si>
    <t>Gears: Small:Medium</t>
  </si>
  <si>
    <t>Gears: Small: Small with Idler</t>
  </si>
  <si>
    <t>Load (g)</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</si>
  <si>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</si>
  <si>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</si>
  <si>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</si>
  <si>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</si>
  <si>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</si>
  <si>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</si>
  <si>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</si>
  <si>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</si>
  <si>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</si>
  <si>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</si>
  <si>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</si>
  <si>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</si>
  <si>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</si>
  <si>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</si>
  <si>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</si>
  <si>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</si>
  <si>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</si>
  <si>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</si>
  <si>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</si>
  <si>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</si>
  <si>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</si>
  <si>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</si>
  <si>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</si>
  <si>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</si>
  <si>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</si>
  <si>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</si>
  <si>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</si>
  <si>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</si>
  <si>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</si>
  <si>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</si>
  <si>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</si>
  <si>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</si>
  <si>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</si>
  <si>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</si>
  <si>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</si>
  <si>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</si>
  <si>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</si>
  <si>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</si>
  <si>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</si>
  <si>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</si>
  <si>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</si>
  <si>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 xml:space="preserve"> VR:1</t>
  </si>
  <si>
    <t xml:space="preserve"> VR: 50.3</t>
  </si>
  <si>
    <t>Anti-Clockwise</t>
  </si>
  <si>
    <t>2. The Screw Jack</t>
  </si>
  <si>
    <t>Wedge: 18.5 degrees VR: 3</t>
  </si>
  <si>
    <t>Wedge: 4.75 degrees VR: 12</t>
  </si>
  <si>
    <t>Predicted Overall Velocity Ratio = BxD/AxC=(20*100)/(140*60)=0.238</t>
  </si>
  <si>
    <t>The efficiency of the bearings are quite high which is good as bearings are made to reduce friction between parts.</t>
  </si>
  <si>
    <t>I would fit ball bearings in my machine as they have the highest rate of efficiency out of all of them.</t>
  </si>
  <si>
    <t>Tufnol bearings are still very useful as they perform well in wet environments and don’t rust.</t>
  </si>
  <si>
    <t>The weights in the sled don’t matter for this test as, although it is included in equations, each side will have the same weight on it, cancelling it out so it wont effect the final answer.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</si>
</sst>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
    <numFmt numFmtId="166" formatCode="0.0000"/>
  </numFmts>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82">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290">
    <xf numFmtId="0" fontId="0" fillId="0" borderId="0" xfId="0"/>
    <xf numFmtId="0" fontId="1" fillId="0" borderId="0" xfId="0" applyFont="1"/>
    <xf numFmtId="0" fontId="0" fillId="2" borderId="5" xfId="0" applyFill="1" applyBorder="1"/>
    <xf numFmtId="0" fontId="0" fillId="2" borderId="8" xfId="0" applyFill="1" applyBorder="1"/>
    <xf numFmtId="0" fontId="0" fillId="2" borderId="5" xfId="0" applyFill="1" applyBorder="1" applyAlignment="1">
      <alignment horizontal="center"/>
    </xf>
    <xf numFmtId="0" fontId="0" fillId="2" borderId="8"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25" xfId="0" applyBorder="1"/>
    <xf numFmtId="0" fontId="0" fillId="3" borderId="11" xfId="0" applyFill="1" applyBorder="1"/>
    <xf numFmtId="0" fontId="0" fillId="3" borderId="5" xfId="0" applyFill="1" applyBorder="1"/>
    <xf numFmtId="0" fontId="0" fillId="3" borderId="8" xfId="0" applyFill="1" applyBorder="1"/>
    <xf numFmtId="0" fontId="0" fillId="4" borderId="2" xfId="0" applyFill="1" applyBorder="1"/>
    <xf numFmtId="0" fontId="0" fillId="4" borderId="3" xfId="0" applyFill="1" applyBorder="1"/>
    <xf numFmtId="0" fontId="0" fillId="4" borderId="4" xfId="0" applyFill="1" applyBorder="1"/>
    <xf numFmtId="0" fontId="0" fillId="4" borderId="32" xfId="0" applyFill="1" applyBorder="1"/>
    <xf numFmtId="0" fontId="0" fillId="4" borderId="9" xfId="0" applyFill="1" applyBorder="1"/>
    <xf numFmtId="0" fontId="0" fillId="4" borderId="10" xfId="0" applyFill="1" applyBorder="1"/>
    <xf numFmtId="0" fontId="0" fillId="4" borderId="17" xfId="0" applyFill="1" applyBorder="1"/>
    <xf numFmtId="0" fontId="0" fillId="4" borderId="19" xfId="0" applyFill="1" applyBorder="1" applyAlignment="1">
      <alignment horizontal="center"/>
    </xf>
    <xf numFmtId="0" fontId="0" fillId="4" borderId="31" xfId="0" applyFill="1" applyBorder="1" applyAlignment="1">
      <alignment horizontal="center"/>
    </xf>
    <xf numFmtId="0" fontId="0" fillId="4" borderId="21" xfId="0" applyFill="1" applyBorder="1" applyAlignment="1">
      <alignment horizontal="center"/>
    </xf>
    <xf numFmtId="0" fontId="0" fillId="4" borderId="17" xfId="0" applyFill="1" applyBorder="1" applyAlignment="1">
      <alignment horizontal="center"/>
    </xf>
    <xf numFmtId="0" fontId="0" fillId="4" borderId="0" xfId="0" applyFill="1" applyAlignment="1">
      <alignment horizontal="center"/>
    </xf>
    <xf numFmtId="0" fontId="0" fillId="4" borderId="18" xfId="0" applyFill="1" applyBorder="1"/>
    <xf numFmtId="0" fontId="0" fillId="4" borderId="18"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36" xfId="0" applyFill="1" applyBorder="1" applyAlignment="1">
      <alignment horizontal="center"/>
    </xf>
    <xf numFmtId="0" fontId="0" fillId="5" borderId="37" xfId="0" applyFill="1" applyBorder="1" applyAlignment="1">
      <alignment horizontal="center"/>
    </xf>
    <xf numFmtId="0" fontId="0" fillId="5" borderId="38" xfId="0" applyFill="1" applyBorder="1" applyAlignment="1">
      <alignment horizontal="center"/>
    </xf>
    <xf numFmtId="0" fontId="3" fillId="0" borderId="0" xfId="0" applyFont="1" applyAlignment="1">
      <alignment horizontal="left"/>
    </xf>
    <xf numFmtId="0" fontId="0" fillId="2" borderId="26"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26"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3" fillId="0" borderId="0" xfId="0" applyFont="1" applyAlignment="1">
      <alignment horizontal="center"/>
    </xf>
    <xf numFmtId="0" fontId="0" fillId="3" borderId="17" xfId="0" applyFill="1" applyBorder="1" applyAlignment="1">
      <alignment horizontal="center"/>
    </xf>
    <xf numFmtId="0" fontId="0" fillId="3" borderId="18" xfId="0" applyFill="1" applyBorder="1" applyAlignment="1">
      <alignment horizontal="center"/>
    </xf>
    <xf numFmtId="0" fontId="0" fillId="0" borderId="23" xfId="0" applyBorder="1"/>
    <xf numFmtId="0" fontId="0" fillId="3" borderId="40" xfId="0" applyFill="1" applyBorder="1" applyAlignment="1">
      <alignment horizontal="center"/>
    </xf>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0" fillId="3" borderId="44" xfId="0" applyFill="1" applyBorder="1" applyAlignment="1">
      <alignment horizontal="center"/>
    </xf>
    <xf numFmtId="0" fontId="0" fillId="3" borderId="45" xfId="0" applyFill="1" applyBorder="1" applyAlignment="1">
      <alignment horizontal="center"/>
    </xf>
    <xf numFmtId="0" fontId="0" fillId="3" borderId="46" xfId="0" applyFill="1" applyBorder="1" applyAlignment="1">
      <alignment horizontal="center"/>
    </xf>
    <xf numFmtId="0" fontId="0" fillId="3" borderId="47" xfId="0" applyFill="1" applyBorder="1" applyAlignment="1">
      <alignment horizontal="center"/>
    </xf>
    <xf numFmtId="0" fontId="0" fillId="3" borderId="48" xfId="0" applyFill="1" applyBorder="1" applyAlignment="1">
      <alignment horizontal="center"/>
    </xf>
    <xf numFmtId="0" fontId="0" fillId="3" borderId="39" xfId="0" applyFill="1" applyBorder="1" applyAlignment="1">
      <alignment horizontal="right"/>
    </xf>
    <xf numFmtId="0" fontId="0" fillId="3" borderId="37" xfId="0" applyFill="1" applyBorder="1"/>
    <xf numFmtId="0" fontId="0" fillId="3" borderId="38" xfId="0" applyFill="1" applyBorder="1"/>
    <xf numFmtId="0" fontId="0" fillId="2" borderId="40" xfId="0" applyFill="1" applyBorder="1" applyAlignment="1">
      <alignment horizontal="center"/>
    </xf>
    <xf numFmtId="0" fontId="0" fillId="2" borderId="41" xfId="0" applyFill="1" applyBorder="1" applyAlignment="1">
      <alignment horizontal="center"/>
    </xf>
    <xf numFmtId="0" fontId="0" fillId="2" borderId="42" xfId="0" applyFill="1" applyBorder="1" applyAlignment="1">
      <alignment horizontal="center"/>
    </xf>
    <xf numFmtId="0" fontId="0" fillId="2" borderId="43" xfId="0" applyFill="1" applyBorder="1" applyAlignment="1">
      <alignment horizontal="center"/>
    </xf>
    <xf numFmtId="0" fontId="0" fillId="2" borderId="44" xfId="0" applyFill="1" applyBorder="1" applyAlignment="1">
      <alignment horizontal="center"/>
    </xf>
    <xf numFmtId="0" fontId="0" fillId="2" borderId="45" xfId="0" applyFill="1" applyBorder="1" applyAlignment="1">
      <alignment horizontal="center"/>
    </xf>
    <xf numFmtId="0" fontId="0" fillId="2" borderId="46" xfId="0" applyFill="1" applyBorder="1" applyAlignment="1">
      <alignment horizontal="center"/>
    </xf>
    <xf numFmtId="0" fontId="0" fillId="2" borderId="47" xfId="0" applyFill="1" applyBorder="1" applyAlignment="1">
      <alignment horizontal="center"/>
    </xf>
    <xf numFmtId="0" fontId="0" fillId="2" borderId="48" xfId="0" applyFill="1" applyBorder="1" applyAlignment="1">
      <alignment horizontal="center"/>
    </xf>
    <xf numFmtId="0" fontId="0" fillId="2" borderId="11" xfId="0" applyFill="1" applyBorder="1"/>
    <xf numFmtId="0" fontId="0" fillId="2" borderId="17" xfId="0" applyFill="1" applyBorder="1" applyAlignment="1">
      <alignment horizontal="center"/>
    </xf>
    <xf numFmtId="0" fontId="0" fillId="2" borderId="18" xfId="0" applyFill="1" applyBorder="1" applyAlignment="1">
      <alignment horizontal="center"/>
    </xf>
    <xf numFmtId="0" fontId="0" fillId="2" borderId="39" xfId="0" applyFill="1" applyBorder="1" applyAlignment="1">
      <alignment horizontal="right"/>
    </xf>
    <xf numFmtId="0" fontId="0" fillId="2" borderId="37" xfId="0" applyFill="1" applyBorder="1"/>
    <xf numFmtId="0" fontId="0" fillId="2" borderId="38" xfId="0" applyFill="1" applyBorder="1"/>
    <xf numFmtId="0" fontId="0" fillId="4" borderId="40" xfId="0" applyFill="1" applyBorder="1" applyAlignment="1">
      <alignment horizontal="center"/>
    </xf>
    <xf numFmtId="0" fontId="0" fillId="4" borderId="49" xfId="0" applyFill="1" applyBorder="1" applyAlignment="1">
      <alignment horizontal="center"/>
    </xf>
    <xf numFmtId="0" fontId="0" fillId="4" borderId="41" xfId="0" applyFill="1" applyBorder="1" applyAlignment="1">
      <alignment horizont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50" xfId="0" applyFill="1" applyBorder="1" applyAlignment="1">
      <alignment horizontal="center"/>
    </xf>
    <xf numFmtId="0" fontId="0" fillId="4" borderId="44" xfId="0" applyFill="1" applyBorder="1" applyAlignment="1">
      <alignment horizontal="center"/>
    </xf>
    <xf numFmtId="0" fontId="0" fillId="4" borderId="45" xfId="0" applyFill="1" applyBorder="1" applyAlignment="1">
      <alignment horizontal="center"/>
    </xf>
    <xf numFmtId="0" fontId="0" fillId="4" borderId="46" xfId="0" applyFill="1" applyBorder="1" applyAlignment="1">
      <alignment horizontal="center"/>
    </xf>
    <xf numFmtId="0" fontId="0" fillId="4" borderId="51" xfId="0" applyFill="1" applyBorder="1" applyAlignment="1">
      <alignment horizontal="center"/>
    </xf>
    <xf numFmtId="0" fontId="0" fillId="4" borderId="47" xfId="0" applyFill="1" applyBorder="1" applyAlignment="1">
      <alignment horizontal="center"/>
    </xf>
    <xf numFmtId="0" fontId="0" fillId="4" borderId="48" xfId="0" applyFill="1" applyBorder="1" applyAlignment="1">
      <alignment horizontal="center"/>
    </xf>
    <xf numFmtId="0" fontId="0" fillId="4" borderId="39" xfId="0" applyFill="1" applyBorder="1" applyAlignment="1">
      <alignment horizontal="right"/>
    </xf>
    <xf numFmtId="0" fontId="0" fillId="4" borderId="37" xfId="0" applyFill="1" applyBorder="1"/>
    <xf numFmtId="0" fontId="0" fillId="4" borderId="38" xfId="0" applyFill="1" applyBorder="1"/>
    <xf numFmtId="0" fontId="0" fillId="5" borderId="40" xfId="0" applyFill="1" applyBorder="1" applyAlignment="1">
      <alignment horizontal="center"/>
    </xf>
    <xf numFmtId="0" fontId="0" fillId="5" borderId="41" xfId="0" applyFill="1" applyBorder="1" applyAlignment="1">
      <alignment horizontal="center"/>
    </xf>
    <xf numFmtId="0" fontId="0" fillId="5" borderId="42" xfId="0" applyFill="1" applyBorder="1" applyAlignment="1">
      <alignment horizontal="center"/>
    </xf>
    <xf numFmtId="0" fontId="0" fillId="5" borderId="43"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0" fillId="5" borderId="47" xfId="0" applyFill="1" applyBorder="1" applyAlignment="1">
      <alignment horizontal="center"/>
    </xf>
    <xf numFmtId="0" fontId="0" fillId="5" borderId="48" xfId="0" applyFill="1" applyBorder="1" applyAlignment="1">
      <alignment horizontal="center"/>
    </xf>
    <xf numFmtId="0" fontId="0" fillId="5" borderId="2" xfId="0" applyFill="1" applyBorder="1"/>
    <xf numFmtId="0" fontId="0" fillId="5" borderId="17" xfId="0" applyFill="1" applyBorder="1" applyAlignment="1">
      <alignment horizontal="center"/>
    </xf>
    <xf numFmtId="0" fontId="0" fillId="5" borderId="18" xfId="0" applyFill="1" applyBorder="1" applyAlignment="1">
      <alignment horizontal="center"/>
    </xf>
    <xf numFmtId="0" fontId="0" fillId="5" borderId="39" xfId="0" applyFill="1" applyBorder="1" applyAlignment="1">
      <alignment horizontal="right"/>
    </xf>
    <xf numFmtId="0" fontId="0" fillId="5" borderId="37" xfId="0" applyFill="1" applyBorder="1"/>
    <xf numFmtId="0" fontId="0" fillId="5" borderId="38" xfId="0" applyFill="1" applyBorder="1"/>
    <xf numFmtId="0" fontId="0" fillId="0" borderId="56" xfId="0" applyBorder="1"/>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5" borderId="63" xfId="0" applyFill="1" applyBorder="1" applyAlignment="1">
      <alignment horizontal="center"/>
    </xf>
    <xf numFmtId="0" fontId="0" fillId="5" borderId="65" xfId="0" applyFill="1" applyBorder="1" applyAlignment="1">
      <alignment horizontal="center"/>
    </xf>
    <xf numFmtId="0" fontId="0" fillId="5" borderId="66" xfId="0" applyFill="1" applyBorder="1" applyAlignment="1">
      <alignment horizontal="center"/>
    </xf>
    <xf numFmtId="0" fontId="0" fillId="5" borderId="67" xfId="0" applyFill="1" applyBorder="1" applyAlignment="1">
      <alignment horizontal="center"/>
    </xf>
    <xf numFmtId="0" fontId="0" fillId="4" borderId="63" xfId="0" applyFill="1" applyBorder="1" applyAlignment="1">
      <alignment horizontal="center"/>
    </xf>
    <xf numFmtId="0" fontId="0" fillId="4" borderId="65" xfId="0" applyFill="1" applyBorder="1" applyAlignment="1">
      <alignment horizontal="center"/>
    </xf>
    <xf numFmtId="0" fontId="0" fillId="5" borderId="55" xfId="0" applyFill="1" applyBorder="1"/>
    <xf numFmtId="0" fontId="0" fillId="4" borderId="78" xfId="0" applyFill="1" applyBorder="1" applyAlignment="1">
      <alignment horizontal="center"/>
    </xf>
    <xf numFmtId="0" fontId="0" fillId="4" borderId="77" xfId="0" applyFill="1" applyBorder="1" applyAlignment="1">
      <alignment horizontal="center"/>
    </xf>
    <xf numFmtId="0" fontId="0" fillId="5" borderId="77" xfId="0" applyFill="1" applyBorder="1"/>
    <xf numFmtId="0" fontId="0" fillId="5" borderId="78" xfId="0" applyFill="1" applyBorder="1"/>
    <xf numFmtId="0" fontId="0" fillId="5" borderId="79" xfId="0" applyFill="1" applyBorder="1"/>
    <xf numFmtId="0" fontId="0" fillId="2" borderId="60" xfId="0" applyFill="1" applyBorder="1" applyAlignment="1">
      <alignment horizontal="center"/>
    </xf>
    <xf numFmtId="0" fontId="0" fillId="2" borderId="61" xfId="0" applyFill="1" applyBorder="1" applyAlignment="1">
      <alignment horizontal="center"/>
    </xf>
    <xf numFmtId="0" fontId="0" fillId="2" borderId="62" xfId="0" applyFill="1" applyBorder="1" applyAlignment="1">
      <alignment horizontal="center"/>
    </xf>
    <xf numFmtId="0" fontId="0" fillId="2" borderId="65" xfId="0" applyFill="1" applyBorder="1" applyAlignment="1">
      <alignment horizontal="center"/>
    </xf>
    <xf numFmtId="0" fontId="0" fillId="2" borderId="66" xfId="0" applyFill="1" applyBorder="1" applyAlignment="1">
      <alignment horizontal="center"/>
    </xf>
    <xf numFmtId="0" fontId="0" fillId="2" borderId="67" xfId="0" applyFill="1" applyBorder="1" applyAlignment="1">
      <alignment horizontal="center"/>
    </xf>
    <xf numFmtId="0" fontId="0" fillId="2" borderId="63" xfId="0" applyFill="1" applyBorder="1" applyAlignment="1">
      <alignment horizontal="center"/>
    </xf>
    <xf numFmtId="0" fontId="0" fillId="3" borderId="60" xfId="0" applyFill="1" applyBorder="1" applyAlignment="1">
      <alignment horizontal="center"/>
    </xf>
    <xf numFmtId="0" fontId="0" fillId="3" borderId="61" xfId="0" applyFill="1" applyBorder="1" applyAlignment="1">
      <alignment horizontal="center"/>
    </xf>
    <xf numFmtId="0" fontId="0" fillId="3" borderId="62" xfId="0" applyFill="1" applyBorder="1" applyAlignment="1">
      <alignment horizontal="center"/>
    </xf>
    <xf numFmtId="0" fontId="0" fillId="3" borderId="65" xfId="0" applyFill="1" applyBorder="1" applyAlignment="1">
      <alignment horizontal="center"/>
    </xf>
    <xf numFmtId="0" fontId="0" fillId="3" borderId="66" xfId="0" applyFill="1" applyBorder="1" applyAlignment="1">
      <alignment horizontal="center"/>
    </xf>
    <xf numFmtId="0" fontId="0" fillId="3" borderId="67" xfId="0" applyFill="1" applyBorder="1" applyAlignment="1">
      <alignment horizontal="center"/>
    </xf>
    <xf numFmtId="0" fontId="0" fillId="3" borderId="63" xfId="0" applyFill="1" applyBorder="1" applyAlignment="1">
      <alignment horizontal="center"/>
    </xf>
    <xf numFmtId="0" fontId="0" fillId="4" borderId="60" xfId="0" applyFill="1" applyBorder="1" applyAlignment="1">
      <alignment horizontal="center"/>
    </xf>
    <xf numFmtId="0" fontId="0" fillId="4" borderId="61" xfId="0" applyFill="1" applyBorder="1" applyAlignment="1">
      <alignment horizontal="center"/>
    </xf>
    <xf numFmtId="0" fontId="0" fillId="4" borderId="62" xfId="0" applyFill="1" applyBorder="1" applyAlignment="1">
      <alignment horizontal="center"/>
    </xf>
    <xf numFmtId="0" fontId="0" fillId="4" borderId="66" xfId="0" applyFill="1" applyBorder="1" applyAlignment="1">
      <alignment horizontal="center"/>
    </xf>
    <xf numFmtId="0" fontId="0" fillId="4" borderId="67"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0" borderId="6" xfId="0" applyBorder="1" applyAlignment="1" applyProtection="1">
      <alignment horizontal="center"/>
      <protection locked="0"/>
    </xf>
    <xf numFmtId="0" fontId="0" fillId="0" borderId="64" xfId="0" applyBorder="1" applyAlignment="1" applyProtection="1">
      <alignment horizontal="center"/>
      <protection locked="0"/>
    </xf>
    <xf numFmtId="0" fontId="0" fillId="0" borderId="66" xfId="0" applyBorder="1" applyAlignment="1" applyProtection="1">
      <alignment horizontal="center"/>
      <protection locked="0"/>
    </xf>
    <xf numFmtId="0" fontId="0" fillId="0" borderId="67" xfId="0" applyBorder="1" applyAlignment="1" applyProtection="1">
      <alignment horizontal="center"/>
      <protection locked="0"/>
    </xf>
    <xf numFmtId="0" fontId="0" fillId="0" borderId="6" xfId="0" applyBorder="1" applyProtection="1">
      <protection locked="0"/>
    </xf>
    <xf numFmtId="0" fontId="0" fillId="0" borderId="9"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8" borderId="33"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34"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35"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77" xfId="0" applyFill="1" applyBorder="1" applyProtection="1">
      <protection locked="0"/>
    </xf>
    <xf numFmtId="0" fontId="0" fillId="8" borderId="78" xfId="0" applyFill="1" applyBorder="1" applyProtection="1">
      <protection locked="0"/>
    </xf>
    <xf numFmtId="0" fontId="0" fillId="8" borderId="79"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39" xfId="0" applyBorder="1" applyAlignment="1" applyProtection="1">
      <alignment horizontal="center"/>
      <protection locked="0"/>
    </xf>
    <xf numFmtId="0" fontId="0" fillId="0" borderId="37" xfId="0" applyBorder="1" applyAlignment="1" applyProtection="1">
      <alignment horizontal="center"/>
      <protection locked="0"/>
    </xf>
    <xf numFmtId="0" fontId="0" fillId="0" borderId="38" xfId="0" applyBorder="1" applyAlignment="1" applyProtection="1">
      <alignment horizontal="center"/>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39" xfId="0" applyBorder="1" applyAlignment="1">
      <alignment horizontal="center"/>
    </xf>
    <xf numFmtId="0" fontId="0" fillId="0" borderId="3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61" xfId="0" applyBorder="1" applyAlignment="1" applyProtection="1">
      <alignment horizontal="center"/>
      <protection locked="0"/>
    </xf>
    <xf numFmtId="0" fontId="0" fillId="0" borderId="62" xfId="0" applyBorder="1" applyAlignment="1" applyProtection="1">
      <alignment horizontal="center"/>
      <protection locked="0"/>
    </xf>
    <xf numFmtId="0" fontId="0" fillId="0" borderId="59" xfId="0" applyBorder="1" applyProtection="1">
      <protection locked="0"/>
    </xf>
    <xf numFmtId="0" fontId="0" fillId="0" borderId="36" xfId="0" applyBorder="1"/>
    <xf numFmtId="0" fontId="0" fillId="0" borderId="37" xfId="0" applyBorder="1"/>
    <xf numFmtId="0" fontId="0" fillId="0" borderId="38" xfId="0" applyBorder="1"/>
    <xf numFmtId="0" fontId="0" fillId="3" borderId="1" xfId="0" applyFill="1" applyBorder="1"/>
    <xf numFmtId="0" fontId="4" fillId="3" borderId="1" xfId="0" applyFont="1" applyFill="1" applyBorder="1" applyAlignment="1">
      <alignment horizontal="center" vertical="top"/>
    </xf>
    <xf numFmtId="0" fontId="0" fillId="3" borderId="36" xfId="0" applyFill="1" applyBorder="1"/>
    <xf numFmtId="0" fontId="4" fillId="2" borderId="1" xfId="0" applyFont="1" applyFill="1" applyBorder="1" applyAlignment="1">
      <alignment horizontal="center" vertical="top"/>
    </xf>
    <xf numFmtId="0" fontId="0" fillId="2" borderId="36" xfId="0" applyFill="1" applyBorder="1"/>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20" fontId="0" fillId="0" borderId="10" xfId="0" applyNumberFormat="1" applyBorder="1" applyAlignment="1" applyProtection="1">
      <alignment horizontal="center"/>
      <protection locked="0"/>
    </xf>
    <xf numFmtId="164" fontId="0" fillId="8" borderId="12" xfId="0" applyNumberFormat="1" applyFill="1" applyBorder="1" applyAlignment="1" applyProtection="1">
      <alignment horizontal="center"/>
      <protection locked="0"/>
    </xf>
    <xf numFmtId="164" fontId="0" fillId="8" borderId="6" xfId="0" applyNumberFormat="1" applyFill="1" applyBorder="1" applyAlignment="1" applyProtection="1">
      <alignment horizontal="center"/>
      <protection locked="0"/>
    </xf>
    <xf numFmtId="164" fontId="0" fillId="8" borderId="9" xfId="0" applyNumberFormat="1" applyFill="1" applyBorder="1" applyAlignment="1" applyProtection="1">
      <alignment horizontal="center"/>
      <protection locked="0"/>
    </xf>
    <xf numFmtId="165" fontId="0" fillId="8" borderId="13" xfId="0" applyNumberFormat="1" applyFill="1" applyBorder="1" applyAlignment="1" applyProtection="1">
      <alignment horizontal="center"/>
      <protection locked="0"/>
    </xf>
    <xf numFmtId="165" fontId="0" fillId="8" borderId="7" xfId="0" applyNumberFormat="1" applyFill="1" applyBorder="1" applyAlignment="1" applyProtection="1">
      <alignment horizontal="center"/>
      <protection locked="0"/>
    </xf>
    <xf numFmtId="165" fontId="0" fillId="8" borderId="10" xfId="0" applyNumberFormat="1" applyFill="1" applyBorder="1" applyAlignment="1" applyProtection="1">
      <alignment horizontal="center"/>
      <protection locked="0"/>
    </xf>
    <xf numFmtId="166" fontId="0" fillId="8" borderId="12" xfId="0" applyNumberFormat="1" applyFill="1" applyBorder="1" applyAlignment="1" applyProtection="1">
      <alignment horizontal="center"/>
      <protection locked="0"/>
    </xf>
    <xf numFmtId="166" fontId="0" fillId="8" borderId="6" xfId="0" applyNumberFormat="1" applyFill="1" applyBorder="1" applyAlignment="1" applyProtection="1">
      <alignment horizontal="center"/>
      <protection locked="0"/>
    </xf>
    <xf numFmtId="166" fontId="0" fillId="8" borderId="9" xfId="0" applyNumberFormat="1" applyFill="1" applyBorder="1" applyAlignment="1" applyProtection="1">
      <alignment horizontal="center"/>
      <protection locked="0"/>
    </xf>
    <xf numFmtId="166" fontId="0" fillId="0" borderId="6" xfId="0" applyNumberFormat="1" applyBorder="1" applyAlignment="1" applyProtection="1">
      <alignment horizontal="center"/>
      <protection locked="0"/>
    </xf>
    <xf numFmtId="166" fontId="0" fillId="0" borderId="9" xfId="0" applyNumberFormat="1" applyBorder="1" applyAlignment="1" applyProtection="1">
      <alignment horizontal="center"/>
      <protection locked="0"/>
    </xf>
    <xf numFmtId="166" fontId="0" fillId="0" borderId="12" xfId="0" applyNumberFormat="1" applyBorder="1" applyAlignment="1" applyProtection="1">
      <alignment horizontal="center"/>
      <protection locked="0"/>
    </xf>
    <xf numFmtId="2" fontId="0" fillId="0" borderId="39" xfId="0" applyNumberFormat="1" applyBorder="1" applyAlignment="1" applyProtection="1">
      <alignment horizontal="center"/>
      <protection locked="0"/>
    </xf>
    <xf numFmtId="2" fontId="0" fillId="0" borderId="37" xfId="0" applyNumberFormat="1" applyBorder="1" applyAlignment="1" applyProtection="1">
      <alignment horizontal="center"/>
      <protection locked="0"/>
    </xf>
    <xf numFmtId="2" fontId="0" fillId="0" borderId="38" xfId="0" applyNumberFormat="1" applyBorder="1" applyAlignment="1" applyProtection="1">
      <alignment horizontal="center"/>
      <protection locked="0"/>
    </xf>
    <xf numFmtId="166" fontId="0" fillId="0" borderId="39" xfId="0" applyNumberFormat="1" applyBorder="1" applyAlignment="1" applyProtection="1">
      <alignment horizontal="center"/>
      <protection locked="0"/>
    </xf>
    <xf numFmtId="166" fontId="0" fillId="0" borderId="37" xfId="0" applyNumberFormat="1" applyBorder="1" applyAlignment="1" applyProtection="1">
      <alignment horizontal="center"/>
      <protection locked="0"/>
    </xf>
    <xf numFmtId="166" fontId="0" fillId="0" borderId="38" xfId="0" applyNumberFormat="1" applyBorder="1" applyAlignment="1" applyProtection="1">
      <alignment horizontal="center"/>
      <protection locked="0"/>
    </xf>
    <xf numFmtId="166" fontId="0" fillId="0" borderId="61" xfId="0" applyNumberFormat="1" applyBorder="1" applyAlignment="1" applyProtection="1">
      <alignment horizontal="center"/>
      <protection locked="0"/>
    </xf>
    <xf numFmtId="166" fontId="0" fillId="0" borderId="66" xfId="0" applyNumberFormat="1" applyBorder="1" applyAlignment="1" applyProtection="1">
      <alignment horizontal="center"/>
      <protection locked="0"/>
    </xf>
    <xf numFmtId="2" fontId="0" fillId="0" borderId="62" xfId="0" applyNumberFormat="1" applyBorder="1" applyAlignment="1" applyProtection="1">
      <alignment horizontal="center"/>
      <protection locked="0"/>
    </xf>
    <xf numFmtId="2" fontId="0" fillId="0" borderId="64" xfId="0" applyNumberFormat="1" applyBorder="1" applyAlignment="1" applyProtection="1">
      <alignment horizontal="center"/>
      <protection locked="0"/>
    </xf>
    <xf numFmtId="2" fontId="0" fillId="0" borderId="67" xfId="0" applyNumberFormat="1" applyBorder="1" applyAlignment="1" applyProtection="1">
      <alignment horizontal="center"/>
      <protection locked="0"/>
    </xf>
    <xf numFmtId="0" fontId="0" fillId="0" borderId="0" xfId="0" applyAlignment="1">
      <alignment horizontal="center"/>
    </xf>
    <xf numFmtId="164" fontId="0" fillId="0" borderId="12" xfId="0" applyNumberFormat="1" applyBorder="1" applyProtection="1">
      <protection locked="0"/>
    </xf>
    <xf numFmtId="164" fontId="0" fillId="0" borderId="6" xfId="0" applyNumberFormat="1" applyBorder="1" applyProtection="1">
      <protection locked="0"/>
    </xf>
    <xf numFmtId="164" fontId="0" fillId="0" borderId="9" xfId="0" applyNumberFormat="1" applyBorder="1" applyProtection="1">
      <protection locked="0"/>
    </xf>
    <xf numFmtId="164" fontId="0" fillId="0" borderId="13" xfId="0" applyNumberFormat="1" applyBorder="1" applyProtection="1">
      <protection locked="0"/>
    </xf>
    <xf numFmtId="164" fontId="0" fillId="0" borderId="7" xfId="0" applyNumberFormat="1" applyBorder="1" applyProtection="1">
      <protection locked="0"/>
    </xf>
    <xf numFmtId="164" fontId="0" fillId="0" borderId="10" xfId="0" applyNumberFormat="1" applyBorder="1" applyProtection="1">
      <protection locked="0"/>
    </xf>
    <xf numFmtId="2" fontId="0" fillId="0" borderId="9" xfId="0" applyNumberFormat="1" applyBorder="1" applyAlignment="1" applyProtection="1">
      <alignment horizontal="center"/>
      <protection locked="0"/>
    </xf>
    <xf numFmtId="164" fontId="0" fillId="0" borderId="9" xfId="0" applyNumberFormat="1" applyBorder="1" applyAlignment="1" applyProtection="1">
      <alignment horizontal="center"/>
      <protection locked="0"/>
    </xf>
    <xf numFmtId="2" fontId="0" fillId="0" borderId="0" xfId="0" applyNumberFormat="1"/>
    <xf numFmtId="2" fontId="0" fillId="8" borderId="78" xfId="0" applyNumberFormat="1" applyFill="1" applyBorder="1" applyProtection="1">
      <protection locked="0"/>
    </xf>
    <xf numFmtId="2" fontId="0" fillId="8" borderId="79" xfId="0" applyNumberFormat="1" applyFill="1" applyBorder="1" applyProtection="1">
      <protection locked="0"/>
    </xf>
    <xf numFmtId="0" fontId="0" fillId="4" borderId="20"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4" borderId="24" xfId="0" applyFill="1" applyBorder="1" applyAlignment="1">
      <alignment horizontal="center"/>
    </xf>
    <xf numFmtId="0" fontId="0" fillId="4" borderId="19" xfId="0" applyFill="1" applyBorder="1" applyAlignment="1">
      <alignment horizontal="center"/>
    </xf>
    <xf numFmtId="0" fontId="0" fillId="4" borderId="25" xfId="0" applyFill="1" applyBorder="1" applyAlignment="1">
      <alignment horizontal="center"/>
    </xf>
    <xf numFmtId="0" fontId="0" fillId="5" borderId="14" xfId="0" applyFill="1" applyBorder="1" applyAlignment="1">
      <alignment horizontal="center"/>
    </xf>
    <xf numFmtId="0" fontId="0" fillId="5" borderId="16" xfId="0" applyFill="1" applyBorder="1" applyAlignment="1">
      <alignment horizontal="center"/>
    </xf>
    <xf numFmtId="0" fontId="0" fillId="4" borderId="29" xfId="0" applyFill="1" applyBorder="1" applyAlignment="1">
      <alignment horizontal="center"/>
    </xf>
    <xf numFmtId="0" fontId="0" fillId="4" borderId="30" xfId="0" applyFill="1" applyBorder="1" applyAlignment="1">
      <alignment horizontal="center"/>
    </xf>
    <xf numFmtId="0" fontId="0" fillId="4" borderId="15" xfId="0" applyFill="1" applyBorder="1" applyAlignment="1">
      <alignment horizontal="center"/>
    </xf>
    <xf numFmtId="0" fontId="0" fillId="4" borderId="16" xfId="0" applyFill="1" applyBorder="1" applyAlignment="1">
      <alignment horizontal="center"/>
    </xf>
    <xf numFmtId="0" fontId="0" fillId="5"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2" borderId="24" xfId="0" applyFill="1" applyBorder="1" applyAlignment="1">
      <alignment horizontal="center"/>
    </xf>
    <xf numFmtId="0" fontId="0" fillId="2" borderId="19" xfId="0" applyFill="1" applyBorder="1" applyAlignment="1">
      <alignment horizontal="center"/>
    </xf>
    <xf numFmtId="0" fontId="0" fillId="2" borderId="25" xfId="0" applyFill="1" applyBorder="1" applyAlignment="1">
      <alignment horizontal="center"/>
    </xf>
    <xf numFmtId="0" fontId="0" fillId="3" borderId="24" xfId="0" applyFill="1" applyBorder="1" applyAlignment="1">
      <alignment horizontal="center"/>
    </xf>
    <xf numFmtId="0" fontId="0" fillId="3" borderId="19" xfId="0" applyFill="1" applyBorder="1" applyAlignment="1">
      <alignment horizontal="center"/>
    </xf>
    <xf numFmtId="0" fontId="0" fillId="3" borderId="25" xfId="0" applyFill="1" applyBorder="1" applyAlignment="1">
      <alignment horizontal="center"/>
    </xf>
    <xf numFmtId="0" fontId="0" fillId="8" borderId="80" xfId="0" applyFill="1" applyBorder="1" applyAlignment="1" applyProtection="1">
      <alignment horizontal="left"/>
      <protection locked="0"/>
    </xf>
    <xf numFmtId="0" fontId="0" fillId="8" borderId="69" xfId="0" applyFill="1" applyBorder="1" applyAlignment="1" applyProtection="1">
      <alignment horizontal="left"/>
      <protection locked="0"/>
    </xf>
    <xf numFmtId="0" fontId="0" fillId="8" borderId="70" xfId="0" applyFill="1" applyBorder="1" applyAlignment="1" applyProtection="1">
      <alignment horizontal="left"/>
      <protection locked="0"/>
    </xf>
    <xf numFmtId="0" fontId="0" fillId="4" borderId="81" xfId="0" applyFill="1" applyBorder="1" applyAlignment="1">
      <alignment horizontal="left"/>
    </xf>
    <xf numFmtId="0" fontId="0" fillId="4" borderId="72" xfId="0" applyFill="1" applyBorder="1" applyAlignment="1">
      <alignment horizontal="left"/>
    </xf>
    <xf numFmtId="0" fontId="0" fillId="4" borderId="73" xfId="0" applyFill="1" applyBorder="1" applyAlignment="1">
      <alignment horizontal="left"/>
    </xf>
    <xf numFmtId="0" fontId="0" fillId="4" borderId="80" xfId="0" applyFill="1" applyBorder="1" applyAlignment="1">
      <alignment horizontal="left"/>
    </xf>
    <xf numFmtId="0" fontId="0" fillId="4" borderId="69" xfId="0" applyFill="1" applyBorder="1" applyAlignment="1">
      <alignment horizontal="left"/>
    </xf>
    <xf numFmtId="0" fontId="0" fillId="4" borderId="70" xfId="0" applyFill="1" applyBorder="1" applyAlignment="1">
      <alignment horizontal="left"/>
    </xf>
    <xf numFmtId="0" fontId="0" fillId="3" borderId="20"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24" xfId="0" applyBorder="1" applyAlignment="1">
      <alignment horizontal="center"/>
    </xf>
    <xf numFmtId="0" fontId="0" fillId="0" borderId="19" xfId="0" applyBorder="1" applyAlignment="1">
      <alignment horizontal="center"/>
    </xf>
    <xf numFmtId="0" fontId="0" fillId="0" borderId="25" xfId="0" applyBorder="1" applyAlignment="1">
      <alignment horizontal="center"/>
    </xf>
    <xf numFmtId="0" fontId="0" fillId="5" borderId="57" xfId="0" applyFill="1" applyBorder="1" applyAlignment="1">
      <alignment horizontal="center"/>
    </xf>
    <xf numFmtId="0" fontId="0" fillId="5" borderId="58" xfId="0" applyFill="1" applyBorder="1" applyAlignment="1">
      <alignment horizontal="center"/>
    </xf>
    <xf numFmtId="0" fontId="0" fillId="5" borderId="59" xfId="0" applyFill="1" applyBorder="1" applyAlignment="1">
      <alignment horizontal="center"/>
    </xf>
    <xf numFmtId="0" fontId="0" fillId="0" borderId="57"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0" fillId="4" borderId="71" xfId="0" applyFill="1" applyBorder="1" applyAlignment="1">
      <alignment horizontal="left"/>
    </xf>
    <xf numFmtId="0" fontId="0" fillId="0" borderId="68" xfId="0" applyBorder="1" applyAlignment="1" applyProtection="1">
      <alignment horizontal="left"/>
      <protection locked="0"/>
    </xf>
    <xf numFmtId="0" fontId="0" fillId="0" borderId="69" xfId="0" applyBorder="1" applyAlignment="1" applyProtection="1">
      <alignment horizontal="left"/>
      <protection locked="0"/>
    </xf>
    <xf numFmtId="0" fontId="0" fillId="0" borderId="70" xfId="0" applyBorder="1" applyAlignment="1" applyProtection="1">
      <alignment horizontal="left"/>
      <protection locked="0"/>
    </xf>
    <xf numFmtId="0" fontId="0" fillId="4" borderId="68" xfId="0" applyFill="1" applyBorder="1" applyAlignment="1">
      <alignment horizontal="left"/>
    </xf>
    <xf numFmtId="0" fontId="0" fillId="0" borderId="74" xfId="0" applyBorder="1" applyAlignment="1" applyProtection="1">
      <alignment horizontal="left"/>
      <protection locked="0"/>
    </xf>
    <xf numFmtId="0" fontId="0" fillId="0" borderId="75" xfId="0" applyBorder="1" applyAlignment="1" applyProtection="1">
      <alignment horizontal="left"/>
      <protection locked="0"/>
    </xf>
    <xf numFmtId="0" fontId="0" fillId="0" borderId="76"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Static</a:t>
            </a:r>
            <a:r>
              <a:rPr lang="en-IE" baseline="0"/>
              <a:t> Wood: Pulling Force v Force Due to Sled Weight </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4.097688699567352E-2"/>
          <c:y val="0.20537559559804738"/>
          <c:w val="0.9238050594967202"/>
          <c:h val="0.64861476061543077"/>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Friction!$R$17:$R$21</c:f>
              <c:numCache>
                <c:formatCode>General</c:formatCode>
                <c:ptCount val="5"/>
                <c:pt idx="0">
                  <c:v>2.0600999999999998</c:v>
                </c:pt>
                <c:pt idx="1">
                  <c:v>2.2563000000000004</c:v>
                </c:pt>
                <c:pt idx="2">
                  <c:v>2.5506000000000002</c:v>
                </c:pt>
                <c:pt idx="3">
                  <c:v>2.5506000000000002</c:v>
                </c:pt>
                <c:pt idx="4">
                  <c:v>2.8449</c:v>
                </c:pt>
              </c:numCache>
            </c:numRef>
          </c:xVal>
          <c:yVal>
            <c:numRef>
              <c:f>Friction!$T$17:$T$21</c:f>
              <c:numCache>
                <c:formatCode>General</c:formatCode>
                <c:ptCount val="5"/>
                <c:pt idx="0">
                  <c:v>0.49050000000000005</c:v>
                </c:pt>
                <c:pt idx="1">
                  <c:v>0.68670000000000009</c:v>
                </c:pt>
                <c:pt idx="2">
                  <c:v>0.98100000000000009</c:v>
                </c:pt>
                <c:pt idx="3">
                  <c:v>0.98100000000000009</c:v>
                </c:pt>
                <c:pt idx="4">
                  <c:v>1.2753000000000001</c:v>
                </c:pt>
              </c:numCache>
            </c:numRef>
          </c:yVal>
          <c:smooth val="1"/>
          <c:extLst>
            <c:ext xmlns:c16="http://schemas.microsoft.com/office/drawing/2014/chart" uri="{C3380CC4-5D6E-409C-BE32-E72D297353CC}">
              <c16:uniqueId val="{00000000-C3BC-4CD4-9C3B-9D2A363EE108}"/>
            </c:ext>
          </c:extLst>
        </c:ser>
        <c:dLbls>
          <c:showLegendKey val="0"/>
          <c:showVal val="0"/>
          <c:showCatName val="0"/>
          <c:showSerName val="0"/>
          <c:showPercent val="0"/>
          <c:showBubbleSize val="0"/>
        </c:dLbls>
        <c:axId val="1793973263"/>
        <c:axId val="1793982383"/>
      </c:scatterChart>
      <c:valAx>
        <c:axId val="179397326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3982383"/>
        <c:crosses val="autoZero"/>
        <c:crossBetween val="midCat"/>
      </c:valAx>
      <c:valAx>
        <c:axId val="17939823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39732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Static</a:t>
            </a:r>
            <a:r>
              <a:rPr lang="en-IE" baseline="0"/>
              <a:t> Plastic: Pulling Force v Force Due to Sled Weight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5.0631254345546765E-2"/>
          <c:y val="0.20436053245896965"/>
          <c:w val="0.90563623332843457"/>
          <c:h val="0.6212407410707390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Friction!$T$26:$T$29</c:f>
              <c:numCache>
                <c:formatCode>General</c:formatCode>
                <c:ptCount val="4"/>
                <c:pt idx="0">
                  <c:v>0.49050000000000005</c:v>
                </c:pt>
                <c:pt idx="1">
                  <c:v>0.68670000000000009</c:v>
                </c:pt>
                <c:pt idx="2">
                  <c:v>0.78480000000000005</c:v>
                </c:pt>
                <c:pt idx="3">
                  <c:v>0.98100000000000009</c:v>
                </c:pt>
              </c:numCache>
            </c:numRef>
          </c:xVal>
          <c:yVal>
            <c:numRef>
              <c:f>Friction!$R$26:$R$30</c:f>
              <c:numCache>
                <c:formatCode>General</c:formatCode>
                <c:ptCount val="5"/>
                <c:pt idx="0">
                  <c:v>2.0600999999999998</c:v>
                </c:pt>
                <c:pt idx="1">
                  <c:v>2.2563000000000004</c:v>
                </c:pt>
                <c:pt idx="2">
                  <c:v>2.3544</c:v>
                </c:pt>
                <c:pt idx="3">
                  <c:v>2.5506000000000002</c:v>
                </c:pt>
                <c:pt idx="4">
                  <c:v>2.7468000000000004</c:v>
                </c:pt>
              </c:numCache>
            </c:numRef>
          </c:yVal>
          <c:smooth val="1"/>
          <c:extLst>
            <c:ext xmlns:c16="http://schemas.microsoft.com/office/drawing/2014/chart" uri="{C3380CC4-5D6E-409C-BE32-E72D297353CC}">
              <c16:uniqueId val="{00000000-D47B-48BF-9D36-D66752587230}"/>
            </c:ext>
          </c:extLst>
        </c:ser>
        <c:dLbls>
          <c:showLegendKey val="0"/>
          <c:showVal val="0"/>
          <c:showCatName val="0"/>
          <c:showSerName val="0"/>
          <c:showPercent val="0"/>
          <c:showBubbleSize val="0"/>
        </c:dLbls>
        <c:axId val="1170003424"/>
        <c:axId val="1170000064"/>
      </c:scatterChart>
      <c:valAx>
        <c:axId val="11700034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0000064"/>
        <c:crosses val="autoZero"/>
        <c:crossBetween val="midCat"/>
      </c:valAx>
      <c:valAx>
        <c:axId val="11700000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00034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Kinetic</a:t>
            </a:r>
            <a:r>
              <a:rPr lang="en-IE" baseline="0"/>
              <a:t> Metal: Pulling Force v Force Due to Sled Weight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6.5872086006179192E-2"/>
          <c:y val="0.20857992144261209"/>
          <c:w val="0.87007834418071539"/>
          <c:h val="0.6197573350826911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Friction!$R$40:$R$44</c:f>
              <c:numCache>
                <c:formatCode>0.0000</c:formatCode>
                <c:ptCount val="5"/>
                <c:pt idx="0">
                  <c:v>2.9430000000000001</c:v>
                </c:pt>
                <c:pt idx="1">
                  <c:v>3.2373000000000003</c:v>
                </c:pt>
                <c:pt idx="2">
                  <c:v>3.2373000000000003</c:v>
                </c:pt>
                <c:pt idx="3">
                  <c:v>3.3354000000000004</c:v>
                </c:pt>
                <c:pt idx="4">
                  <c:v>3.4335</c:v>
                </c:pt>
              </c:numCache>
            </c:numRef>
          </c:xVal>
          <c:yVal>
            <c:numRef>
              <c:f>Friction!$T$40:$T$44</c:f>
              <c:numCache>
                <c:formatCode>General</c:formatCode>
                <c:ptCount val="5"/>
                <c:pt idx="0">
                  <c:v>0.39240000000000003</c:v>
                </c:pt>
                <c:pt idx="1">
                  <c:v>0.68670000000000009</c:v>
                </c:pt>
                <c:pt idx="2">
                  <c:v>0.68670000000000009</c:v>
                </c:pt>
                <c:pt idx="3">
                  <c:v>0.78480000000000005</c:v>
                </c:pt>
                <c:pt idx="4">
                  <c:v>0.88290000000000002</c:v>
                </c:pt>
              </c:numCache>
            </c:numRef>
          </c:yVal>
          <c:smooth val="1"/>
          <c:extLst>
            <c:ext xmlns:c16="http://schemas.microsoft.com/office/drawing/2014/chart" uri="{C3380CC4-5D6E-409C-BE32-E72D297353CC}">
              <c16:uniqueId val="{00000000-8035-483A-B854-C8486380C7A2}"/>
            </c:ext>
          </c:extLst>
        </c:ser>
        <c:dLbls>
          <c:showLegendKey val="0"/>
          <c:showVal val="0"/>
          <c:showCatName val="0"/>
          <c:showSerName val="0"/>
          <c:showPercent val="0"/>
          <c:showBubbleSize val="0"/>
        </c:dLbls>
        <c:axId val="1169989024"/>
        <c:axId val="1170007744"/>
      </c:scatterChart>
      <c:valAx>
        <c:axId val="1169989024"/>
        <c:scaling>
          <c:orientation val="minMax"/>
        </c:scaling>
        <c:delete val="0"/>
        <c:axPos val="b"/>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0007744"/>
        <c:crosses val="autoZero"/>
        <c:crossBetween val="midCat"/>
      </c:valAx>
      <c:valAx>
        <c:axId val="1170007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99890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Static</a:t>
            </a:r>
            <a:r>
              <a:rPr lang="en-IE" baseline="0"/>
              <a:t> Metal: Pulling Force v Force Due to Sled Weight </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7.2969816272965879E-2"/>
          <c:y val="0.18517743055368666"/>
          <c:w val="0.8615579615048119"/>
          <c:h val="0.65679446259506646"/>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(Friction!$R$8:$R$12,Friction!$R$40:$R$44)</c:f>
              <c:numCache>
                <c:formatCode>0.0000</c:formatCode>
                <c:ptCount val="10"/>
                <c:pt idx="0">
                  <c:v>2.6487000000000003</c:v>
                </c:pt>
                <c:pt idx="1">
                  <c:v>3.3354000000000004</c:v>
                </c:pt>
                <c:pt idx="2">
                  <c:v>3.3354000000000004</c:v>
                </c:pt>
                <c:pt idx="3">
                  <c:v>3.3354000000000004</c:v>
                </c:pt>
                <c:pt idx="4">
                  <c:v>3.4335</c:v>
                </c:pt>
                <c:pt idx="5">
                  <c:v>2.9430000000000001</c:v>
                </c:pt>
                <c:pt idx="6">
                  <c:v>3.2373000000000003</c:v>
                </c:pt>
                <c:pt idx="7">
                  <c:v>3.2373000000000003</c:v>
                </c:pt>
                <c:pt idx="8">
                  <c:v>3.3354000000000004</c:v>
                </c:pt>
                <c:pt idx="9">
                  <c:v>3.4335</c:v>
                </c:pt>
              </c:numCache>
            </c:numRef>
          </c:xVal>
          <c:yVal>
            <c:numRef>
              <c:f>(Friction!$T$8:$T$12,Friction!$T$40:$T$44)</c:f>
              <c:numCache>
                <c:formatCode>General</c:formatCode>
                <c:ptCount val="10"/>
                <c:pt idx="0">
                  <c:v>9.8100000000000007E-2</c:v>
                </c:pt>
                <c:pt idx="1">
                  <c:v>0.78480000000000005</c:v>
                </c:pt>
                <c:pt idx="2">
                  <c:v>0.78480000000000005</c:v>
                </c:pt>
                <c:pt idx="3">
                  <c:v>0.78480000000000005</c:v>
                </c:pt>
                <c:pt idx="4">
                  <c:v>0.88290000000000002</c:v>
                </c:pt>
                <c:pt idx="5">
                  <c:v>0.39240000000000003</c:v>
                </c:pt>
                <c:pt idx="6">
                  <c:v>0.68670000000000009</c:v>
                </c:pt>
                <c:pt idx="7">
                  <c:v>0.68670000000000009</c:v>
                </c:pt>
                <c:pt idx="8">
                  <c:v>0.78480000000000005</c:v>
                </c:pt>
                <c:pt idx="9">
                  <c:v>0.88290000000000002</c:v>
                </c:pt>
              </c:numCache>
            </c:numRef>
          </c:yVal>
          <c:smooth val="1"/>
          <c:extLst>
            <c:ext xmlns:c16="http://schemas.microsoft.com/office/drawing/2014/chart" uri="{C3380CC4-5D6E-409C-BE32-E72D297353CC}">
              <c16:uniqueId val="{00000000-9A3A-4567-8EBB-347132442225}"/>
            </c:ext>
          </c:extLst>
        </c:ser>
        <c:dLbls>
          <c:showLegendKey val="0"/>
          <c:showVal val="0"/>
          <c:showCatName val="0"/>
          <c:showSerName val="0"/>
          <c:showPercent val="0"/>
          <c:showBubbleSize val="0"/>
        </c:dLbls>
        <c:axId val="1186397744"/>
        <c:axId val="1186397264"/>
      </c:scatterChart>
      <c:valAx>
        <c:axId val="1186397744"/>
        <c:scaling>
          <c:orientation val="minMax"/>
        </c:scaling>
        <c:delete val="0"/>
        <c:axPos val="b"/>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6397264"/>
        <c:crosses val="autoZero"/>
        <c:crossBetween val="midCat"/>
      </c:valAx>
      <c:valAx>
        <c:axId val="1186397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639774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Kinetic</a:t>
            </a:r>
            <a:r>
              <a:rPr lang="en-IE" baseline="0"/>
              <a:t> Wood: Pulling Force v Force Due to Sled Weight</a:t>
            </a:r>
            <a:endParaRPr lang="en-IE"/>
          </a:p>
        </c:rich>
      </c:tx>
      <c:layout>
        <c:manualLayout>
          <c:xMode val="edge"/>
          <c:yMode val="edge"/>
          <c:x val="0.17119388930871735"/>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6.8620631070057961E-2"/>
          <c:y val="0.20325131239732713"/>
          <c:w val="0.87503388680757266"/>
          <c:h val="0.6561827090345531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Friction!$R$49:$R$53</c:f>
              <c:numCache>
                <c:formatCode>0.0000</c:formatCode>
                <c:ptCount val="5"/>
                <c:pt idx="0">
                  <c:v>1.9620000000000002</c:v>
                </c:pt>
                <c:pt idx="1">
                  <c:v>2.1582000000000003</c:v>
                </c:pt>
                <c:pt idx="2">
                  <c:v>2.4525000000000001</c:v>
                </c:pt>
                <c:pt idx="3">
                  <c:v>2.6487000000000003</c:v>
                </c:pt>
                <c:pt idx="4">
                  <c:v>2.9430000000000001</c:v>
                </c:pt>
              </c:numCache>
            </c:numRef>
          </c:xVal>
          <c:yVal>
            <c:numRef>
              <c:f>Friction!$T$49:$T$53</c:f>
              <c:numCache>
                <c:formatCode>General</c:formatCode>
                <c:ptCount val="5"/>
                <c:pt idx="0">
                  <c:v>0.39240000000000003</c:v>
                </c:pt>
                <c:pt idx="1">
                  <c:v>0.58860000000000001</c:v>
                </c:pt>
                <c:pt idx="2">
                  <c:v>0.88290000000000002</c:v>
                </c:pt>
                <c:pt idx="3">
                  <c:v>1.0791000000000002</c:v>
                </c:pt>
                <c:pt idx="4">
                  <c:v>1.6677000000000002</c:v>
                </c:pt>
              </c:numCache>
            </c:numRef>
          </c:yVal>
          <c:smooth val="1"/>
          <c:extLst>
            <c:ext xmlns:c16="http://schemas.microsoft.com/office/drawing/2014/chart" uri="{C3380CC4-5D6E-409C-BE32-E72D297353CC}">
              <c16:uniqueId val="{00000000-4910-4E30-84EF-539FE99FA17C}"/>
            </c:ext>
          </c:extLst>
        </c:ser>
        <c:dLbls>
          <c:showLegendKey val="0"/>
          <c:showVal val="0"/>
          <c:showCatName val="0"/>
          <c:showSerName val="0"/>
          <c:showPercent val="0"/>
          <c:showBubbleSize val="0"/>
        </c:dLbls>
        <c:axId val="730567583"/>
        <c:axId val="730579583"/>
      </c:scatterChart>
      <c:valAx>
        <c:axId val="730567583"/>
        <c:scaling>
          <c:orientation val="minMax"/>
        </c:scaling>
        <c:delete val="0"/>
        <c:axPos val="b"/>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579583"/>
        <c:crosses val="autoZero"/>
        <c:crossBetween val="midCat"/>
      </c:valAx>
      <c:valAx>
        <c:axId val="7305795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5675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Kinetic</a:t>
            </a:r>
            <a:r>
              <a:rPr lang="en-IE" baseline="0"/>
              <a:t> Plastic: Pulling Force v Force Due to Sled Weight</a:t>
            </a:r>
            <a:endParaRPr lang="en-IE"/>
          </a:p>
        </c:rich>
      </c:tx>
      <c:layout>
        <c:manualLayout>
          <c:xMode val="edge"/>
          <c:yMode val="edge"/>
          <c:x val="0.17198898442055985"/>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6.8384733562978306E-2"/>
          <c:y val="0.19612762459314662"/>
          <c:w val="0.88806314177690271"/>
          <c:h val="0.68557475640207677"/>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Friction!$R$58:$R$62</c:f>
              <c:numCache>
                <c:formatCode>General</c:formatCode>
                <c:ptCount val="5"/>
                <c:pt idx="0">
                  <c:v>2.0600999999999998</c:v>
                </c:pt>
                <c:pt idx="1">
                  <c:v>2.3544</c:v>
                </c:pt>
                <c:pt idx="2">
                  <c:v>2.3544</c:v>
                </c:pt>
                <c:pt idx="3">
                  <c:v>2.5506000000000002</c:v>
                </c:pt>
                <c:pt idx="4">
                  <c:v>3.0411000000000001</c:v>
                </c:pt>
              </c:numCache>
            </c:numRef>
          </c:xVal>
          <c:yVal>
            <c:numRef>
              <c:f>Friction!$T$58:$T$62</c:f>
              <c:numCache>
                <c:formatCode>General</c:formatCode>
                <c:ptCount val="5"/>
                <c:pt idx="0">
                  <c:v>0.39240000000000003</c:v>
                </c:pt>
                <c:pt idx="1">
                  <c:v>0.68670000000000009</c:v>
                </c:pt>
                <c:pt idx="2">
                  <c:v>0.68670000000000009</c:v>
                </c:pt>
                <c:pt idx="3">
                  <c:v>0.88290000000000002</c:v>
                </c:pt>
                <c:pt idx="4">
                  <c:v>1.3734000000000002</c:v>
                </c:pt>
              </c:numCache>
            </c:numRef>
          </c:yVal>
          <c:smooth val="1"/>
          <c:extLst>
            <c:ext xmlns:c16="http://schemas.microsoft.com/office/drawing/2014/chart" uri="{C3380CC4-5D6E-409C-BE32-E72D297353CC}">
              <c16:uniqueId val="{00000000-9ADF-4689-87A1-00059C1D6C17}"/>
            </c:ext>
          </c:extLst>
        </c:ser>
        <c:dLbls>
          <c:showLegendKey val="0"/>
          <c:showVal val="0"/>
          <c:showCatName val="0"/>
          <c:showSerName val="0"/>
          <c:showPercent val="0"/>
          <c:showBubbleSize val="0"/>
        </c:dLbls>
        <c:axId val="730678463"/>
        <c:axId val="730667423"/>
      </c:scatterChart>
      <c:valAx>
        <c:axId val="73067846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667423"/>
        <c:crosses val="autoZero"/>
        <c:crossBetween val="midCat"/>
      </c:valAx>
      <c:valAx>
        <c:axId val="7306674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6784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A (Small:Small):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8.561818396082424E-2"/>
          <c:y val="0.161016756330394"/>
          <c:w val="0.87579385869634663"/>
          <c:h val="0.71527342380605663"/>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60</c:v>
                </c:pt>
                <c:pt idx="1">
                  <c:v>120</c:v>
                </c:pt>
                <c:pt idx="2">
                  <c:v>172</c:v>
                </c:pt>
                <c:pt idx="3">
                  <c:v>230</c:v>
                </c:pt>
                <c:pt idx="4">
                  <c:v>282</c:v>
                </c:pt>
                <c:pt idx="5">
                  <c:v>349</c:v>
                </c:pt>
                <c:pt idx="6">
                  <c:v>395</c:v>
                </c:pt>
                <c:pt idx="7">
                  <c:v>459</c:v>
                </c:pt>
              </c:numCache>
            </c:numRef>
          </c:yVal>
          <c:smooth val="1"/>
          <c:extLst>
            <c:ext xmlns:c16="http://schemas.microsoft.com/office/drawing/2014/chart" uri="{C3380CC4-5D6E-409C-BE32-E72D297353CC}">
              <c16:uniqueId val="{00000000-C1B7-4817-8434-A5FA8E9ECC3D}"/>
            </c:ext>
          </c:extLst>
        </c:ser>
        <c:dLbls>
          <c:showLegendKey val="0"/>
          <c:showVal val="0"/>
          <c:showCatName val="0"/>
          <c:showSerName val="0"/>
          <c:showPercent val="0"/>
          <c:showBubbleSize val="0"/>
        </c:dLbls>
        <c:axId val="1022733504"/>
        <c:axId val="1043145824"/>
      </c:scatterChart>
      <c:valAx>
        <c:axId val="10227335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3145824"/>
        <c:crosses val="autoZero"/>
        <c:crossBetween val="midCat"/>
      </c:valAx>
      <c:valAx>
        <c:axId val="10431458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27335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A (Small:Small):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7.5009644626073596E-2"/>
          <c:y val="0.18002250492181185"/>
          <c:w val="0.88474135001069976"/>
          <c:h val="0.68611424439360269"/>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Gears!$D$16:$D$23</c:f>
              <c:numCache>
                <c:formatCode>General</c:formatCode>
                <c:ptCount val="8"/>
                <c:pt idx="0">
                  <c:v>83.33</c:v>
                </c:pt>
                <c:pt idx="1">
                  <c:v>83.33</c:v>
                </c:pt>
                <c:pt idx="2">
                  <c:v>87.21</c:v>
                </c:pt>
                <c:pt idx="3">
                  <c:v>86.960000000000008</c:v>
                </c:pt>
                <c:pt idx="4">
                  <c:v>88.649999999999991</c:v>
                </c:pt>
                <c:pt idx="5">
                  <c:v>85.960000000000008</c:v>
                </c:pt>
                <c:pt idx="6">
                  <c:v>88.61</c:v>
                </c:pt>
                <c:pt idx="7">
                  <c:v>87.15</c:v>
                </c:pt>
              </c:numCache>
            </c:numRef>
          </c:yVal>
          <c:smooth val="1"/>
          <c:extLst>
            <c:ext xmlns:c16="http://schemas.microsoft.com/office/drawing/2014/chart" uri="{C3380CC4-5D6E-409C-BE32-E72D297353CC}">
              <c16:uniqueId val="{00000000-EE59-4D41-AB50-85018400E045}"/>
            </c:ext>
          </c:extLst>
        </c:ser>
        <c:dLbls>
          <c:showLegendKey val="0"/>
          <c:showVal val="0"/>
          <c:showCatName val="0"/>
          <c:showSerName val="0"/>
          <c:showPercent val="0"/>
          <c:showBubbleSize val="0"/>
        </c:dLbls>
        <c:axId val="1925477727"/>
        <c:axId val="1925472447"/>
      </c:scatterChart>
      <c:valAx>
        <c:axId val="192547772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5472447"/>
        <c:crosses val="autoZero"/>
        <c:crossBetween val="midCat"/>
      </c:valAx>
      <c:valAx>
        <c:axId val="19254724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547772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B (Small:Medium):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7.3156517152783984E-2"/>
          <c:y val="0.14571968054106071"/>
          <c:w val="0.88758883678249023"/>
          <c:h val="0.72992496374405336"/>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Gears!$G$16:$G$23</c:f>
              <c:numCache>
                <c:formatCode>General</c:formatCode>
                <c:ptCount val="8"/>
                <c:pt idx="0">
                  <c:v>10</c:v>
                </c:pt>
                <c:pt idx="1">
                  <c:v>20</c:v>
                </c:pt>
                <c:pt idx="2">
                  <c:v>28</c:v>
                </c:pt>
                <c:pt idx="3">
                  <c:v>36</c:v>
                </c:pt>
                <c:pt idx="4">
                  <c:v>50</c:v>
                </c:pt>
                <c:pt idx="5">
                  <c:v>60</c:v>
                </c:pt>
                <c:pt idx="6">
                  <c:v>70</c:v>
                </c:pt>
                <c:pt idx="7">
                  <c:v>80</c:v>
                </c:pt>
              </c:numCache>
            </c:numRef>
          </c:yVal>
          <c:smooth val="1"/>
          <c:extLst>
            <c:ext xmlns:c16="http://schemas.microsoft.com/office/drawing/2014/chart" uri="{C3380CC4-5D6E-409C-BE32-E72D297353CC}">
              <c16:uniqueId val="{00000000-6A44-413B-BDD0-F812B925307E}"/>
            </c:ext>
          </c:extLst>
        </c:ser>
        <c:dLbls>
          <c:showLegendKey val="0"/>
          <c:showVal val="0"/>
          <c:showCatName val="0"/>
          <c:showSerName val="0"/>
          <c:showPercent val="0"/>
          <c:showBubbleSize val="0"/>
        </c:dLbls>
        <c:axId val="1076127120"/>
        <c:axId val="1076143440"/>
      </c:scatterChart>
      <c:valAx>
        <c:axId val="1076127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43440"/>
        <c:crosses val="autoZero"/>
        <c:crossBetween val="midCat"/>
      </c:valAx>
      <c:valAx>
        <c:axId val="10761434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2712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B (Small:Medium):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8.7623081159337451E-2"/>
          <c:y val="0.15173003544041194"/>
          <c:w val="0.87293643762288253"/>
          <c:h val="0.7411892913152468"/>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Gears!$I$16:$I$23</c:f>
              <c:numCache>
                <c:formatCode>General</c:formatCode>
                <c:ptCount val="8"/>
                <c:pt idx="0">
                  <c:v>100</c:v>
                </c:pt>
                <c:pt idx="1">
                  <c:v>100</c:v>
                </c:pt>
                <c:pt idx="2">
                  <c:v>107.2</c:v>
                </c:pt>
                <c:pt idx="3">
                  <c:v>111.19999999999999</c:v>
                </c:pt>
                <c:pt idx="4">
                  <c:v>100</c:v>
                </c:pt>
                <c:pt idx="5">
                  <c:v>100</c:v>
                </c:pt>
                <c:pt idx="6">
                  <c:v>100</c:v>
                </c:pt>
                <c:pt idx="7">
                  <c:v>100</c:v>
                </c:pt>
              </c:numCache>
            </c:numRef>
          </c:yVal>
          <c:smooth val="1"/>
          <c:extLst>
            <c:ext xmlns:c16="http://schemas.microsoft.com/office/drawing/2014/chart" uri="{C3380CC4-5D6E-409C-BE32-E72D297353CC}">
              <c16:uniqueId val="{00000000-B712-407D-A6C6-43CB2EDCE472}"/>
            </c:ext>
          </c:extLst>
        </c:ser>
        <c:dLbls>
          <c:showLegendKey val="0"/>
          <c:showVal val="0"/>
          <c:showCatName val="0"/>
          <c:showSerName val="0"/>
          <c:showPercent val="0"/>
          <c:showBubbleSize val="0"/>
        </c:dLbls>
        <c:axId val="1152486320"/>
        <c:axId val="1152486800"/>
      </c:scatterChart>
      <c:valAx>
        <c:axId val="11524863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2486800"/>
        <c:crosses val="autoZero"/>
        <c:crossBetween val="midCat"/>
      </c:valAx>
      <c:valAx>
        <c:axId val="11524868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248632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C (Small:Small with Idler):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2874135847406031E-2"/>
          <c:y val="0.17616585254951289"/>
          <c:w val="0.86526766269889754"/>
          <c:h val="0.72777966314053122"/>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120</c:v>
                </c:pt>
                <c:pt idx="1">
                  <c:v>135</c:v>
                </c:pt>
                <c:pt idx="2">
                  <c:v>190</c:v>
                </c:pt>
                <c:pt idx="3">
                  <c:v>250</c:v>
                </c:pt>
                <c:pt idx="4">
                  <c:v>299</c:v>
                </c:pt>
                <c:pt idx="5">
                  <c:v>350</c:v>
                </c:pt>
                <c:pt idx="6">
                  <c:v>420</c:v>
                </c:pt>
                <c:pt idx="7">
                  <c:v>470</c:v>
                </c:pt>
              </c:numCache>
            </c:numRef>
          </c:yVal>
          <c:smooth val="1"/>
          <c:extLst>
            <c:ext xmlns:c16="http://schemas.microsoft.com/office/drawing/2014/chart" uri="{C3380CC4-5D6E-409C-BE32-E72D297353CC}">
              <c16:uniqueId val="{00000000-665F-456B-852D-0655E11D547F}"/>
            </c:ext>
          </c:extLst>
        </c:ser>
        <c:dLbls>
          <c:showLegendKey val="0"/>
          <c:showVal val="0"/>
          <c:showCatName val="0"/>
          <c:showSerName val="0"/>
          <c:showPercent val="0"/>
          <c:showBubbleSize val="0"/>
        </c:dLbls>
        <c:axId val="1794009263"/>
        <c:axId val="1793993903"/>
      </c:scatterChart>
      <c:valAx>
        <c:axId val="179400926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3993903"/>
        <c:crosses val="autoZero"/>
        <c:crossBetween val="midCat"/>
      </c:valAx>
      <c:valAx>
        <c:axId val="17939939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40092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C (Small:Small with Idler): Efficiency v Load</a:t>
            </a:r>
            <a:endParaRPr lang="en-IE"/>
          </a:p>
        </c:rich>
      </c:tx>
      <c:layout>
        <c:manualLayout>
          <c:xMode val="edge"/>
          <c:yMode val="edge"/>
          <c:x val="0.13454087759713507"/>
          <c:y val="0"/>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6.6469816272965873E-2"/>
          <c:y val="0.18337508702035715"/>
          <c:w val="0.88397462817147854"/>
          <c:h val="0.71568700131906859"/>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Gears!$N$16:$N$23</c:f>
              <c:numCache>
                <c:formatCode>General</c:formatCode>
                <c:ptCount val="8"/>
                <c:pt idx="0">
                  <c:v>41.67</c:v>
                </c:pt>
                <c:pt idx="1">
                  <c:v>74.070000000000007</c:v>
                </c:pt>
                <c:pt idx="2">
                  <c:v>78.95</c:v>
                </c:pt>
                <c:pt idx="3">
                  <c:v>80</c:v>
                </c:pt>
                <c:pt idx="4">
                  <c:v>83.61</c:v>
                </c:pt>
                <c:pt idx="5">
                  <c:v>85.71</c:v>
                </c:pt>
                <c:pt idx="6">
                  <c:v>83.33</c:v>
                </c:pt>
                <c:pt idx="7">
                  <c:v>85.11</c:v>
                </c:pt>
              </c:numCache>
            </c:numRef>
          </c:yVal>
          <c:smooth val="1"/>
          <c:extLst>
            <c:ext xmlns:c16="http://schemas.microsoft.com/office/drawing/2014/chart" uri="{C3380CC4-5D6E-409C-BE32-E72D297353CC}">
              <c16:uniqueId val="{00000000-8B05-4495-B9D3-2810BA1C8379}"/>
            </c:ext>
          </c:extLst>
        </c:ser>
        <c:dLbls>
          <c:showLegendKey val="0"/>
          <c:showVal val="0"/>
          <c:showCatName val="0"/>
          <c:showSerName val="0"/>
          <c:showPercent val="0"/>
          <c:showBubbleSize val="0"/>
        </c:dLbls>
        <c:axId val="963870384"/>
        <c:axId val="963863184"/>
      </c:scatterChart>
      <c:valAx>
        <c:axId val="9638703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63184"/>
        <c:crosses val="autoZero"/>
        <c:crossBetween val="midCat"/>
      </c:valAx>
      <c:valAx>
        <c:axId val="9638631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703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D (Compound Gears):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8.2921200583445751E-2"/>
          <c:y val="0.1471592900008018"/>
          <c:w val="0.87840350900910191"/>
          <c:h val="0.75090889519010939"/>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40</c:v>
                </c:pt>
                <c:pt idx="1">
                  <c:v>60</c:v>
                </c:pt>
                <c:pt idx="2">
                  <c:v>90</c:v>
                </c:pt>
                <c:pt idx="3">
                  <c:v>120</c:v>
                </c:pt>
                <c:pt idx="4">
                  <c:v>140</c:v>
                </c:pt>
                <c:pt idx="5">
                  <c:v>160</c:v>
                </c:pt>
                <c:pt idx="6">
                  <c:v>190</c:v>
                </c:pt>
                <c:pt idx="7">
                  <c:v>220</c:v>
                </c:pt>
              </c:numCache>
            </c:numRef>
          </c:yVal>
          <c:smooth val="1"/>
          <c:extLst>
            <c:ext xmlns:c16="http://schemas.microsoft.com/office/drawing/2014/chart" uri="{C3380CC4-5D6E-409C-BE32-E72D297353CC}">
              <c16:uniqueId val="{00000000-47D4-4C4A-BE70-2F54E2B61686}"/>
            </c:ext>
          </c:extLst>
        </c:ser>
        <c:dLbls>
          <c:showLegendKey val="0"/>
          <c:showVal val="0"/>
          <c:showCatName val="0"/>
          <c:showSerName val="0"/>
          <c:showPercent val="0"/>
          <c:showBubbleSize val="0"/>
        </c:dLbls>
        <c:axId val="1793994863"/>
        <c:axId val="1793996783"/>
      </c:scatterChart>
      <c:valAx>
        <c:axId val="179399486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3996783"/>
        <c:crosses val="autoZero"/>
        <c:crossBetween val="midCat"/>
      </c:valAx>
      <c:valAx>
        <c:axId val="17939967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39948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Part</a:t>
            </a:r>
            <a:r>
              <a:rPr lang="en-IE" baseline="0"/>
              <a:t> D (Compound Gears):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0.11246138019531669"/>
          <c:y val="0.16029342344124764"/>
          <c:w val="0.85295749928798958"/>
          <c:h val="0.72333945969961722"/>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Gears!$T$20:$T$27</c:f>
              <c:numCache>
                <c:formatCode>0.00</c:formatCode>
                <c:ptCount val="8"/>
                <c:pt idx="0">
                  <c:v>58.329444703686427</c:v>
                </c:pt>
                <c:pt idx="1">
                  <c:v>77.774148390107328</c:v>
                </c:pt>
                <c:pt idx="2">
                  <c:v>77.774148390107328</c:v>
                </c:pt>
                <c:pt idx="3">
                  <c:v>77.774148390107328</c:v>
                </c:pt>
                <c:pt idx="4">
                  <c:v>83.327111525898289</c:v>
                </c:pt>
                <c:pt idx="5">
                  <c:v>87.49416705552963</c:v>
                </c:pt>
                <c:pt idx="6">
                  <c:v>85.958936070928615</c:v>
                </c:pt>
                <c:pt idx="7">
                  <c:v>84.843677088194127</c:v>
                </c:pt>
              </c:numCache>
            </c:numRef>
          </c:yVal>
          <c:smooth val="1"/>
          <c:extLst>
            <c:ext xmlns:c16="http://schemas.microsoft.com/office/drawing/2014/chart" uri="{C3380CC4-5D6E-409C-BE32-E72D297353CC}">
              <c16:uniqueId val="{00000000-591F-4288-8393-D340BB7CEC8E}"/>
            </c:ext>
          </c:extLst>
        </c:ser>
        <c:dLbls>
          <c:showLegendKey val="0"/>
          <c:showVal val="0"/>
          <c:showCatName val="0"/>
          <c:showSerName val="0"/>
          <c:showPercent val="0"/>
          <c:showBubbleSize val="0"/>
        </c:dLbls>
        <c:axId val="1174423792"/>
        <c:axId val="1366189663"/>
      </c:scatterChart>
      <c:valAx>
        <c:axId val="1174423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189663"/>
        <c:crosses val="autoZero"/>
        <c:crossBetween val="midCat"/>
      </c:valAx>
      <c:valAx>
        <c:axId val="136618966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4423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Bevel</a:t>
            </a:r>
            <a:r>
              <a:rPr lang="en-IE" baseline="0"/>
              <a:t> Gears: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6.6638087551960004E-2"/>
          <c:y val="0.15337547897137213"/>
          <c:w val="0.90004533661157149"/>
          <c:h val="0.7220755588701374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40</c:v>
                </c:pt>
                <c:pt idx="1">
                  <c:v>60</c:v>
                </c:pt>
                <c:pt idx="2">
                  <c:v>70</c:v>
                </c:pt>
                <c:pt idx="3">
                  <c:v>100</c:v>
                </c:pt>
                <c:pt idx="4">
                  <c:v>130</c:v>
                </c:pt>
                <c:pt idx="5">
                  <c:v>140</c:v>
                </c:pt>
                <c:pt idx="6">
                  <c:v>150</c:v>
                </c:pt>
              </c:numCache>
            </c:numRef>
          </c:yVal>
          <c:smooth val="1"/>
          <c:extLst>
            <c:ext xmlns:c16="http://schemas.microsoft.com/office/drawing/2014/chart" uri="{C3380CC4-5D6E-409C-BE32-E72D297353CC}">
              <c16:uniqueId val="{00000000-C156-46A8-8AC1-443F4D07857C}"/>
            </c:ext>
          </c:extLst>
        </c:ser>
        <c:dLbls>
          <c:showLegendKey val="0"/>
          <c:showVal val="0"/>
          <c:showCatName val="0"/>
          <c:showSerName val="0"/>
          <c:showPercent val="0"/>
          <c:showBubbleSize val="0"/>
        </c:dLbls>
        <c:axId val="1076121840"/>
        <c:axId val="1076116560"/>
      </c:scatterChart>
      <c:valAx>
        <c:axId val="10761218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16560"/>
        <c:crosses val="autoZero"/>
        <c:crossBetween val="midCat"/>
      </c:valAx>
      <c:valAx>
        <c:axId val="10761165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2184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Bevel</a:t>
            </a:r>
            <a:r>
              <a:rPr lang="en-IE" baseline="0"/>
              <a:t> Gears: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8424178830407147E-2"/>
          <c:y val="0.14569816544243019"/>
          <c:w val="0.865415766828462"/>
          <c:h val="0.75312113595629526"/>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Gears!$AA$14:$AA$20</c:f>
              <c:numCache>
                <c:formatCode>0.00</c:formatCode>
                <c:ptCount val="7"/>
                <c:pt idx="0">
                  <c:v>93.75</c:v>
                </c:pt>
                <c:pt idx="1">
                  <c:v>83.332499999999996</c:v>
                </c:pt>
                <c:pt idx="2">
                  <c:v>89.284999999999997</c:v>
                </c:pt>
                <c:pt idx="3" formatCode="General">
                  <c:v>75</c:v>
                </c:pt>
                <c:pt idx="4">
                  <c:v>67.307500000000005</c:v>
                </c:pt>
                <c:pt idx="5">
                  <c:v>71.427499999999995</c:v>
                </c:pt>
                <c:pt idx="6" formatCode="General">
                  <c:v>75</c:v>
                </c:pt>
              </c:numCache>
            </c:numRef>
          </c:yVal>
          <c:smooth val="1"/>
          <c:extLst>
            <c:ext xmlns:c16="http://schemas.microsoft.com/office/drawing/2014/chart" uri="{C3380CC4-5D6E-409C-BE32-E72D297353CC}">
              <c16:uniqueId val="{00000000-3674-4029-A2D6-E910A1048E52}"/>
            </c:ext>
          </c:extLst>
        </c:ser>
        <c:dLbls>
          <c:showLegendKey val="0"/>
          <c:showVal val="0"/>
          <c:showCatName val="0"/>
          <c:showSerName val="0"/>
          <c:showPercent val="0"/>
          <c:showBubbleSize val="0"/>
        </c:dLbls>
        <c:axId val="963963984"/>
        <c:axId val="963979824"/>
      </c:scatterChart>
      <c:valAx>
        <c:axId val="9639639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979824"/>
        <c:crosses val="autoZero"/>
        <c:crossBetween val="midCat"/>
      </c:valAx>
      <c:valAx>
        <c:axId val="96397982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9639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Worm</a:t>
            </a:r>
            <a:r>
              <a:rPr lang="en-IE" baseline="0"/>
              <a:t> Gears: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5.7532467507420776E-2"/>
          <c:y val="0.14592731534310488"/>
          <c:w val="0.88699875874487255"/>
          <c:h val="0.75273308455947607"/>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Gears!$AE$14:$AE$20</c:f>
              <c:numCache>
                <c:formatCode>General</c:formatCode>
                <c:ptCount val="7"/>
                <c:pt idx="0">
                  <c:v>50</c:v>
                </c:pt>
                <c:pt idx="1">
                  <c:v>60</c:v>
                </c:pt>
                <c:pt idx="2">
                  <c:v>70</c:v>
                </c:pt>
                <c:pt idx="3">
                  <c:v>90</c:v>
                </c:pt>
                <c:pt idx="4">
                  <c:v>100</c:v>
                </c:pt>
                <c:pt idx="5">
                  <c:v>110</c:v>
                </c:pt>
                <c:pt idx="6">
                  <c:v>120</c:v>
                </c:pt>
              </c:numCache>
            </c:numRef>
          </c:yVal>
          <c:smooth val="1"/>
          <c:extLst>
            <c:ext xmlns:c16="http://schemas.microsoft.com/office/drawing/2014/chart" uri="{C3380CC4-5D6E-409C-BE32-E72D297353CC}">
              <c16:uniqueId val="{00000000-7148-4DE8-A62A-A2B4C05BB787}"/>
            </c:ext>
          </c:extLst>
        </c:ser>
        <c:dLbls>
          <c:showLegendKey val="0"/>
          <c:showVal val="0"/>
          <c:showCatName val="0"/>
          <c:showSerName val="0"/>
          <c:showPercent val="0"/>
          <c:showBubbleSize val="0"/>
        </c:dLbls>
        <c:axId val="1169944864"/>
        <c:axId val="1169932864"/>
      </c:scatterChart>
      <c:valAx>
        <c:axId val="11699448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9932864"/>
        <c:crosses val="autoZero"/>
        <c:crossBetween val="midCat"/>
      </c:valAx>
      <c:valAx>
        <c:axId val="1169932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99448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Worm</a:t>
            </a:r>
            <a:r>
              <a:rPr lang="en-IE" baseline="0"/>
              <a:t> Gears: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6318883327777688E-2"/>
          <c:y val="0.1438216274746191"/>
          <c:w val="0.86356534606334423"/>
          <c:h val="0.7351236243214418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Gears!$AG$14:$AG$20</c:f>
              <c:numCache>
                <c:formatCode>0.00</c:formatCode>
                <c:ptCount val="7"/>
                <c:pt idx="0" formatCode="General">
                  <c:v>10</c:v>
                </c:pt>
                <c:pt idx="1">
                  <c:v>10.41675</c:v>
                </c:pt>
                <c:pt idx="2">
                  <c:v>10.71425</c:v>
                </c:pt>
                <c:pt idx="3">
                  <c:v>9.7222500000000007</c:v>
                </c:pt>
                <c:pt idx="4" formatCode="General">
                  <c:v>10</c:v>
                </c:pt>
                <c:pt idx="5">
                  <c:v>10.227250000000002</c:v>
                </c:pt>
                <c:pt idx="6">
                  <c:v>10.41675</c:v>
                </c:pt>
              </c:numCache>
            </c:numRef>
          </c:yVal>
          <c:smooth val="1"/>
          <c:extLst>
            <c:ext xmlns:c16="http://schemas.microsoft.com/office/drawing/2014/chart" uri="{C3380CC4-5D6E-409C-BE32-E72D297353CC}">
              <c16:uniqueId val="{00000000-6B7F-4B60-91F6-FE07080CA1C8}"/>
            </c:ext>
          </c:extLst>
        </c:ser>
        <c:dLbls>
          <c:showLegendKey val="0"/>
          <c:showVal val="0"/>
          <c:showCatName val="0"/>
          <c:showSerName val="0"/>
          <c:showPercent val="0"/>
          <c:showBubbleSize val="0"/>
        </c:dLbls>
        <c:axId val="1169965024"/>
        <c:axId val="1169990944"/>
      </c:scatterChart>
      <c:valAx>
        <c:axId val="11699650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9990944"/>
        <c:crosses val="autoZero"/>
        <c:crossBetween val="midCat"/>
      </c:valAx>
      <c:valAx>
        <c:axId val="11699909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99650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The Wedge</a:t>
            </a:r>
            <a:r>
              <a:rPr lang="en-IE" baseline="0"/>
              <a:t> A</a:t>
            </a:r>
            <a:r>
              <a:rPr lang="en-IE"/>
              <a:t>:</a:t>
            </a:r>
            <a:r>
              <a:rPr lang="en-IE" baseline="0"/>
              <a:t> </a:t>
            </a:r>
            <a:r>
              <a:rPr lang="en-IE"/>
              <a:t>Load</a:t>
            </a:r>
            <a:r>
              <a:rPr lang="en-IE" baseline="0"/>
              <a:t> v Effort</a:t>
            </a:r>
            <a:endParaRPr lang="en-IE"/>
          </a:p>
        </c:rich>
      </c:tx>
      <c:layout>
        <c:manualLayout>
          <c:xMode val="edge"/>
          <c:yMode val="edge"/>
          <c:x val="0.19880329016634163"/>
          <c:y val="4.307625294708981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0.12634490176119231"/>
          <c:y val="0.18172000673348798"/>
          <c:w val="0.81671168442059794"/>
          <c:h val="0.7028206467001627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30</c:v>
                </c:pt>
                <c:pt idx="1">
                  <c:v>75</c:v>
                </c:pt>
                <c:pt idx="2">
                  <c:v>82</c:v>
                </c:pt>
                <c:pt idx="3">
                  <c:v>120</c:v>
                </c:pt>
                <c:pt idx="4">
                  <c:v>160</c:v>
                </c:pt>
                <c:pt idx="5">
                  <c:v>200</c:v>
                </c:pt>
                <c:pt idx="6">
                  <c:v>230</c:v>
                </c:pt>
                <c:pt idx="7">
                  <c:v>250</c:v>
                </c:pt>
                <c:pt idx="8">
                  <c:v>280</c:v>
                </c:pt>
                <c:pt idx="9">
                  <c:v>300</c:v>
                </c:pt>
              </c:numCache>
            </c:numRef>
          </c:yVal>
          <c:smooth val="1"/>
          <c:extLst>
            <c:ext xmlns:c16="http://schemas.microsoft.com/office/drawing/2014/chart" uri="{C3380CC4-5D6E-409C-BE32-E72D297353CC}">
              <c16:uniqueId val="{00000000-4389-4AD6-828E-882E81F9038E}"/>
            </c:ext>
          </c:extLst>
        </c:ser>
        <c:dLbls>
          <c:showLegendKey val="0"/>
          <c:showVal val="0"/>
          <c:showCatName val="0"/>
          <c:showSerName val="0"/>
          <c:showPercent val="0"/>
          <c:showBubbleSize val="0"/>
        </c:dLbls>
        <c:axId val="1296293711"/>
        <c:axId val="1296286511"/>
      </c:scatterChart>
      <c:valAx>
        <c:axId val="129629371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6286511"/>
        <c:crosses val="autoZero"/>
        <c:crossBetween val="midCat"/>
      </c:valAx>
      <c:valAx>
        <c:axId val="12962865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62937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The</a:t>
            </a:r>
            <a:r>
              <a:rPr lang="en-IE" baseline="0"/>
              <a:t> Wedge A: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0.15350511224443172"/>
          <c:y val="0.22549194315480897"/>
          <c:w val="0.78918010776308989"/>
          <c:h val="0.63873127406019203"/>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0.00</c:formatCode>
                <c:ptCount val="10"/>
                <c:pt idx="0">
                  <c:v>55.556666666666665</c:v>
                </c:pt>
                <c:pt idx="1">
                  <c:v>44.443333333333328</c:v>
                </c:pt>
                <c:pt idx="2">
                  <c:v>60.976666666666667</c:v>
                </c:pt>
                <c:pt idx="3">
                  <c:v>55.556666666666665</c:v>
                </c:pt>
                <c:pt idx="4">
                  <c:v>52.086666666666673</c:v>
                </c:pt>
                <c:pt idx="5" formatCode="General">
                  <c:v>50</c:v>
                </c:pt>
                <c:pt idx="6">
                  <c:v>50.723333333333329</c:v>
                </c:pt>
                <c:pt idx="7">
                  <c:v>53.333333333333336</c:v>
                </c:pt>
                <c:pt idx="8">
                  <c:v>53.569999999999993</c:v>
                </c:pt>
                <c:pt idx="9">
                  <c:v>55.556666666666665</c:v>
                </c:pt>
              </c:numCache>
            </c:numRef>
          </c:yVal>
          <c:smooth val="1"/>
          <c:extLst>
            <c:ext xmlns:c16="http://schemas.microsoft.com/office/drawing/2014/chart" uri="{C3380CC4-5D6E-409C-BE32-E72D297353CC}">
              <c16:uniqueId val="{00000000-4A25-4736-BB67-BF25997D5C57}"/>
            </c:ext>
          </c:extLst>
        </c:ser>
        <c:dLbls>
          <c:showLegendKey val="0"/>
          <c:showVal val="0"/>
          <c:showCatName val="0"/>
          <c:showSerName val="0"/>
          <c:showPercent val="0"/>
          <c:showBubbleSize val="0"/>
        </c:dLbls>
        <c:axId val="1411176687"/>
        <c:axId val="1411191087"/>
      </c:scatterChart>
      <c:valAx>
        <c:axId val="141117668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1191087"/>
        <c:crosses val="autoZero"/>
        <c:crossBetween val="midCat"/>
      </c:valAx>
      <c:valAx>
        <c:axId val="141119108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117668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The</a:t>
            </a:r>
            <a:r>
              <a:rPr lang="en-IE" baseline="0"/>
              <a:t> Wedge B: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0.11053493099586287"/>
          <c:y val="0.17478547036609843"/>
          <c:w val="0.83964717980302339"/>
          <c:h val="0.68630984428209563"/>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20</c:v>
                </c:pt>
                <c:pt idx="1">
                  <c:v>30</c:v>
                </c:pt>
                <c:pt idx="2">
                  <c:v>40</c:v>
                </c:pt>
                <c:pt idx="3">
                  <c:v>50</c:v>
                </c:pt>
                <c:pt idx="4">
                  <c:v>60</c:v>
                </c:pt>
                <c:pt idx="5">
                  <c:v>70</c:v>
                </c:pt>
                <c:pt idx="6">
                  <c:v>80</c:v>
                </c:pt>
                <c:pt idx="7">
                  <c:v>100</c:v>
                </c:pt>
                <c:pt idx="8">
                  <c:v>110</c:v>
                </c:pt>
                <c:pt idx="9">
                  <c:v>120</c:v>
                </c:pt>
              </c:numCache>
            </c:numRef>
          </c:yVal>
          <c:smooth val="1"/>
          <c:extLst>
            <c:ext xmlns:c16="http://schemas.microsoft.com/office/drawing/2014/chart" uri="{C3380CC4-5D6E-409C-BE32-E72D297353CC}">
              <c16:uniqueId val="{00000000-3E22-4E8E-818D-7662B902C454}"/>
            </c:ext>
          </c:extLst>
        </c:ser>
        <c:dLbls>
          <c:showLegendKey val="0"/>
          <c:showVal val="0"/>
          <c:showCatName val="0"/>
          <c:showSerName val="0"/>
          <c:showPercent val="0"/>
          <c:showBubbleSize val="0"/>
        </c:dLbls>
        <c:axId val="1412686447"/>
        <c:axId val="1412675887"/>
      </c:scatterChart>
      <c:valAx>
        <c:axId val="141268644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2675887"/>
        <c:crosses val="autoZero"/>
        <c:crossBetween val="midCat"/>
      </c:valAx>
      <c:valAx>
        <c:axId val="14126758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26864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The</a:t>
            </a:r>
            <a:r>
              <a:rPr lang="en-IE" baseline="0"/>
              <a:t> Wedge B: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0.13461332834945158"/>
          <c:y val="0.15827272492780012"/>
          <c:w val="0.81654582849995638"/>
          <c:h val="0.70148230661277267"/>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0.00</c:formatCode>
                <c:ptCount val="10"/>
                <c:pt idx="0">
                  <c:v>20.833333333333336</c:v>
                </c:pt>
                <c:pt idx="1">
                  <c:v>27.7775</c:v>
                </c:pt>
                <c:pt idx="2">
                  <c:v>31.25</c:v>
                </c:pt>
                <c:pt idx="3">
                  <c:v>33.333333333333329</c:v>
                </c:pt>
                <c:pt idx="4">
                  <c:v>34.722499999999997</c:v>
                </c:pt>
                <c:pt idx="5">
                  <c:v>35.714166666666671</c:v>
                </c:pt>
                <c:pt idx="6">
                  <c:v>36.458333333333329</c:v>
                </c:pt>
                <c:pt idx="7">
                  <c:v>33.333333333333329</c:v>
                </c:pt>
                <c:pt idx="8">
                  <c:v>34.090833333333336</c:v>
                </c:pt>
                <c:pt idx="9">
                  <c:v>34.722499999999997</c:v>
                </c:pt>
              </c:numCache>
            </c:numRef>
          </c:yVal>
          <c:smooth val="1"/>
          <c:extLst>
            <c:ext xmlns:c16="http://schemas.microsoft.com/office/drawing/2014/chart" uri="{C3380CC4-5D6E-409C-BE32-E72D297353CC}">
              <c16:uniqueId val="{00000000-F590-4ADB-AD30-087696CAE996}"/>
            </c:ext>
          </c:extLst>
        </c:ser>
        <c:dLbls>
          <c:showLegendKey val="0"/>
          <c:showVal val="0"/>
          <c:showCatName val="0"/>
          <c:showSerName val="0"/>
          <c:showPercent val="0"/>
          <c:showBubbleSize val="0"/>
        </c:dLbls>
        <c:axId val="1412666287"/>
        <c:axId val="1412670127"/>
      </c:scatterChart>
      <c:valAx>
        <c:axId val="141266628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2670127"/>
        <c:crosses val="autoZero"/>
        <c:crossBetween val="midCat"/>
      </c:valAx>
      <c:valAx>
        <c:axId val="141267012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266628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The</a:t>
            </a:r>
            <a:r>
              <a:rPr lang="en-IE" baseline="0"/>
              <a:t> Screw Jack: Load v Effort</a:t>
            </a:r>
            <a:endParaRPr lang="en-IE"/>
          </a:p>
        </c:rich>
      </c:tx>
      <c:layout>
        <c:manualLayout>
          <c:xMode val="edge"/>
          <c:yMode val="edge"/>
          <c:x val="0.21213746522527083"/>
          <c:y val="5.2104749651875138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8796622211373253E-2"/>
          <c:y val="0.1016615770457736"/>
          <c:w val="0.85505605831037779"/>
          <c:h val="0.79556333521231837"/>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70</c:v>
                </c:pt>
                <c:pt idx="1">
                  <c:v>90</c:v>
                </c:pt>
                <c:pt idx="2">
                  <c:v>100</c:v>
                </c:pt>
                <c:pt idx="3">
                  <c:v>110</c:v>
                </c:pt>
                <c:pt idx="4">
                  <c:v>130</c:v>
                </c:pt>
                <c:pt idx="5">
                  <c:v>140</c:v>
                </c:pt>
                <c:pt idx="6">
                  <c:v>150</c:v>
                </c:pt>
                <c:pt idx="7">
                  <c:v>160</c:v>
                </c:pt>
                <c:pt idx="8">
                  <c:v>170</c:v>
                </c:pt>
                <c:pt idx="9">
                  <c:v>180</c:v>
                </c:pt>
              </c:numCache>
            </c:numRef>
          </c:yVal>
          <c:smooth val="1"/>
          <c:extLst>
            <c:ext xmlns:c16="http://schemas.microsoft.com/office/drawing/2014/chart" uri="{C3380CC4-5D6E-409C-BE32-E72D297353CC}">
              <c16:uniqueId val="{00000000-E96D-47A4-93A9-BFD11A85156D}"/>
            </c:ext>
          </c:extLst>
        </c:ser>
        <c:dLbls>
          <c:showLegendKey val="0"/>
          <c:showVal val="0"/>
          <c:showCatName val="0"/>
          <c:showSerName val="0"/>
          <c:showPercent val="0"/>
          <c:showBubbleSize val="0"/>
        </c:dLbls>
        <c:axId val="1425121199"/>
        <c:axId val="1425130319"/>
      </c:scatterChart>
      <c:valAx>
        <c:axId val="142512119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5130319"/>
        <c:crosses val="autoZero"/>
        <c:crossBetween val="midCat"/>
      </c:valAx>
      <c:valAx>
        <c:axId val="14251303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51211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The</a:t>
            </a:r>
            <a:r>
              <a:rPr lang="en-IE" baseline="0"/>
              <a:t> Screw Jack: Efficiency v Load</a:t>
            </a:r>
            <a:endParaRPr lang="en-IE"/>
          </a:p>
        </c:rich>
      </c:tx>
      <c:layout>
        <c:manualLayout>
          <c:xMode val="edge"/>
          <c:yMode val="edge"/>
          <c:x val="0.16727696293370642"/>
          <c:y val="2.0754740595953234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8.5636482939632552E-2"/>
          <c:y val="0.10226851851851854"/>
          <c:w val="0.87869685039370082"/>
          <c:h val="0.79996172353455819"/>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0.00</c:formatCode>
                <c:ptCount val="10"/>
                <c:pt idx="0">
                  <c:v>1.4200795228628234</c:v>
                </c:pt>
                <c:pt idx="1">
                  <c:v>2.2089463220675944</c:v>
                </c:pt>
                <c:pt idx="2">
                  <c:v>2.9821073558648115</c:v>
                </c:pt>
                <c:pt idx="3">
                  <c:v>3.6147117296222664</c:v>
                </c:pt>
                <c:pt idx="4">
                  <c:v>3.8232604373757457</c:v>
                </c:pt>
                <c:pt idx="5">
                  <c:v>4.2602385685884698</c:v>
                </c:pt>
                <c:pt idx="6">
                  <c:v>4.6387673956262425</c:v>
                </c:pt>
                <c:pt idx="7">
                  <c:v>4.9701789264413518</c:v>
                </c:pt>
                <c:pt idx="8">
                  <c:v>5.2626242544731614</c:v>
                </c:pt>
                <c:pt idx="9">
                  <c:v>5.5224652087475148</c:v>
                </c:pt>
              </c:numCache>
            </c:numRef>
          </c:yVal>
          <c:smooth val="1"/>
          <c:extLst>
            <c:ext xmlns:c16="http://schemas.microsoft.com/office/drawing/2014/chart" uri="{C3380CC4-5D6E-409C-BE32-E72D297353CC}">
              <c16:uniqueId val="{00000000-3191-49E0-B287-AE17B57367EC}"/>
            </c:ext>
          </c:extLst>
        </c:ser>
        <c:dLbls>
          <c:showLegendKey val="0"/>
          <c:showVal val="0"/>
          <c:showCatName val="0"/>
          <c:showSerName val="0"/>
          <c:showPercent val="0"/>
          <c:showBubbleSize val="0"/>
        </c:dLbls>
        <c:axId val="1408673839"/>
        <c:axId val="1408696879"/>
      </c:scatterChart>
      <c:valAx>
        <c:axId val="14086738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8696879"/>
        <c:crosses val="autoZero"/>
        <c:crossBetween val="midCat"/>
      </c:valAx>
      <c:valAx>
        <c:axId val="14086968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86738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Ball</a:t>
            </a:r>
            <a:r>
              <a:rPr lang="en-IE" baseline="0"/>
              <a:t> Bearing: Load v Effort</a:t>
            </a:r>
            <a:endParaRPr lang="en-IE"/>
          </a:p>
        </c:rich>
      </c:tx>
      <c:layout>
        <c:manualLayout>
          <c:xMode val="edge"/>
          <c:yMode val="edge"/>
          <c:x val="0.25446686764147242"/>
          <c:y val="5.4063925696583885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8.6822178081524135E-2"/>
          <c:y val="0.11847425816599333"/>
          <c:w val="0.87262861172641737"/>
          <c:h val="0.79925098802145778"/>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1"/>
          <c:extLst>
            <c:ext xmlns:c16="http://schemas.microsoft.com/office/drawing/2014/chart" uri="{C3380CC4-5D6E-409C-BE32-E72D297353CC}">
              <c16:uniqueId val="{00000000-2BB6-47BF-874A-F49FF2EBD962}"/>
            </c:ext>
          </c:extLst>
        </c:ser>
        <c:dLbls>
          <c:showLegendKey val="0"/>
          <c:showVal val="0"/>
          <c:showCatName val="0"/>
          <c:showSerName val="0"/>
          <c:showPercent val="0"/>
          <c:showBubbleSize val="0"/>
        </c:dLbls>
        <c:axId val="1437603279"/>
        <c:axId val="1437602799"/>
      </c:scatterChart>
      <c:valAx>
        <c:axId val="1437603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7602799"/>
        <c:crosses val="autoZero"/>
        <c:crossBetween val="midCat"/>
      </c:valAx>
      <c:valAx>
        <c:axId val="14376027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7603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Ball</a:t>
            </a:r>
            <a:r>
              <a:rPr lang="en-IE" baseline="0"/>
              <a:t> Bearing: Efficiency v Load</a:t>
            </a:r>
            <a:endParaRPr lang="en-IE"/>
          </a:p>
        </c:rich>
      </c:tx>
      <c:layout>
        <c:manualLayout>
          <c:xMode val="edge"/>
          <c:yMode val="edge"/>
          <c:x val="0.21559851460151108"/>
          <c:y val="1.63535947647893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8.7970191615986681E-2"/>
          <c:y val="0.13891498834860028"/>
          <c:w val="0.86938827595819101"/>
          <c:h val="0.76231874229267094"/>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83.33</c:v>
                </c:pt>
                <c:pt idx="1">
                  <c:v>90.91</c:v>
                </c:pt>
                <c:pt idx="2">
                  <c:v>93.75</c:v>
                </c:pt>
                <c:pt idx="3">
                  <c:v>95.240000000000009</c:v>
                </c:pt>
                <c:pt idx="4">
                  <c:v>96.15</c:v>
                </c:pt>
                <c:pt idx="5">
                  <c:v>96.77</c:v>
                </c:pt>
                <c:pt idx="6">
                  <c:v>97.22</c:v>
                </c:pt>
                <c:pt idx="7">
                  <c:v>97.56</c:v>
                </c:pt>
                <c:pt idx="8">
                  <c:v>97.83</c:v>
                </c:pt>
                <c:pt idx="9">
                  <c:v>98.04</c:v>
                </c:pt>
              </c:numCache>
            </c:numRef>
          </c:yVal>
          <c:smooth val="1"/>
          <c:extLst>
            <c:ext xmlns:c16="http://schemas.microsoft.com/office/drawing/2014/chart" uri="{C3380CC4-5D6E-409C-BE32-E72D297353CC}">
              <c16:uniqueId val="{00000000-EC9F-4F4D-84BF-333D53A6FDE1}"/>
            </c:ext>
          </c:extLst>
        </c:ser>
        <c:dLbls>
          <c:showLegendKey val="0"/>
          <c:showVal val="0"/>
          <c:showCatName val="0"/>
          <c:showSerName val="0"/>
          <c:showPercent val="0"/>
          <c:showBubbleSize val="0"/>
        </c:dLbls>
        <c:axId val="1076117040"/>
        <c:axId val="1076123280"/>
      </c:scatterChart>
      <c:valAx>
        <c:axId val="10761170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23280"/>
        <c:crosses val="autoZero"/>
        <c:crossBetween val="midCat"/>
      </c:valAx>
      <c:valAx>
        <c:axId val="1076123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1704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Brass</a:t>
            </a:r>
            <a:r>
              <a:rPr lang="en-IE" baseline="0"/>
              <a:t> Bearing: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6813346419737489E-2"/>
          <c:y val="0.16419760619008172"/>
          <c:w val="0.84256178134930526"/>
          <c:h val="0.7096487142380815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70</c:v>
                </c:pt>
                <c:pt idx="1">
                  <c:v>120</c:v>
                </c:pt>
                <c:pt idx="2">
                  <c:v>180</c:v>
                </c:pt>
                <c:pt idx="3">
                  <c:v>240</c:v>
                </c:pt>
                <c:pt idx="4">
                  <c:v>290</c:v>
                </c:pt>
                <c:pt idx="5">
                  <c:v>350</c:v>
                </c:pt>
                <c:pt idx="6">
                  <c:v>400</c:v>
                </c:pt>
                <c:pt idx="7">
                  <c:v>460</c:v>
                </c:pt>
                <c:pt idx="8">
                  <c:v>520</c:v>
                </c:pt>
                <c:pt idx="9">
                  <c:v>570</c:v>
                </c:pt>
              </c:numCache>
            </c:numRef>
          </c:yVal>
          <c:smooth val="1"/>
          <c:extLst>
            <c:ext xmlns:c16="http://schemas.microsoft.com/office/drawing/2014/chart" uri="{C3380CC4-5D6E-409C-BE32-E72D297353CC}">
              <c16:uniqueId val="{00000000-3445-4E67-BAE0-9B0724DDA5A8}"/>
            </c:ext>
          </c:extLst>
        </c:ser>
        <c:dLbls>
          <c:showLegendKey val="0"/>
          <c:showVal val="0"/>
          <c:showCatName val="0"/>
          <c:showSerName val="0"/>
          <c:showPercent val="0"/>
          <c:showBubbleSize val="0"/>
        </c:dLbls>
        <c:axId val="963947184"/>
        <c:axId val="963933744"/>
      </c:scatterChart>
      <c:valAx>
        <c:axId val="9639471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933744"/>
        <c:crosses val="autoZero"/>
        <c:crossBetween val="midCat"/>
      </c:valAx>
      <c:valAx>
        <c:axId val="963933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9471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Brass</a:t>
            </a:r>
            <a:r>
              <a:rPr lang="en-IE" baseline="0"/>
              <a:t> Bearing: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7163734798528897E-2"/>
          <c:y val="0.15834956720393817"/>
          <c:w val="0.84199197848396834"/>
          <c:h val="0.71580761095288004"/>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71.430000000000007</c:v>
                </c:pt>
                <c:pt idx="1">
                  <c:v>83.33</c:v>
                </c:pt>
                <c:pt idx="2">
                  <c:v>83.33</c:v>
                </c:pt>
                <c:pt idx="3">
                  <c:v>83.33</c:v>
                </c:pt>
                <c:pt idx="4">
                  <c:v>86.21</c:v>
                </c:pt>
                <c:pt idx="5">
                  <c:v>85.71</c:v>
                </c:pt>
                <c:pt idx="6">
                  <c:v>87.5</c:v>
                </c:pt>
                <c:pt idx="7">
                  <c:v>86.960000000000008</c:v>
                </c:pt>
                <c:pt idx="8">
                  <c:v>86.539999999999992</c:v>
                </c:pt>
                <c:pt idx="9">
                  <c:v>87.72</c:v>
                </c:pt>
              </c:numCache>
            </c:numRef>
          </c:yVal>
          <c:smooth val="1"/>
          <c:extLst>
            <c:ext xmlns:c16="http://schemas.microsoft.com/office/drawing/2014/chart" uri="{C3380CC4-5D6E-409C-BE32-E72D297353CC}">
              <c16:uniqueId val="{00000000-7FE5-4196-85A1-280A6FEEB906}"/>
            </c:ext>
          </c:extLst>
        </c:ser>
        <c:dLbls>
          <c:showLegendKey val="0"/>
          <c:showVal val="0"/>
          <c:showCatName val="0"/>
          <c:showSerName val="0"/>
          <c:showPercent val="0"/>
          <c:showBubbleSize val="0"/>
        </c:dLbls>
        <c:axId val="963855984"/>
        <c:axId val="963853104"/>
      </c:scatterChart>
      <c:valAx>
        <c:axId val="9638559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53104"/>
        <c:crosses val="autoZero"/>
        <c:crossBetween val="midCat"/>
      </c:valAx>
      <c:valAx>
        <c:axId val="963853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38559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Tufnol</a:t>
            </a:r>
            <a:r>
              <a:rPr lang="en-IE" baseline="0"/>
              <a:t> Bearing: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3769558973731654E-2"/>
          <c:y val="0.15038081764930045"/>
          <c:w val="0.84751159964577116"/>
          <c:h val="0.72585471094279552"/>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58</c:v>
                </c:pt>
                <c:pt idx="1">
                  <c:v>110</c:v>
                </c:pt>
                <c:pt idx="2">
                  <c:v>170</c:v>
                </c:pt>
                <c:pt idx="3">
                  <c:v>220</c:v>
                </c:pt>
                <c:pt idx="4">
                  <c:v>280</c:v>
                </c:pt>
                <c:pt idx="5">
                  <c:v>340</c:v>
                </c:pt>
                <c:pt idx="6">
                  <c:v>390</c:v>
                </c:pt>
                <c:pt idx="7">
                  <c:v>440</c:v>
                </c:pt>
                <c:pt idx="8">
                  <c:v>490</c:v>
                </c:pt>
                <c:pt idx="9">
                  <c:v>560</c:v>
                </c:pt>
              </c:numCache>
            </c:numRef>
          </c:yVal>
          <c:smooth val="1"/>
          <c:extLst>
            <c:ext xmlns:c16="http://schemas.microsoft.com/office/drawing/2014/chart" uri="{C3380CC4-5D6E-409C-BE32-E72D297353CC}">
              <c16:uniqueId val="{00000000-ED86-4620-9404-ED911D17207A}"/>
            </c:ext>
          </c:extLst>
        </c:ser>
        <c:dLbls>
          <c:showLegendKey val="0"/>
          <c:showVal val="0"/>
          <c:showCatName val="0"/>
          <c:showSerName val="0"/>
          <c:showPercent val="0"/>
          <c:showBubbleSize val="0"/>
        </c:dLbls>
        <c:axId val="1076152560"/>
        <c:axId val="1076153040"/>
      </c:scatterChart>
      <c:valAx>
        <c:axId val="107615256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53040"/>
        <c:crosses val="autoZero"/>
        <c:crossBetween val="midCat"/>
      </c:valAx>
      <c:valAx>
        <c:axId val="10761530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61525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Tufnol</a:t>
            </a:r>
            <a:r>
              <a:rPr lang="en-IE" baseline="0"/>
              <a:t> Bearing: Efficiency v Load</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7.9876802057714733E-2"/>
          <c:y val="0.15210936227511465"/>
          <c:w val="0.86057226905576889"/>
          <c:h val="0.7227035619232629"/>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86.21</c:v>
                </c:pt>
                <c:pt idx="1">
                  <c:v>90.91</c:v>
                </c:pt>
                <c:pt idx="2">
                  <c:v>88.24</c:v>
                </c:pt>
                <c:pt idx="3">
                  <c:v>90.91</c:v>
                </c:pt>
                <c:pt idx="4">
                  <c:v>89.29</c:v>
                </c:pt>
                <c:pt idx="5">
                  <c:v>88.24</c:v>
                </c:pt>
                <c:pt idx="6">
                  <c:v>89.74</c:v>
                </c:pt>
                <c:pt idx="7">
                  <c:v>90.91</c:v>
                </c:pt>
                <c:pt idx="8">
                  <c:v>91.84</c:v>
                </c:pt>
                <c:pt idx="9">
                  <c:v>89.29</c:v>
                </c:pt>
              </c:numCache>
            </c:numRef>
          </c:yVal>
          <c:smooth val="1"/>
          <c:extLst>
            <c:ext xmlns:c16="http://schemas.microsoft.com/office/drawing/2014/chart" uri="{C3380CC4-5D6E-409C-BE32-E72D297353CC}">
              <c16:uniqueId val="{00000000-77F2-4963-86E0-1C233F5C468B}"/>
            </c:ext>
          </c:extLst>
        </c:ser>
        <c:dLbls>
          <c:showLegendKey val="0"/>
          <c:showVal val="0"/>
          <c:showCatName val="0"/>
          <c:showSerName val="0"/>
          <c:showPercent val="0"/>
          <c:showBubbleSize val="0"/>
        </c:dLbls>
        <c:axId val="1022740224"/>
        <c:axId val="1022739744"/>
      </c:scatterChart>
      <c:valAx>
        <c:axId val="10227402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2739744"/>
        <c:crosses val="autoZero"/>
        <c:crossBetween val="midCat"/>
      </c:valAx>
      <c:valAx>
        <c:axId val="1022739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27402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Oil</a:t>
            </a:r>
            <a:r>
              <a:rPr lang="en-IE" baseline="0"/>
              <a:t> Sintered Bearing: Load v Effort</a:t>
            </a:r>
            <a:endParaRPr lang="en-I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0650572923687181E-2"/>
          <c:y val="0.13733084855218688"/>
          <c:w val="0.86849338132459697"/>
          <c:h val="0.7361306371963806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180</c:v>
                </c:pt>
                <c:pt idx="3">
                  <c:v>250</c:v>
                </c:pt>
                <c:pt idx="4">
                  <c:v>290</c:v>
                </c:pt>
                <c:pt idx="5">
                  <c:v>350</c:v>
                </c:pt>
                <c:pt idx="6">
                  <c:v>400</c:v>
                </c:pt>
                <c:pt idx="7">
                  <c:v>460</c:v>
                </c:pt>
                <c:pt idx="8">
                  <c:v>520</c:v>
                </c:pt>
                <c:pt idx="9">
                  <c:v>580</c:v>
                </c:pt>
              </c:numCache>
            </c:numRef>
          </c:yVal>
          <c:smooth val="1"/>
          <c:extLst>
            <c:ext xmlns:c16="http://schemas.microsoft.com/office/drawing/2014/chart" uri="{C3380CC4-5D6E-409C-BE32-E72D297353CC}">
              <c16:uniqueId val="{00000000-7285-47F8-A294-3BF0DDC19893}"/>
            </c:ext>
          </c:extLst>
        </c:ser>
        <c:dLbls>
          <c:showLegendKey val="0"/>
          <c:showVal val="0"/>
          <c:showCatName val="0"/>
          <c:showSerName val="0"/>
          <c:showPercent val="0"/>
          <c:showBubbleSize val="0"/>
        </c:dLbls>
        <c:axId val="730698143"/>
        <c:axId val="730696223"/>
      </c:scatterChart>
      <c:valAx>
        <c:axId val="73069814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696223"/>
        <c:crosses val="autoZero"/>
        <c:crossBetween val="midCat"/>
      </c:valAx>
      <c:valAx>
        <c:axId val="7306962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6981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IE"/>
              <a:t>Oil</a:t>
            </a:r>
            <a:r>
              <a:rPr lang="en-IE" baseline="0"/>
              <a:t> Sintered Bearing: Efficiency v Load</a:t>
            </a:r>
            <a:endParaRPr lang="en-IE"/>
          </a:p>
        </c:rich>
      </c:tx>
      <c:layout>
        <c:manualLayout>
          <c:xMode val="edge"/>
          <c:yMode val="edge"/>
          <c:x val="0.39933571582927474"/>
          <c:y val="1.64751128501988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IE"/>
        </a:p>
      </c:txPr>
    </c:title>
    <c:autoTitleDeleted val="0"/>
    <c:plotArea>
      <c:layout>
        <c:manualLayout>
          <c:layoutTarget val="inner"/>
          <c:xMode val="edge"/>
          <c:yMode val="edge"/>
          <c:x val="9.038961428298406E-2"/>
          <c:y val="0.12680345190369713"/>
          <c:w val="0.86887195354257829"/>
          <c:h val="0.74623785825262623"/>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71.430000000000007</c:v>
                </c:pt>
                <c:pt idx="1">
                  <c:v>83.33</c:v>
                </c:pt>
                <c:pt idx="2">
                  <c:v>83.33</c:v>
                </c:pt>
                <c:pt idx="3">
                  <c:v>80</c:v>
                </c:pt>
                <c:pt idx="4">
                  <c:v>86.21</c:v>
                </c:pt>
                <c:pt idx="5">
                  <c:v>85.71</c:v>
                </c:pt>
                <c:pt idx="6">
                  <c:v>87.5</c:v>
                </c:pt>
                <c:pt idx="7">
                  <c:v>86.960000000000008</c:v>
                </c:pt>
                <c:pt idx="8">
                  <c:v>86.539999999999992</c:v>
                </c:pt>
                <c:pt idx="9">
                  <c:v>86.21</c:v>
                </c:pt>
              </c:numCache>
            </c:numRef>
          </c:yVal>
          <c:smooth val="1"/>
          <c:extLst>
            <c:ext xmlns:c16="http://schemas.microsoft.com/office/drawing/2014/chart" uri="{C3380CC4-5D6E-409C-BE32-E72D297353CC}">
              <c16:uniqueId val="{00000000-4616-4134-9C85-691E9A6B0109}"/>
            </c:ext>
          </c:extLst>
        </c:ser>
        <c:dLbls>
          <c:showLegendKey val="0"/>
          <c:showVal val="0"/>
          <c:showCatName val="0"/>
          <c:showSerName val="0"/>
          <c:showPercent val="0"/>
          <c:showBubbleSize val="0"/>
        </c:dLbls>
        <c:axId val="685938511"/>
        <c:axId val="685911151"/>
      </c:scatterChart>
      <c:valAx>
        <c:axId val="68593851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5911151"/>
        <c:crosses val="autoZero"/>
        <c:crossBetween val="midCat"/>
      </c:valAx>
      <c:valAx>
        <c:axId val="6859111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59385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4.xml"/><Relationship Id="rId3" Type="http://schemas.openxmlformats.org/officeDocument/2006/relationships/chart" Target="../charts/chart9.xml"/><Relationship Id="rId7" Type="http://schemas.openxmlformats.org/officeDocument/2006/relationships/chart" Target="../charts/chart13.xml"/><Relationship Id="rId12" Type="http://schemas.openxmlformats.org/officeDocument/2006/relationships/chart" Target="../charts/chart18.xml"/><Relationship Id="rId2" Type="http://schemas.openxmlformats.org/officeDocument/2006/relationships/chart" Target="../charts/chart8.xml"/><Relationship Id="rId1" Type="http://schemas.openxmlformats.org/officeDocument/2006/relationships/chart" Target="../charts/chart7.xml"/><Relationship Id="rId6" Type="http://schemas.openxmlformats.org/officeDocument/2006/relationships/chart" Target="../charts/chart12.xml"/><Relationship Id="rId11" Type="http://schemas.openxmlformats.org/officeDocument/2006/relationships/chart" Target="../charts/chart17.xml"/><Relationship Id="rId5" Type="http://schemas.openxmlformats.org/officeDocument/2006/relationships/chart" Target="../charts/chart11.xml"/><Relationship Id="rId10" Type="http://schemas.openxmlformats.org/officeDocument/2006/relationships/chart" Target="../charts/chart16.xml"/><Relationship Id="rId4" Type="http://schemas.openxmlformats.org/officeDocument/2006/relationships/chart" Target="../charts/chart10.xml"/><Relationship Id="rId9" Type="http://schemas.openxmlformats.org/officeDocument/2006/relationships/chart" Target="../charts/chart15.xml"/></Relationships>
</file>

<file path=xl/drawings/_rels/drawing4.xml.rels><?xml version="1.0" encoding="UTF-8" standalone="yes"?>
<Relationships xmlns="http://schemas.openxmlformats.org/package/2006/relationships"><Relationship Id="rId8" Type="http://schemas.openxmlformats.org/officeDocument/2006/relationships/chart" Target="../charts/chart26.xml"/><Relationship Id="rId13" Type="http://schemas.openxmlformats.org/officeDocument/2006/relationships/chart" Target="../charts/chart31.xml"/><Relationship Id="rId3" Type="http://schemas.openxmlformats.org/officeDocument/2006/relationships/chart" Target="../charts/chart21.xml"/><Relationship Id="rId7" Type="http://schemas.openxmlformats.org/officeDocument/2006/relationships/chart" Target="../charts/chart25.xml"/><Relationship Id="rId12" Type="http://schemas.openxmlformats.org/officeDocument/2006/relationships/chart" Target="../charts/chart30.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11" Type="http://schemas.openxmlformats.org/officeDocument/2006/relationships/chart" Target="../charts/chart29.xml"/><Relationship Id="rId5" Type="http://schemas.openxmlformats.org/officeDocument/2006/relationships/chart" Target="../charts/chart23.xml"/><Relationship Id="rId10" Type="http://schemas.openxmlformats.org/officeDocument/2006/relationships/chart" Target="../charts/chart28.xml"/><Relationship Id="rId4" Type="http://schemas.openxmlformats.org/officeDocument/2006/relationships/chart" Target="../charts/chart22.xml"/><Relationship Id="rId9" Type="http://schemas.openxmlformats.org/officeDocument/2006/relationships/chart" Target="../charts/chart27.xml"/><Relationship Id="rId14"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twoCellAnchor>
    <xdr:from>
      <xdr:col>20</xdr:col>
      <xdr:colOff>470815</xdr:colOff>
      <xdr:row>29</xdr:row>
      <xdr:rowOff>111228</xdr:rowOff>
    </xdr:from>
    <xdr:to>
      <xdr:col>28</xdr:col>
      <xdr:colOff>114482</xdr:colOff>
      <xdr:row>37</xdr:row>
      <xdr:rowOff>130968</xdr:rowOff>
    </xdr:to>
    <xdr:graphicFrame macro="">
      <xdr:nvGraphicFramePr>
        <xdr:cNvPr id="3" name="Chart 2">
          <a:extLst>
            <a:ext uri="{FF2B5EF4-FFF2-40B4-BE49-F238E27FC236}">
              <a16:creationId xmlns:a16="http://schemas.microsoft.com/office/drawing/2014/main" id="{1BF85AE9-D8A7-768A-71B0-3147A7F6E3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454113</xdr:colOff>
      <xdr:row>38</xdr:row>
      <xdr:rowOff>100751</xdr:rowOff>
    </xdr:from>
    <xdr:to>
      <xdr:col>28</xdr:col>
      <xdr:colOff>87200</xdr:colOff>
      <xdr:row>47</xdr:row>
      <xdr:rowOff>0</xdr:rowOff>
    </xdr:to>
    <xdr:graphicFrame macro="">
      <xdr:nvGraphicFramePr>
        <xdr:cNvPr id="5" name="Chart 4">
          <a:extLst>
            <a:ext uri="{FF2B5EF4-FFF2-40B4-BE49-F238E27FC236}">
              <a16:creationId xmlns:a16="http://schemas.microsoft.com/office/drawing/2014/main" id="{A62074E0-A92D-26AF-8BE3-7B3602D1B6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440699</xdr:colOff>
      <xdr:row>48</xdr:row>
      <xdr:rowOff>47088</xdr:rowOff>
    </xdr:from>
    <xdr:to>
      <xdr:col>28</xdr:col>
      <xdr:colOff>87200</xdr:colOff>
      <xdr:row>56</xdr:row>
      <xdr:rowOff>181110</xdr:rowOff>
    </xdr:to>
    <xdr:graphicFrame macro="">
      <xdr:nvGraphicFramePr>
        <xdr:cNvPr id="6" name="Chart 5">
          <a:extLst>
            <a:ext uri="{FF2B5EF4-FFF2-40B4-BE49-F238E27FC236}">
              <a16:creationId xmlns:a16="http://schemas.microsoft.com/office/drawing/2014/main" id="{76ED149F-D20B-A990-6A0A-805A9D6B4B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474236</xdr:colOff>
      <xdr:row>19</xdr:row>
      <xdr:rowOff>134156</xdr:rowOff>
    </xdr:from>
    <xdr:to>
      <xdr:col>28</xdr:col>
      <xdr:colOff>127446</xdr:colOff>
      <xdr:row>29</xdr:row>
      <xdr:rowOff>19988</xdr:rowOff>
    </xdr:to>
    <xdr:graphicFrame macro="">
      <xdr:nvGraphicFramePr>
        <xdr:cNvPr id="7" name="Chart 6">
          <a:extLst>
            <a:ext uri="{FF2B5EF4-FFF2-40B4-BE49-F238E27FC236}">
              <a16:creationId xmlns:a16="http://schemas.microsoft.com/office/drawing/2014/main" id="{D68CD894-3E39-802F-D9EF-B062FB4A25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20</xdr:col>
      <xdr:colOff>450761</xdr:colOff>
      <xdr:row>57</xdr:row>
      <xdr:rowOff>87334</xdr:rowOff>
    </xdr:from>
    <xdr:to>
      <xdr:col>28</xdr:col>
      <xdr:colOff>87200</xdr:colOff>
      <xdr:row>66</xdr:row>
      <xdr:rowOff>174402</xdr:rowOff>
    </xdr:to>
    <xdr:graphicFrame macro="">
      <xdr:nvGraphicFramePr>
        <xdr:cNvPr id="2" name="Chart 1">
          <a:extLst>
            <a:ext uri="{FF2B5EF4-FFF2-40B4-BE49-F238E27FC236}">
              <a16:creationId xmlns:a16="http://schemas.microsoft.com/office/drawing/2014/main" id="{E0C9CF9A-2FD6-233A-8664-9B3C5C5250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454112</xdr:colOff>
      <xdr:row>67</xdr:row>
      <xdr:rowOff>94044</xdr:rowOff>
    </xdr:from>
    <xdr:to>
      <xdr:col>28</xdr:col>
      <xdr:colOff>107322</xdr:colOff>
      <xdr:row>77</xdr:row>
      <xdr:rowOff>160986</xdr:rowOff>
    </xdr:to>
    <xdr:graphicFrame macro="">
      <xdr:nvGraphicFramePr>
        <xdr:cNvPr id="4" name="Chart 3">
          <a:extLst>
            <a:ext uri="{FF2B5EF4-FFF2-40B4-BE49-F238E27FC236}">
              <a16:creationId xmlns:a16="http://schemas.microsoft.com/office/drawing/2014/main" id="{2C8FC6B5-AFDC-77FF-1D8A-AF34057359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xdr:colOff>
      <xdr:row>27</xdr:row>
      <xdr:rowOff>155509</xdr:rowOff>
    </xdr:from>
    <xdr:to>
      <xdr:col>5</xdr:col>
      <xdr:colOff>496374</xdr:colOff>
      <xdr:row>40</xdr:row>
      <xdr:rowOff>73786</xdr:rowOff>
    </xdr:to>
    <xdr:graphicFrame macro="">
      <xdr:nvGraphicFramePr>
        <xdr:cNvPr id="2" name="Chart 1">
          <a:extLst>
            <a:ext uri="{FF2B5EF4-FFF2-40B4-BE49-F238E27FC236}">
              <a16:creationId xmlns:a16="http://schemas.microsoft.com/office/drawing/2014/main" id="{4A381FE4-9E3F-831B-B3B0-2F39938EEE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41</xdr:row>
      <xdr:rowOff>6708</xdr:rowOff>
    </xdr:from>
    <xdr:to>
      <xdr:col>5</xdr:col>
      <xdr:colOff>509790</xdr:colOff>
      <xdr:row>52</xdr:row>
      <xdr:rowOff>134020</xdr:rowOff>
    </xdr:to>
    <xdr:graphicFrame macro="">
      <xdr:nvGraphicFramePr>
        <xdr:cNvPr id="3" name="Chart 2">
          <a:extLst>
            <a:ext uri="{FF2B5EF4-FFF2-40B4-BE49-F238E27FC236}">
              <a16:creationId xmlns:a16="http://schemas.microsoft.com/office/drawing/2014/main" id="{B014C1CF-1E57-39CC-C70B-F8DA6C6950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856581</xdr:colOff>
      <xdr:row>27</xdr:row>
      <xdr:rowOff>174402</xdr:rowOff>
    </xdr:from>
    <xdr:to>
      <xdr:col>11</xdr:col>
      <xdr:colOff>281726</xdr:colOff>
      <xdr:row>40</xdr:row>
      <xdr:rowOff>80359</xdr:rowOff>
    </xdr:to>
    <xdr:graphicFrame macro="">
      <xdr:nvGraphicFramePr>
        <xdr:cNvPr id="4" name="Chart 3">
          <a:extLst>
            <a:ext uri="{FF2B5EF4-FFF2-40B4-BE49-F238E27FC236}">
              <a16:creationId xmlns:a16="http://schemas.microsoft.com/office/drawing/2014/main" id="{873A17AE-B7DC-A55D-8621-0B20155E1C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863413</xdr:colOff>
      <xdr:row>41</xdr:row>
      <xdr:rowOff>1409</xdr:rowOff>
    </xdr:from>
    <xdr:to>
      <xdr:col>11</xdr:col>
      <xdr:colOff>283610</xdr:colOff>
      <xdr:row>52</xdr:row>
      <xdr:rowOff>149832</xdr:rowOff>
    </xdr:to>
    <xdr:graphicFrame macro="">
      <xdr:nvGraphicFramePr>
        <xdr:cNvPr id="5" name="Chart 4">
          <a:extLst>
            <a:ext uri="{FF2B5EF4-FFF2-40B4-BE49-F238E27FC236}">
              <a16:creationId xmlns:a16="http://schemas.microsoft.com/office/drawing/2014/main" id="{5A3F4659-7308-72AD-2114-25B47780029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761004</xdr:colOff>
      <xdr:row>30</xdr:row>
      <xdr:rowOff>173984</xdr:rowOff>
    </xdr:from>
    <xdr:to>
      <xdr:col>16</xdr:col>
      <xdr:colOff>865909</xdr:colOff>
      <xdr:row>42</xdr:row>
      <xdr:rowOff>122904</xdr:rowOff>
    </xdr:to>
    <xdr:graphicFrame macro="">
      <xdr:nvGraphicFramePr>
        <xdr:cNvPr id="6" name="Chart 5">
          <a:extLst>
            <a:ext uri="{FF2B5EF4-FFF2-40B4-BE49-F238E27FC236}">
              <a16:creationId xmlns:a16="http://schemas.microsoft.com/office/drawing/2014/main" id="{37D5D563-6376-CABA-8074-D8B28EE39C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750631</xdr:colOff>
      <xdr:row>43</xdr:row>
      <xdr:rowOff>89123</xdr:rowOff>
    </xdr:from>
    <xdr:to>
      <xdr:col>16</xdr:col>
      <xdr:colOff>853539</xdr:colOff>
      <xdr:row>55</xdr:row>
      <xdr:rowOff>67918</xdr:rowOff>
    </xdr:to>
    <xdr:graphicFrame macro="">
      <xdr:nvGraphicFramePr>
        <xdr:cNvPr id="7" name="Chart 6">
          <a:extLst>
            <a:ext uri="{FF2B5EF4-FFF2-40B4-BE49-F238E27FC236}">
              <a16:creationId xmlns:a16="http://schemas.microsoft.com/office/drawing/2014/main" id="{AA0DFA96-D992-8F96-3DDB-13E0DCB1C6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455234</xdr:colOff>
      <xdr:row>30</xdr:row>
      <xdr:rowOff>145486</xdr:rowOff>
    </xdr:from>
    <xdr:to>
      <xdr:col>21</xdr:col>
      <xdr:colOff>266864</xdr:colOff>
      <xdr:row>42</xdr:row>
      <xdr:rowOff>116897</xdr:rowOff>
    </xdr:to>
    <xdr:graphicFrame macro="">
      <xdr:nvGraphicFramePr>
        <xdr:cNvPr id="8" name="Chart 7">
          <a:extLst>
            <a:ext uri="{FF2B5EF4-FFF2-40B4-BE49-F238E27FC236}">
              <a16:creationId xmlns:a16="http://schemas.microsoft.com/office/drawing/2014/main" id="{7C05C06A-9D5C-394C-C9E7-EA0C82D485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17</xdr:col>
      <xdr:colOff>465306</xdr:colOff>
      <xdr:row>43</xdr:row>
      <xdr:rowOff>89329</xdr:rowOff>
    </xdr:from>
    <xdr:to>
      <xdr:col>21</xdr:col>
      <xdr:colOff>276740</xdr:colOff>
      <xdr:row>55</xdr:row>
      <xdr:rowOff>77229</xdr:rowOff>
    </xdr:to>
    <xdr:graphicFrame macro="">
      <xdr:nvGraphicFramePr>
        <xdr:cNvPr id="9" name="Chart 8">
          <a:extLst>
            <a:ext uri="{FF2B5EF4-FFF2-40B4-BE49-F238E27FC236}">
              <a16:creationId xmlns:a16="http://schemas.microsoft.com/office/drawing/2014/main" id="{C7B436EA-3822-6B27-7966-5B0FB21D2A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7657</xdr:colOff>
      <xdr:row>24</xdr:row>
      <xdr:rowOff>138640</xdr:rowOff>
    </xdr:from>
    <xdr:to>
      <xdr:col>28</xdr:col>
      <xdr:colOff>203107</xdr:colOff>
      <xdr:row>36</xdr:row>
      <xdr:rowOff>98814</xdr:rowOff>
    </xdr:to>
    <xdr:graphicFrame macro="">
      <xdr:nvGraphicFramePr>
        <xdr:cNvPr id="10" name="Chart 9">
          <a:extLst>
            <a:ext uri="{FF2B5EF4-FFF2-40B4-BE49-F238E27FC236}">
              <a16:creationId xmlns:a16="http://schemas.microsoft.com/office/drawing/2014/main" id="{824A59DD-9840-DB41-D794-1B9724F2AC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21</xdr:col>
      <xdr:colOff>606065</xdr:colOff>
      <xdr:row>37</xdr:row>
      <xdr:rowOff>124082</xdr:rowOff>
    </xdr:from>
    <xdr:to>
      <xdr:col>28</xdr:col>
      <xdr:colOff>196103</xdr:colOff>
      <xdr:row>49</xdr:row>
      <xdr:rowOff>93818</xdr:rowOff>
    </xdr:to>
    <xdr:graphicFrame macro="">
      <xdr:nvGraphicFramePr>
        <xdr:cNvPr id="11" name="Chart 10">
          <a:extLst>
            <a:ext uri="{FF2B5EF4-FFF2-40B4-BE49-F238E27FC236}">
              <a16:creationId xmlns:a16="http://schemas.microsoft.com/office/drawing/2014/main" id="{A45497E1-3103-B41B-8675-380A1A0D519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28</xdr:col>
      <xdr:colOff>602494</xdr:colOff>
      <xdr:row>24</xdr:row>
      <xdr:rowOff>135265</xdr:rowOff>
    </xdr:from>
    <xdr:to>
      <xdr:col>34</xdr:col>
      <xdr:colOff>0</xdr:colOff>
      <xdr:row>36</xdr:row>
      <xdr:rowOff>98053</xdr:rowOff>
    </xdr:to>
    <xdr:graphicFrame macro="">
      <xdr:nvGraphicFramePr>
        <xdr:cNvPr id="12" name="Chart 11">
          <a:extLst>
            <a:ext uri="{FF2B5EF4-FFF2-40B4-BE49-F238E27FC236}">
              <a16:creationId xmlns:a16="http://schemas.microsoft.com/office/drawing/2014/main" id="{00D9E043-1770-5145-7399-6B77D8432D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28</xdr:col>
      <xdr:colOff>585505</xdr:colOff>
      <xdr:row>37</xdr:row>
      <xdr:rowOff>137692</xdr:rowOff>
    </xdr:from>
    <xdr:to>
      <xdr:col>33</xdr:col>
      <xdr:colOff>602315</xdr:colOff>
      <xdr:row>49</xdr:row>
      <xdr:rowOff>84044</xdr:rowOff>
    </xdr:to>
    <xdr:graphicFrame macro="">
      <xdr:nvGraphicFramePr>
        <xdr:cNvPr id="13" name="Chart 12">
          <a:extLst>
            <a:ext uri="{FF2B5EF4-FFF2-40B4-BE49-F238E27FC236}">
              <a16:creationId xmlns:a16="http://schemas.microsoft.com/office/drawing/2014/main" id="{3AEC95F7-93B4-A57C-D00F-07E0CF992B1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22</xdr:row>
      <xdr:rowOff>68036</xdr:rowOff>
    </xdr:from>
    <xdr:to>
      <xdr:col>5</xdr:col>
      <xdr:colOff>375633</xdr:colOff>
      <xdr:row>34</xdr:row>
      <xdr:rowOff>127447</xdr:rowOff>
    </xdr:to>
    <xdr:graphicFrame macro="">
      <xdr:nvGraphicFramePr>
        <xdr:cNvPr id="3" name="Chart 2">
          <a:extLst>
            <a:ext uri="{FF2B5EF4-FFF2-40B4-BE49-F238E27FC236}">
              <a16:creationId xmlns:a16="http://schemas.microsoft.com/office/drawing/2014/main" id="{8BAA39C9-07AE-42F4-FB1F-CC4B2B7619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35</xdr:row>
      <xdr:rowOff>55427</xdr:rowOff>
    </xdr:from>
    <xdr:to>
      <xdr:col>5</xdr:col>
      <xdr:colOff>375633</xdr:colOff>
      <xdr:row>47</xdr:row>
      <xdr:rowOff>114032</xdr:rowOff>
    </xdr:to>
    <xdr:graphicFrame macro="">
      <xdr:nvGraphicFramePr>
        <xdr:cNvPr id="4" name="Chart 3">
          <a:extLst>
            <a:ext uri="{FF2B5EF4-FFF2-40B4-BE49-F238E27FC236}">
              <a16:creationId xmlns:a16="http://schemas.microsoft.com/office/drawing/2014/main" id="{60D39E48-36FE-48C6-C123-395EAE355BD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610226</xdr:colOff>
      <xdr:row>22</xdr:row>
      <xdr:rowOff>79592</xdr:rowOff>
    </xdr:from>
    <xdr:to>
      <xdr:col>11</xdr:col>
      <xdr:colOff>335388</xdr:colOff>
      <xdr:row>34</xdr:row>
      <xdr:rowOff>134155</xdr:rowOff>
    </xdr:to>
    <xdr:graphicFrame macro="">
      <xdr:nvGraphicFramePr>
        <xdr:cNvPr id="6" name="Chart 5">
          <a:extLst>
            <a:ext uri="{FF2B5EF4-FFF2-40B4-BE49-F238E27FC236}">
              <a16:creationId xmlns:a16="http://schemas.microsoft.com/office/drawing/2014/main" id="{EC9E88F9-33A0-72E9-14BE-616637218B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601579</xdr:colOff>
      <xdr:row>35</xdr:row>
      <xdr:rowOff>58987</xdr:rowOff>
    </xdr:from>
    <xdr:to>
      <xdr:col>11</xdr:col>
      <xdr:colOff>315264</xdr:colOff>
      <xdr:row>47</xdr:row>
      <xdr:rowOff>114032</xdr:rowOff>
    </xdr:to>
    <xdr:graphicFrame macro="">
      <xdr:nvGraphicFramePr>
        <xdr:cNvPr id="7" name="Chart 6">
          <a:extLst>
            <a:ext uri="{FF2B5EF4-FFF2-40B4-BE49-F238E27FC236}">
              <a16:creationId xmlns:a16="http://schemas.microsoft.com/office/drawing/2014/main" id="{36C9347E-38EC-E0DA-1D1A-5698BBFD98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586611</xdr:colOff>
      <xdr:row>22</xdr:row>
      <xdr:rowOff>70956</xdr:rowOff>
    </xdr:from>
    <xdr:to>
      <xdr:col>17</xdr:col>
      <xdr:colOff>496094</xdr:colOff>
      <xdr:row>34</xdr:row>
      <xdr:rowOff>88009</xdr:rowOff>
    </xdr:to>
    <xdr:graphicFrame macro="">
      <xdr:nvGraphicFramePr>
        <xdr:cNvPr id="8" name="Chart 7">
          <a:extLst>
            <a:ext uri="{FF2B5EF4-FFF2-40B4-BE49-F238E27FC236}">
              <a16:creationId xmlns:a16="http://schemas.microsoft.com/office/drawing/2014/main" id="{5050F366-326A-7F8F-DF32-A6DCE681DED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590137</xdr:colOff>
      <xdr:row>35</xdr:row>
      <xdr:rowOff>67295</xdr:rowOff>
    </xdr:from>
    <xdr:to>
      <xdr:col>17</xdr:col>
      <xdr:colOff>512486</xdr:colOff>
      <xdr:row>47</xdr:row>
      <xdr:rowOff>98356</xdr:rowOff>
    </xdr:to>
    <xdr:graphicFrame macro="">
      <xdr:nvGraphicFramePr>
        <xdr:cNvPr id="9" name="Chart 8">
          <a:extLst>
            <a:ext uri="{FF2B5EF4-FFF2-40B4-BE49-F238E27FC236}">
              <a16:creationId xmlns:a16="http://schemas.microsoft.com/office/drawing/2014/main" id="{5ED00048-5E03-8B92-9C81-61028C35F97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18</xdr:col>
      <xdr:colOff>148923</xdr:colOff>
      <xdr:row>22</xdr:row>
      <xdr:rowOff>64357</xdr:rowOff>
    </xdr:from>
    <xdr:to>
      <xdr:col>24</xdr:col>
      <xdr:colOff>289611</xdr:colOff>
      <xdr:row>34</xdr:row>
      <xdr:rowOff>96536</xdr:rowOff>
    </xdr:to>
    <xdr:graphicFrame macro="">
      <xdr:nvGraphicFramePr>
        <xdr:cNvPr id="15" name="Chart 14">
          <a:extLst>
            <a:ext uri="{FF2B5EF4-FFF2-40B4-BE49-F238E27FC236}">
              <a16:creationId xmlns:a16="http://schemas.microsoft.com/office/drawing/2014/main" id="{4A4439D7-3D22-C4DD-4D9B-AA8AA66FFF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18</xdr:col>
      <xdr:colOff>146735</xdr:colOff>
      <xdr:row>35</xdr:row>
      <xdr:rowOff>83666</xdr:rowOff>
    </xdr:from>
    <xdr:to>
      <xdr:col>24</xdr:col>
      <xdr:colOff>302481</xdr:colOff>
      <xdr:row>47</xdr:row>
      <xdr:rowOff>96537</xdr:rowOff>
    </xdr:to>
    <xdr:graphicFrame macro="">
      <xdr:nvGraphicFramePr>
        <xdr:cNvPr id="2" name="Chart 1">
          <a:extLst>
            <a:ext uri="{FF2B5EF4-FFF2-40B4-BE49-F238E27FC236}">
              <a16:creationId xmlns:a16="http://schemas.microsoft.com/office/drawing/2014/main" id="{1673AC85-FFE6-C032-9571-3FC386A20B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32</xdr:col>
      <xdr:colOff>206705</xdr:colOff>
      <xdr:row>22</xdr:row>
      <xdr:rowOff>36087</xdr:rowOff>
    </xdr:from>
    <xdr:to>
      <xdr:col>38</xdr:col>
      <xdr:colOff>167563</xdr:colOff>
      <xdr:row>34</xdr:row>
      <xdr:rowOff>98989</xdr:rowOff>
    </xdr:to>
    <xdr:graphicFrame macro="">
      <xdr:nvGraphicFramePr>
        <xdr:cNvPr id="5" name="Chart 4">
          <a:extLst>
            <a:ext uri="{FF2B5EF4-FFF2-40B4-BE49-F238E27FC236}">
              <a16:creationId xmlns:a16="http://schemas.microsoft.com/office/drawing/2014/main" id="{54C5071F-B58E-260E-1E52-2FB749FC8B9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218878</xdr:colOff>
      <xdr:row>35</xdr:row>
      <xdr:rowOff>113675</xdr:rowOff>
    </xdr:from>
    <xdr:to>
      <xdr:col>38</xdr:col>
      <xdr:colOff>158631</xdr:colOff>
      <xdr:row>47</xdr:row>
      <xdr:rowOff>116610</xdr:rowOff>
    </xdr:to>
    <xdr:graphicFrame macro="">
      <xdr:nvGraphicFramePr>
        <xdr:cNvPr id="11" name="Chart 10">
          <a:extLst>
            <a:ext uri="{FF2B5EF4-FFF2-40B4-BE49-F238E27FC236}">
              <a16:creationId xmlns:a16="http://schemas.microsoft.com/office/drawing/2014/main" id="{FB45266F-2F7F-ECCA-B50D-4F228B2BEA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38</xdr:col>
      <xdr:colOff>565445</xdr:colOff>
      <xdr:row>22</xdr:row>
      <xdr:rowOff>47486</xdr:rowOff>
    </xdr:from>
    <xdr:to>
      <xdr:col>45</xdr:col>
      <xdr:colOff>21972</xdr:colOff>
      <xdr:row>34</xdr:row>
      <xdr:rowOff>115223</xdr:rowOff>
    </xdr:to>
    <xdr:graphicFrame macro="">
      <xdr:nvGraphicFramePr>
        <xdr:cNvPr id="12" name="Chart 11">
          <a:extLst>
            <a:ext uri="{FF2B5EF4-FFF2-40B4-BE49-F238E27FC236}">
              <a16:creationId xmlns:a16="http://schemas.microsoft.com/office/drawing/2014/main" id="{E212743E-FB57-9EF3-29C2-94009496E7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38</xdr:col>
      <xdr:colOff>566019</xdr:colOff>
      <xdr:row>35</xdr:row>
      <xdr:rowOff>108295</xdr:rowOff>
    </xdr:from>
    <xdr:to>
      <xdr:col>44</xdr:col>
      <xdr:colOff>604512</xdr:colOff>
      <xdr:row>47</xdr:row>
      <xdr:rowOff>131680</xdr:rowOff>
    </xdr:to>
    <xdr:graphicFrame macro="">
      <xdr:nvGraphicFramePr>
        <xdr:cNvPr id="13" name="Chart 12">
          <a:extLst>
            <a:ext uri="{FF2B5EF4-FFF2-40B4-BE49-F238E27FC236}">
              <a16:creationId xmlns:a16="http://schemas.microsoft.com/office/drawing/2014/main" id="{FD8163CB-B830-46C7-A30B-3BA8335474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24</xdr:col>
      <xdr:colOff>586863</xdr:colOff>
      <xdr:row>22</xdr:row>
      <xdr:rowOff>53312</xdr:rowOff>
    </xdr:from>
    <xdr:to>
      <xdr:col>31</xdr:col>
      <xdr:colOff>330302</xdr:colOff>
      <xdr:row>34</xdr:row>
      <xdr:rowOff>69135</xdr:rowOff>
    </xdr:to>
    <xdr:graphicFrame macro="">
      <xdr:nvGraphicFramePr>
        <xdr:cNvPr id="10" name="Chart 9">
          <a:extLst>
            <a:ext uri="{FF2B5EF4-FFF2-40B4-BE49-F238E27FC236}">
              <a16:creationId xmlns:a16="http://schemas.microsoft.com/office/drawing/2014/main" id="{FA650E5C-765A-1B01-D06B-B6B5D5B500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24</xdr:col>
      <xdr:colOff>583022</xdr:colOff>
      <xdr:row>35</xdr:row>
      <xdr:rowOff>99397</xdr:rowOff>
    </xdr:from>
    <xdr:to>
      <xdr:col>31</xdr:col>
      <xdr:colOff>337984</xdr:colOff>
      <xdr:row>47</xdr:row>
      <xdr:rowOff>107541</xdr:rowOff>
    </xdr:to>
    <xdr:graphicFrame macro="">
      <xdr:nvGraphicFramePr>
        <xdr:cNvPr id="14" name="Chart 13">
          <a:extLst>
            <a:ext uri="{FF2B5EF4-FFF2-40B4-BE49-F238E27FC236}">
              <a16:creationId xmlns:a16="http://schemas.microsoft.com/office/drawing/2014/main" id="{DDBC4306-90F9-655E-8DFB-7F1996658C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zoomScale="44" zoomScaleNormal="44" zoomScaleSheetLayoutView="53" workbookViewId="0">
      <selection activeCell="Q44" sqref="Q44"/>
    </sheetView>
  </sheetViews>
  <sheetFormatPr defaultRowHeight="15" x14ac:dyDescent="0.25"/>
  <cols>
    <col min="1" max="1" width="11" customWidth="1"/>
    <col min="2" max="2" width="13.140625" customWidth="1"/>
    <col min="5" max="5" width="13.42578125" customWidth="1"/>
    <col min="10" max="10" width="17.42578125" bestFit="1" customWidth="1"/>
    <col min="11" max="11" width="16" customWidth="1"/>
    <col min="12" max="12" width="20.5703125" customWidth="1"/>
    <col min="13" max="13" width="15.7109375" customWidth="1"/>
    <col min="14" max="14" width="20.28515625" customWidth="1"/>
    <col min="16" max="16" width="18.85546875" customWidth="1"/>
    <col min="17" max="17" width="29.7109375" bestFit="1" customWidth="1"/>
    <col min="18" max="18" width="24.42578125" bestFit="1" customWidth="1"/>
    <col min="19" max="19" width="14.28515625" bestFit="1" customWidth="1"/>
    <col min="20" max="20" width="13.5703125" bestFit="1" customWidth="1"/>
    <col min="22" max="22" width="14.28515625" customWidth="1"/>
  </cols>
  <sheetData>
    <row r="1" spans="1:32" x14ac:dyDescent="0.25">
      <c r="A1" s="1" t="s">
        <v>0</v>
      </c>
    </row>
    <row r="3" spans="1:32" x14ac:dyDescent="0.25">
      <c r="A3" s="1" t="s">
        <v>1</v>
      </c>
      <c r="J3" s="1" t="s">
        <v>2</v>
      </c>
      <c r="P3" s="1" t="s">
        <v>3</v>
      </c>
      <c r="V3" s="1" t="s">
        <v>4</v>
      </c>
    </row>
    <row r="4" spans="1:32" ht="15.75" thickBot="1" x14ac:dyDescent="0.3">
      <c r="P4" s="1" t="s">
        <v>5</v>
      </c>
    </row>
    <row r="5" spans="1:32" ht="16.5" thickTop="1" thickBot="1" x14ac:dyDescent="0.3">
      <c r="A5" s="14" t="s">
        <v>6</v>
      </c>
      <c r="B5" s="15"/>
      <c r="C5" s="16">
        <v>90</v>
      </c>
      <c r="J5" s="10"/>
      <c r="K5" s="245" t="s">
        <v>7</v>
      </c>
      <c r="L5" s="245"/>
      <c r="M5" s="239" t="s">
        <v>8</v>
      </c>
      <c r="N5" s="240"/>
      <c r="P5" s="246" t="s">
        <v>9</v>
      </c>
      <c r="Q5" s="247"/>
      <c r="R5" s="247"/>
      <c r="S5" s="247"/>
      <c r="T5" s="248"/>
      <c r="V5" s="119" t="s">
        <v>10</v>
      </c>
      <c r="W5" s="119" t="s">
        <v>11</v>
      </c>
      <c r="X5" s="119" t="s">
        <v>12</v>
      </c>
    </row>
    <row r="6" spans="1:32" ht="16.5" thickTop="1" thickBot="1" x14ac:dyDescent="0.3">
      <c r="A6" s="17" t="s">
        <v>13</v>
      </c>
      <c r="B6" s="18"/>
      <c r="C6" s="19">
        <v>0.88</v>
      </c>
      <c r="J6" s="31" t="s">
        <v>14</v>
      </c>
      <c r="K6" s="31" t="s">
        <v>15</v>
      </c>
      <c r="L6" s="31" t="s">
        <v>16</v>
      </c>
      <c r="M6" s="31" t="s">
        <v>15</v>
      </c>
      <c r="N6" s="31" t="s">
        <v>16</v>
      </c>
      <c r="P6" s="249" t="s">
        <v>17</v>
      </c>
      <c r="Q6" s="250"/>
      <c r="R6" s="250"/>
      <c r="S6" s="250"/>
      <c r="T6" s="251"/>
      <c r="V6" s="122" t="s">
        <v>18</v>
      </c>
      <c r="W6" s="165">
        <v>12.5</v>
      </c>
      <c r="X6" s="230">
        <f>TAN(RADIANS(12.5))</f>
        <v>0.22169466264293988</v>
      </c>
    </row>
    <row r="7" spans="1:32" ht="16.5" thickTop="1" thickBot="1" x14ac:dyDescent="0.3">
      <c r="A7" s="20"/>
      <c r="B7" s="236" t="s">
        <v>19</v>
      </c>
      <c r="C7" s="237"/>
      <c r="D7" s="241"/>
      <c r="E7" s="242" t="s">
        <v>20</v>
      </c>
      <c r="F7" s="243"/>
      <c r="G7" s="244"/>
      <c r="J7" s="32" t="s">
        <v>21</v>
      </c>
      <c r="K7" s="156">
        <v>100</v>
      </c>
      <c r="L7" s="198">
        <f>0.1*(9.81)</f>
        <v>0.98100000000000009</v>
      </c>
      <c r="M7" s="157">
        <v>350</v>
      </c>
      <c r="N7" s="201">
        <f>0.35*(9.81)</f>
        <v>3.4335</v>
      </c>
      <c r="P7" s="36" t="s">
        <v>22</v>
      </c>
      <c r="Q7" s="37" t="s">
        <v>23</v>
      </c>
      <c r="R7" s="37" t="s">
        <v>24</v>
      </c>
      <c r="S7" s="37" t="s">
        <v>25</v>
      </c>
      <c r="T7" s="38" t="s">
        <v>26</v>
      </c>
      <c r="V7" s="123" t="s">
        <v>27</v>
      </c>
      <c r="W7" s="166">
        <v>17.5</v>
      </c>
      <c r="X7" s="230">
        <f>TAN(RADIANS(17.5))</f>
        <v>0.31529878887898349</v>
      </c>
    </row>
    <row r="8" spans="1:32" ht="15.75" thickTop="1" x14ac:dyDescent="0.25">
      <c r="A8" s="22" t="s">
        <v>28</v>
      </c>
      <c r="B8" s="23" t="s">
        <v>29</v>
      </c>
      <c r="C8" s="24" t="s">
        <v>30</v>
      </c>
      <c r="D8" s="24" t="s">
        <v>30</v>
      </c>
      <c r="E8" s="24" t="s">
        <v>29</v>
      </c>
      <c r="F8" s="24" t="s">
        <v>30</v>
      </c>
      <c r="G8" s="24" t="s">
        <v>30</v>
      </c>
      <c r="J8" s="33" t="s">
        <v>31</v>
      </c>
      <c r="K8" s="159">
        <v>20</v>
      </c>
      <c r="L8" s="199">
        <f>0.02*(9.81)</f>
        <v>0.19620000000000001</v>
      </c>
      <c r="M8" s="160">
        <v>40</v>
      </c>
      <c r="N8" s="202">
        <f>0.04*(9.81)</f>
        <v>0.39240000000000003</v>
      </c>
      <c r="P8" s="6">
        <v>0</v>
      </c>
      <c r="Q8" s="157">
        <v>270</v>
      </c>
      <c r="R8" s="204">
        <f>0.27*(9.81)</f>
        <v>2.6487000000000003</v>
      </c>
      <c r="S8" s="157">
        <v>10</v>
      </c>
      <c r="T8" s="158">
        <f>0.01*(9.81)</f>
        <v>9.8100000000000007E-2</v>
      </c>
      <c r="V8" s="123" t="s">
        <v>32</v>
      </c>
      <c r="W8" s="166">
        <v>10</v>
      </c>
      <c r="X8" s="231">
        <f>TAN(RADIANS(10))</f>
        <v>0.17632698070846498</v>
      </c>
    </row>
    <row r="9" spans="1:32" ht="15.75" thickBot="1" x14ac:dyDescent="0.3">
      <c r="A9" s="22" t="s">
        <v>33</v>
      </c>
      <c r="B9" s="25" t="s">
        <v>34</v>
      </c>
      <c r="C9" s="22" t="s">
        <v>34</v>
      </c>
      <c r="D9" s="22" t="s">
        <v>34</v>
      </c>
      <c r="E9" s="22" t="s">
        <v>34</v>
      </c>
      <c r="F9" s="22" t="s">
        <v>34</v>
      </c>
      <c r="G9" s="22" t="s">
        <v>34</v>
      </c>
      <c r="J9" s="34" t="s">
        <v>35</v>
      </c>
      <c r="K9" s="162">
        <v>10</v>
      </c>
      <c r="L9" s="200">
        <f>0.01*(9.81)</f>
        <v>9.8100000000000007E-2</v>
      </c>
      <c r="M9" s="163">
        <v>20</v>
      </c>
      <c r="N9" s="203">
        <f>0.02*(9.81)</f>
        <v>0.19620000000000001</v>
      </c>
      <c r="P9" s="4" t="s">
        <v>36</v>
      </c>
      <c r="Q9" s="160">
        <v>340</v>
      </c>
      <c r="R9" s="205">
        <f>0.34*(9.81)</f>
        <v>3.3354000000000004</v>
      </c>
      <c r="S9" s="160">
        <v>80</v>
      </c>
      <c r="T9" s="161">
        <f>0.08*(9.81)</f>
        <v>0.78480000000000005</v>
      </c>
      <c r="V9" s="124" t="s">
        <v>37</v>
      </c>
      <c r="W9" s="167">
        <v>27.5</v>
      </c>
      <c r="X9" s="232">
        <f>TAN(RADIANS(27.5))</f>
        <v>0.52056705055174624</v>
      </c>
    </row>
    <row r="10" spans="1:32" ht="15.75" thickTop="1" x14ac:dyDescent="0.25">
      <c r="A10" s="22" t="s">
        <v>38</v>
      </c>
      <c r="B10" s="25" t="s">
        <v>39</v>
      </c>
      <c r="C10" s="22" t="s">
        <v>39</v>
      </c>
      <c r="D10" s="22" t="s">
        <v>39</v>
      </c>
      <c r="E10" s="22" t="s">
        <v>39</v>
      </c>
      <c r="F10" s="22" t="s">
        <v>39</v>
      </c>
      <c r="G10" s="22" t="s">
        <v>39</v>
      </c>
      <c r="P10" s="4" t="s">
        <v>40</v>
      </c>
      <c r="Q10" s="160">
        <v>340</v>
      </c>
      <c r="R10" s="205">
        <f>0.34*(9.81)</f>
        <v>3.3354000000000004</v>
      </c>
      <c r="S10" s="160">
        <v>80</v>
      </c>
      <c r="T10" s="161">
        <f>0.08*(9.81)</f>
        <v>0.78480000000000005</v>
      </c>
      <c r="V10" s="109"/>
      <c r="W10" s="109"/>
      <c r="X10" s="109"/>
    </row>
    <row r="11" spans="1:32" x14ac:dyDescent="0.25">
      <c r="A11" s="22"/>
      <c r="B11" s="25" t="s">
        <v>41</v>
      </c>
      <c r="C11" s="22" t="s">
        <v>42</v>
      </c>
      <c r="D11" s="22" t="s">
        <v>41</v>
      </c>
      <c r="E11" s="22" t="s">
        <v>41</v>
      </c>
      <c r="F11" s="22" t="s">
        <v>42</v>
      </c>
      <c r="G11" s="22" t="s">
        <v>41</v>
      </c>
      <c r="P11" s="4" t="s">
        <v>43</v>
      </c>
      <c r="Q11" s="160">
        <v>340</v>
      </c>
      <c r="R11" s="205">
        <f>0.34*(9.81)</f>
        <v>3.3354000000000004</v>
      </c>
      <c r="S11" s="160">
        <v>80</v>
      </c>
      <c r="T11" s="161">
        <f>0.08*(9.81)</f>
        <v>0.78480000000000005</v>
      </c>
    </row>
    <row r="12" spans="1:32" ht="15.75" thickBot="1" x14ac:dyDescent="0.3">
      <c r="A12" s="26"/>
      <c r="B12" s="21" t="s">
        <v>44</v>
      </c>
      <c r="C12" s="27" t="s">
        <v>45</v>
      </c>
      <c r="D12" s="27" t="s">
        <v>46</v>
      </c>
      <c r="E12" s="27" t="s">
        <v>47</v>
      </c>
      <c r="F12" s="27" t="s">
        <v>45</v>
      </c>
      <c r="G12" s="27" t="s">
        <v>48</v>
      </c>
      <c r="J12" s="48"/>
      <c r="P12" s="5" t="s">
        <v>49</v>
      </c>
      <c r="Q12" s="163">
        <v>350</v>
      </c>
      <c r="R12" s="206">
        <f>0.35*(9.81)</f>
        <v>3.4335</v>
      </c>
      <c r="S12" s="163">
        <v>90</v>
      </c>
      <c r="T12" s="164">
        <f>0.09*(9.81)</f>
        <v>0.88290000000000002</v>
      </c>
    </row>
    <row r="13" spans="1:32" ht="16.5" thickTop="1" thickBot="1" x14ac:dyDescent="0.3">
      <c r="A13" s="28">
        <v>15</v>
      </c>
      <c r="B13" s="222">
        <f>COS(RADIANS(15))*(0.88)</f>
        <v>0.85001472713438009</v>
      </c>
      <c r="C13" s="155">
        <v>50</v>
      </c>
      <c r="D13" s="222">
        <f>0.05*(9.81)</f>
        <v>0.49050000000000005</v>
      </c>
      <c r="E13" s="222">
        <f>0.88*SIN(RADIANS(15))</f>
        <v>0.22776075969021825</v>
      </c>
      <c r="F13" s="155">
        <v>50</v>
      </c>
      <c r="G13" s="225">
        <f>0.05*(9.81)</f>
        <v>0.49050000000000005</v>
      </c>
    </row>
    <row r="14" spans="1:32" ht="16.5" thickTop="1" thickBot="1" x14ac:dyDescent="0.3">
      <c r="A14" s="29">
        <v>25</v>
      </c>
      <c r="B14" s="223">
        <f>0.88*COS(RADIANS(25))</f>
        <v>0.797550852592252</v>
      </c>
      <c r="C14" s="150">
        <v>30</v>
      </c>
      <c r="D14" s="223">
        <f>0.03*(9.81)</f>
        <v>0.29430000000000001</v>
      </c>
      <c r="E14" s="223">
        <f>0.88*SIN(RADIANS(25))</f>
        <v>0.3719040703318155</v>
      </c>
      <c r="F14" s="150">
        <v>90</v>
      </c>
      <c r="G14" s="226">
        <f>0.09*(9.81)</f>
        <v>0.88290000000000002</v>
      </c>
      <c r="P14" s="233" t="s">
        <v>50</v>
      </c>
      <c r="Q14" s="234"/>
      <c r="R14" s="234"/>
      <c r="S14" s="234"/>
      <c r="T14" s="235"/>
      <c r="V14" s="1" t="s">
        <v>51</v>
      </c>
    </row>
    <row r="15" spans="1:32" ht="15.75" thickBot="1" x14ac:dyDescent="0.3">
      <c r="A15" s="29">
        <v>35</v>
      </c>
      <c r="B15" s="223">
        <f>0.88*COS(RADIANS(35))</f>
        <v>0.72085379897431279</v>
      </c>
      <c r="C15" s="150">
        <v>40</v>
      </c>
      <c r="D15" s="223">
        <f>0.04*(9.81)</f>
        <v>0.39240000000000003</v>
      </c>
      <c r="E15" s="223">
        <f>0.88*SIN(RADIANS(35))</f>
        <v>0.50474726398892056</v>
      </c>
      <c r="F15" s="150">
        <v>114</v>
      </c>
      <c r="G15" s="226">
        <f>0.114*(9.81)</f>
        <v>1.1183400000000001</v>
      </c>
      <c r="P15" s="236" t="s">
        <v>17</v>
      </c>
      <c r="Q15" s="237"/>
      <c r="R15" s="237"/>
      <c r="S15" s="237"/>
      <c r="T15" s="238"/>
      <c r="V15" s="121">
        <v>1</v>
      </c>
      <c r="W15" s="258" t="s">
        <v>52</v>
      </c>
      <c r="X15" s="259"/>
      <c r="Y15" s="259"/>
      <c r="Z15" s="259"/>
      <c r="AA15" s="259"/>
      <c r="AB15" s="259"/>
      <c r="AC15" s="259"/>
      <c r="AD15" s="259"/>
      <c r="AE15" s="259"/>
      <c r="AF15" s="260"/>
    </row>
    <row r="16" spans="1:32" ht="16.5" thickTop="1" thickBot="1" x14ac:dyDescent="0.3">
      <c r="A16" s="29">
        <v>45</v>
      </c>
      <c r="B16" s="223">
        <f>0.88*COS(RADIANS(45))</f>
        <v>0.62225396744416184</v>
      </c>
      <c r="C16" s="150">
        <v>52</v>
      </c>
      <c r="D16" s="223">
        <f>0.052*(9.81)</f>
        <v>0.51012000000000002</v>
      </c>
      <c r="E16" s="223">
        <f>0.88*SIN(RADIANS(45))</f>
        <v>0.62225396744416173</v>
      </c>
      <c r="F16" s="150">
        <v>144</v>
      </c>
      <c r="G16" s="226">
        <f>0.144*(9.81)</f>
        <v>1.4126399999999999</v>
      </c>
      <c r="P16" s="39" t="s">
        <v>22</v>
      </c>
      <c r="Q16" s="40" t="s">
        <v>23</v>
      </c>
      <c r="R16" s="40" t="s">
        <v>24</v>
      </c>
      <c r="S16" s="40" t="s">
        <v>25</v>
      </c>
      <c r="T16" s="41" t="s">
        <v>26</v>
      </c>
      <c r="V16" s="120" t="s">
        <v>53</v>
      </c>
      <c r="W16" s="255"/>
      <c r="X16" s="256"/>
      <c r="Y16" s="256"/>
      <c r="Z16" s="256"/>
      <c r="AA16" s="256"/>
      <c r="AB16" s="256"/>
      <c r="AC16" s="256"/>
      <c r="AD16" s="256"/>
      <c r="AE16" s="256"/>
      <c r="AF16" s="257"/>
    </row>
    <row r="17" spans="1:32" ht="16.5" thickTop="1" thickBot="1" x14ac:dyDescent="0.3">
      <c r="A17" s="30">
        <v>55</v>
      </c>
      <c r="B17" s="224">
        <f>0.88*COS(RADIANS(55))</f>
        <v>0.50474726398892067</v>
      </c>
      <c r="C17" s="151">
        <v>52</v>
      </c>
      <c r="D17" s="224">
        <f>0.052*(9.81)</f>
        <v>0.51012000000000002</v>
      </c>
      <c r="E17" s="224">
        <f>0.88*SIN(RADIANS(55))</f>
        <v>0.72085379897431279</v>
      </c>
      <c r="F17" s="151">
        <v>162</v>
      </c>
      <c r="G17" s="227">
        <f>0.162*(9.81)</f>
        <v>1.5892200000000001</v>
      </c>
      <c r="P17" s="42">
        <v>0</v>
      </c>
      <c r="Q17" s="157">
        <v>210</v>
      </c>
      <c r="R17" s="157">
        <f>0.21*(9.81)</f>
        <v>2.0600999999999998</v>
      </c>
      <c r="S17" s="157">
        <v>50</v>
      </c>
      <c r="T17" s="158">
        <f>0.05*(9.81)</f>
        <v>0.49050000000000005</v>
      </c>
      <c r="V17" s="120">
        <v>2</v>
      </c>
      <c r="W17" s="261" t="s">
        <v>54</v>
      </c>
      <c r="X17" s="262"/>
      <c r="Y17" s="262"/>
      <c r="Z17" s="262"/>
      <c r="AA17" s="262"/>
      <c r="AB17" s="262"/>
      <c r="AC17" s="262"/>
      <c r="AD17" s="262"/>
      <c r="AE17" s="262"/>
      <c r="AF17" s="263"/>
    </row>
    <row r="18" spans="1:32" ht="15.75" thickTop="1" x14ac:dyDescent="0.25">
      <c r="P18" s="43" t="s">
        <v>36</v>
      </c>
      <c r="Q18" s="160">
        <v>230</v>
      </c>
      <c r="R18" s="160">
        <f>0.23*(9.81)</f>
        <v>2.2563000000000004</v>
      </c>
      <c r="S18" s="160">
        <v>70</v>
      </c>
      <c r="T18" s="161">
        <f>0.07*(9.81)</f>
        <v>0.68670000000000009</v>
      </c>
      <c r="V18" s="120" t="s">
        <v>53</v>
      </c>
      <c r="W18" s="255" t="s">
        <v>151</v>
      </c>
      <c r="X18" s="256"/>
      <c r="Y18" s="256"/>
      <c r="Z18" s="256"/>
      <c r="AA18" s="256"/>
      <c r="AB18" s="256"/>
      <c r="AC18" s="256"/>
      <c r="AD18" s="256"/>
      <c r="AE18" s="256"/>
      <c r="AF18" s="257"/>
    </row>
    <row r="19" spans="1:32" x14ac:dyDescent="0.25">
      <c r="P19" s="43" t="s">
        <v>40</v>
      </c>
      <c r="Q19" s="160">
        <v>260</v>
      </c>
      <c r="R19" s="160">
        <f>0.26*(9.81)</f>
        <v>2.5506000000000002</v>
      </c>
      <c r="S19" s="160">
        <v>100</v>
      </c>
      <c r="T19" s="161">
        <f>0.1*(9.81)</f>
        <v>0.98100000000000009</v>
      </c>
    </row>
    <row r="20" spans="1:32" x14ac:dyDescent="0.25">
      <c r="P20" s="43" t="s">
        <v>43</v>
      </c>
      <c r="Q20" s="160">
        <v>260</v>
      </c>
      <c r="R20" s="160">
        <f>0.26*(9.81)</f>
        <v>2.5506000000000002</v>
      </c>
      <c r="S20" s="160">
        <v>100</v>
      </c>
      <c r="T20" s="161">
        <f>0.1*(9.81)</f>
        <v>0.98100000000000009</v>
      </c>
    </row>
    <row r="21" spans="1:32" ht="15.75" thickBot="1" x14ac:dyDescent="0.3">
      <c r="P21" s="44" t="s">
        <v>49</v>
      </c>
      <c r="Q21" s="163">
        <v>290</v>
      </c>
      <c r="R21" s="163">
        <f>0.29*(9.81)</f>
        <v>2.8449</v>
      </c>
      <c r="S21" s="163">
        <v>130</v>
      </c>
      <c r="T21" s="164">
        <f>0.13*(9.81)</f>
        <v>1.2753000000000001</v>
      </c>
    </row>
    <row r="22" spans="1:32" ht="16.5" thickTop="1" thickBot="1" x14ac:dyDescent="0.3"/>
    <row r="23" spans="1:32" ht="15.75" thickTop="1" x14ac:dyDescent="0.25">
      <c r="P23" s="264" t="s">
        <v>55</v>
      </c>
      <c r="Q23" s="265"/>
      <c r="R23" s="265"/>
      <c r="S23" s="265"/>
      <c r="T23" s="266"/>
    </row>
    <row r="24" spans="1:32" ht="15.75" thickBot="1" x14ac:dyDescent="0.3">
      <c r="P24" s="252" t="s">
        <v>17</v>
      </c>
      <c r="Q24" s="253"/>
      <c r="R24" s="253"/>
      <c r="S24" s="253"/>
      <c r="T24" s="254"/>
    </row>
    <row r="25" spans="1:32" ht="16.5" thickTop="1" thickBot="1" x14ac:dyDescent="0.3">
      <c r="P25" s="45" t="s">
        <v>22</v>
      </c>
      <c r="Q25" s="46" t="s">
        <v>23</v>
      </c>
      <c r="R25" s="46" t="s">
        <v>24</v>
      </c>
      <c r="S25" s="46" t="s">
        <v>25</v>
      </c>
      <c r="T25" s="47" t="s">
        <v>26</v>
      </c>
    </row>
    <row r="26" spans="1:32" ht="15.75" thickTop="1" x14ac:dyDescent="0.25">
      <c r="P26" s="7">
        <v>0</v>
      </c>
      <c r="Q26" s="157">
        <v>210</v>
      </c>
      <c r="R26" s="157">
        <f>0.21*(9.81)</f>
        <v>2.0600999999999998</v>
      </c>
      <c r="S26" s="157">
        <v>50</v>
      </c>
      <c r="T26" s="158">
        <f>0.05*(9.81)</f>
        <v>0.49050000000000005</v>
      </c>
    </row>
    <row r="27" spans="1:32" x14ac:dyDescent="0.25">
      <c r="P27" s="8" t="s">
        <v>36</v>
      </c>
      <c r="Q27" s="160">
        <v>230</v>
      </c>
      <c r="R27" s="160">
        <f>0.23*(9.81)</f>
        <v>2.2563000000000004</v>
      </c>
      <c r="S27" s="160">
        <v>70</v>
      </c>
      <c r="T27" s="161">
        <f>0.07*(9.81)</f>
        <v>0.68670000000000009</v>
      </c>
    </row>
    <row r="28" spans="1:32" x14ac:dyDescent="0.25">
      <c r="P28" s="8" t="s">
        <v>40</v>
      </c>
      <c r="Q28" s="160">
        <v>240</v>
      </c>
      <c r="R28" s="160">
        <f>0.24*(9.81)</f>
        <v>2.3544</v>
      </c>
      <c r="S28" s="160">
        <v>80</v>
      </c>
      <c r="T28" s="161">
        <f>0.08*(9.81)</f>
        <v>0.78480000000000005</v>
      </c>
    </row>
    <row r="29" spans="1:32" x14ac:dyDescent="0.25">
      <c r="P29" s="8" t="s">
        <v>43</v>
      </c>
      <c r="Q29" s="160">
        <v>260</v>
      </c>
      <c r="R29" s="160">
        <f>0.26*(9.81)</f>
        <v>2.5506000000000002</v>
      </c>
      <c r="S29" s="160">
        <v>100</v>
      </c>
      <c r="T29" s="161">
        <f>0.1*(9.81)</f>
        <v>0.98100000000000009</v>
      </c>
    </row>
    <row r="30" spans="1:32" ht="15.75" thickBot="1" x14ac:dyDescent="0.3">
      <c r="P30" s="9" t="s">
        <v>49</v>
      </c>
      <c r="Q30" s="163">
        <v>280</v>
      </c>
      <c r="R30" s="163">
        <f>0.28*(9.81)</f>
        <v>2.7468000000000004</v>
      </c>
      <c r="S30" s="163">
        <v>120</v>
      </c>
      <c r="T30" s="164">
        <f>0.12*(9.81)</f>
        <v>1.1772</v>
      </c>
    </row>
    <row r="31" spans="1:32" ht="15.75" thickTop="1" x14ac:dyDescent="0.25"/>
    <row r="33" spans="16:20" x14ac:dyDescent="0.25">
      <c r="P33" s="35" t="s">
        <v>56</v>
      </c>
    </row>
    <row r="35" spans="16:20" x14ac:dyDescent="0.25">
      <c r="P35" s="1" t="s">
        <v>57</v>
      </c>
    </row>
    <row r="36" spans="16:20" ht="15.75" thickBot="1" x14ac:dyDescent="0.3"/>
    <row r="37" spans="16:20" ht="15.75" thickTop="1" x14ac:dyDescent="0.25">
      <c r="P37" s="246" t="s">
        <v>58</v>
      </c>
      <c r="Q37" s="247"/>
      <c r="R37" s="247"/>
      <c r="S37" s="247"/>
      <c r="T37" s="248"/>
    </row>
    <row r="38" spans="16:20" ht="15.75" thickBot="1" x14ac:dyDescent="0.3">
      <c r="P38" s="249" t="s">
        <v>17</v>
      </c>
      <c r="Q38" s="250"/>
      <c r="R38" s="250"/>
      <c r="S38" s="250"/>
      <c r="T38" s="251"/>
    </row>
    <row r="39" spans="16:20" ht="16.5" thickTop="1" thickBot="1" x14ac:dyDescent="0.3">
      <c r="P39" s="36" t="s">
        <v>22</v>
      </c>
      <c r="Q39" s="37" t="s">
        <v>23</v>
      </c>
      <c r="R39" s="37" t="s">
        <v>24</v>
      </c>
      <c r="S39" s="37" t="s">
        <v>25</v>
      </c>
      <c r="T39" s="38" t="s">
        <v>26</v>
      </c>
    </row>
    <row r="40" spans="16:20" ht="15.75" thickTop="1" x14ac:dyDescent="0.25">
      <c r="P40" s="6">
        <v>0</v>
      </c>
      <c r="Q40" s="146">
        <v>300</v>
      </c>
      <c r="R40" s="207">
        <f>0.3*(9.81)</f>
        <v>2.9430000000000001</v>
      </c>
      <c r="S40" s="168">
        <v>40</v>
      </c>
      <c r="T40" s="169">
        <f>0.04*(9.81)</f>
        <v>0.39240000000000003</v>
      </c>
    </row>
    <row r="41" spans="16:20" x14ac:dyDescent="0.25">
      <c r="P41" s="4" t="s">
        <v>36</v>
      </c>
      <c r="Q41" s="146">
        <v>330</v>
      </c>
      <c r="R41" s="207">
        <f>0.33*(9.81)</f>
        <v>3.2373000000000003</v>
      </c>
      <c r="S41" s="146">
        <v>70</v>
      </c>
      <c r="T41" s="153">
        <f>0.07*(9.81)</f>
        <v>0.68670000000000009</v>
      </c>
    </row>
    <row r="42" spans="16:20" x14ac:dyDescent="0.25">
      <c r="P42" s="4" t="s">
        <v>40</v>
      </c>
      <c r="Q42" s="146">
        <v>330</v>
      </c>
      <c r="R42" s="207">
        <f>0.33*(9.81)</f>
        <v>3.2373000000000003</v>
      </c>
      <c r="S42" s="146">
        <v>70</v>
      </c>
      <c r="T42" s="153">
        <f>0.07*(9.81)</f>
        <v>0.68670000000000009</v>
      </c>
    </row>
    <row r="43" spans="16:20" x14ac:dyDescent="0.25">
      <c r="P43" s="4" t="s">
        <v>43</v>
      </c>
      <c r="Q43" s="146">
        <v>340</v>
      </c>
      <c r="R43" s="207">
        <f>0.34*(9.81)</f>
        <v>3.3354000000000004</v>
      </c>
      <c r="S43" s="146">
        <v>80</v>
      </c>
      <c r="T43" s="153">
        <f>0.08*(9.81)</f>
        <v>0.78480000000000005</v>
      </c>
    </row>
    <row r="44" spans="16:20" ht="15.75" thickBot="1" x14ac:dyDescent="0.3">
      <c r="P44" s="5" t="s">
        <v>49</v>
      </c>
      <c r="Q44" s="152">
        <v>350</v>
      </c>
      <c r="R44" s="208">
        <f>0.35*(9.81)</f>
        <v>3.4335</v>
      </c>
      <c r="S44" s="152">
        <v>90</v>
      </c>
      <c r="T44" s="154">
        <f>0.09*(9.81)</f>
        <v>0.88290000000000002</v>
      </c>
    </row>
    <row r="45" spans="16:20" ht="16.5" thickTop="1" thickBot="1" x14ac:dyDescent="0.3"/>
    <row r="46" spans="16:20" ht="15.75" thickTop="1" x14ac:dyDescent="0.25">
      <c r="P46" s="233" t="s">
        <v>59</v>
      </c>
      <c r="Q46" s="234"/>
      <c r="R46" s="234"/>
      <c r="S46" s="234"/>
      <c r="T46" s="235"/>
    </row>
    <row r="47" spans="16:20" ht="15.75" thickBot="1" x14ac:dyDescent="0.3">
      <c r="P47" s="236" t="s">
        <v>17</v>
      </c>
      <c r="Q47" s="237"/>
      <c r="R47" s="237"/>
      <c r="S47" s="237"/>
      <c r="T47" s="238"/>
    </row>
    <row r="48" spans="16:20" ht="16.5" thickTop="1" thickBot="1" x14ac:dyDescent="0.3">
      <c r="P48" s="39" t="s">
        <v>22</v>
      </c>
      <c r="Q48" s="40" t="s">
        <v>23</v>
      </c>
      <c r="R48" s="40" t="s">
        <v>24</v>
      </c>
      <c r="S48" s="40" t="s">
        <v>25</v>
      </c>
      <c r="T48" s="41" t="s">
        <v>26</v>
      </c>
    </row>
    <row r="49" spans="16:20" ht="15.75" thickTop="1" x14ac:dyDescent="0.25">
      <c r="P49" s="42">
        <v>0</v>
      </c>
      <c r="Q49" s="168">
        <v>200</v>
      </c>
      <c r="R49" s="209">
        <f>0.2*(9.81)</f>
        <v>1.9620000000000002</v>
      </c>
      <c r="S49" s="168">
        <v>40</v>
      </c>
      <c r="T49" s="169">
        <f>0.04*(9.81)</f>
        <v>0.39240000000000003</v>
      </c>
    </row>
    <row r="50" spans="16:20" x14ac:dyDescent="0.25">
      <c r="P50" s="43" t="s">
        <v>36</v>
      </c>
      <c r="Q50" s="146">
        <v>220</v>
      </c>
      <c r="R50" s="207">
        <f>0.22*(9.81)</f>
        <v>2.1582000000000003</v>
      </c>
      <c r="S50" s="146">
        <v>60</v>
      </c>
      <c r="T50" s="153">
        <f>0.06*(9.81)</f>
        <v>0.58860000000000001</v>
      </c>
    </row>
    <row r="51" spans="16:20" x14ac:dyDescent="0.25">
      <c r="P51" s="43" t="s">
        <v>40</v>
      </c>
      <c r="Q51" s="146">
        <v>250</v>
      </c>
      <c r="R51" s="207">
        <f>0.25*(9.81)</f>
        <v>2.4525000000000001</v>
      </c>
      <c r="S51" s="146">
        <v>90</v>
      </c>
      <c r="T51" s="153">
        <f>0.09*(9.81)</f>
        <v>0.88290000000000002</v>
      </c>
    </row>
    <row r="52" spans="16:20" x14ac:dyDescent="0.25">
      <c r="P52" s="43" t="s">
        <v>43</v>
      </c>
      <c r="Q52" s="146">
        <v>270</v>
      </c>
      <c r="R52" s="207">
        <f>0.27*(9.81)</f>
        <v>2.6487000000000003</v>
      </c>
      <c r="S52" s="146">
        <v>110</v>
      </c>
      <c r="T52" s="153">
        <f>0.11*(9.81)</f>
        <v>1.0791000000000002</v>
      </c>
    </row>
    <row r="53" spans="16:20" ht="15.75" thickBot="1" x14ac:dyDescent="0.3">
      <c r="P53" s="44" t="s">
        <v>49</v>
      </c>
      <c r="Q53" s="152">
        <v>300</v>
      </c>
      <c r="R53" s="208">
        <f>0.3*(9.81)</f>
        <v>2.9430000000000001</v>
      </c>
      <c r="S53" s="152">
        <v>170</v>
      </c>
      <c r="T53" s="154">
        <f>0.17*(9.81)</f>
        <v>1.6677000000000002</v>
      </c>
    </row>
    <row r="54" spans="16:20" ht="16.5" thickTop="1" thickBot="1" x14ac:dyDescent="0.3"/>
    <row r="55" spans="16:20" ht="15.75" thickTop="1" x14ac:dyDescent="0.25">
      <c r="P55" s="264" t="s">
        <v>60</v>
      </c>
      <c r="Q55" s="265"/>
      <c r="R55" s="265"/>
      <c r="S55" s="265"/>
      <c r="T55" s="266"/>
    </row>
    <row r="56" spans="16:20" ht="15.75" thickBot="1" x14ac:dyDescent="0.3">
      <c r="P56" s="252" t="s">
        <v>17</v>
      </c>
      <c r="Q56" s="253"/>
      <c r="R56" s="253"/>
      <c r="S56" s="253"/>
      <c r="T56" s="254"/>
    </row>
    <row r="57" spans="16:20" ht="16.5" thickTop="1" thickBot="1" x14ac:dyDescent="0.3">
      <c r="P57" s="45" t="s">
        <v>22</v>
      </c>
      <c r="Q57" s="46" t="s">
        <v>23</v>
      </c>
      <c r="R57" s="46" t="s">
        <v>24</v>
      </c>
      <c r="S57" s="46" t="s">
        <v>25</v>
      </c>
      <c r="T57" s="47" t="s">
        <v>26</v>
      </c>
    </row>
    <row r="58" spans="16:20" ht="15.75" thickTop="1" x14ac:dyDescent="0.25">
      <c r="P58" s="7">
        <v>0</v>
      </c>
      <c r="Q58" s="168">
        <v>210</v>
      </c>
      <c r="R58" s="168">
        <f>0.21*(9.81)</f>
        <v>2.0600999999999998</v>
      </c>
      <c r="S58" s="168">
        <v>40</v>
      </c>
      <c r="T58" s="169">
        <f>0.04*(9.81)</f>
        <v>0.39240000000000003</v>
      </c>
    </row>
    <row r="59" spans="16:20" x14ac:dyDescent="0.25">
      <c r="P59" s="8" t="s">
        <v>36</v>
      </c>
      <c r="Q59" s="146">
        <v>240</v>
      </c>
      <c r="R59" s="146">
        <f>0.24*(9.81)</f>
        <v>2.3544</v>
      </c>
      <c r="S59" s="146">
        <v>70</v>
      </c>
      <c r="T59" s="153">
        <f>0.07*(9.81)</f>
        <v>0.68670000000000009</v>
      </c>
    </row>
    <row r="60" spans="16:20" x14ac:dyDescent="0.25">
      <c r="P60" s="8" t="s">
        <v>40</v>
      </c>
      <c r="Q60" s="146">
        <v>240</v>
      </c>
      <c r="R60" s="146">
        <f>0.24*(9.81)</f>
        <v>2.3544</v>
      </c>
      <c r="S60" s="146">
        <v>70</v>
      </c>
      <c r="T60" s="153">
        <f>0.07*(9.81)</f>
        <v>0.68670000000000009</v>
      </c>
    </row>
    <row r="61" spans="16:20" x14ac:dyDescent="0.25">
      <c r="P61" s="8" t="s">
        <v>43</v>
      </c>
      <c r="Q61" s="146">
        <v>260</v>
      </c>
      <c r="R61" s="146">
        <f>0.26*(9.81)</f>
        <v>2.5506000000000002</v>
      </c>
      <c r="S61" s="146">
        <v>90</v>
      </c>
      <c r="T61" s="153">
        <f>0.09*(9.81)</f>
        <v>0.88290000000000002</v>
      </c>
    </row>
    <row r="62" spans="16:20" ht="15.75" thickBot="1" x14ac:dyDescent="0.3">
      <c r="P62" s="9" t="s">
        <v>49</v>
      </c>
      <c r="Q62" s="152">
        <v>310</v>
      </c>
      <c r="R62" s="152">
        <f>0.31*(9.81)</f>
        <v>3.0411000000000001</v>
      </c>
      <c r="S62" s="152">
        <v>140</v>
      </c>
      <c r="T62" s="154">
        <f>0.14*(9.81)</f>
        <v>1.3734000000000002</v>
      </c>
    </row>
    <row r="63" spans="16:20" ht="15.75" thickTop="1" x14ac:dyDescent="0.25"/>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zoomScale="48" zoomScaleNormal="48" workbookViewId="0">
      <selection activeCell="P80" sqref="P80"/>
    </sheetView>
  </sheetViews>
  <sheetFormatPr defaultRowHeight="15" x14ac:dyDescent="0.25"/>
  <cols>
    <col min="1" max="1" width="14.42578125" customWidth="1"/>
    <col min="2" max="2" width="9.85546875" bestFit="1" customWidth="1"/>
    <col min="3" max="3" width="10.28515625" customWidth="1"/>
    <col min="6" max="6" width="13.42578125" customWidth="1"/>
    <col min="7" max="7" width="15.5703125" bestFit="1" customWidth="1"/>
    <col min="8" max="8" width="9.85546875" bestFit="1" customWidth="1"/>
    <col min="11" max="11" width="13.42578125" customWidth="1"/>
    <col min="12" max="12" width="15.5703125" customWidth="1"/>
    <col min="13" max="13" width="10.140625" bestFit="1" customWidth="1"/>
    <col min="14" max="14" width="15.7109375" bestFit="1" customWidth="1"/>
    <col min="17" max="17" width="13.85546875" bestFit="1" customWidth="1"/>
    <col min="18" max="18" width="15.5703125" bestFit="1" customWidth="1"/>
    <col min="19" max="19" width="15.7109375" bestFit="1" customWidth="1"/>
    <col min="20" max="20" width="15.5703125" bestFit="1" customWidth="1"/>
    <col min="21" max="21" width="18" bestFit="1" customWidth="1"/>
    <col min="24" max="24" width="13.7109375" customWidth="1"/>
    <col min="25" max="25" width="11.28515625" customWidth="1"/>
    <col min="26" max="26" width="11" customWidth="1"/>
    <col min="30" max="30" width="13.28515625" customWidth="1"/>
    <col min="31" max="31" width="14.140625" customWidth="1"/>
    <col min="32" max="32" width="15" customWidth="1"/>
  </cols>
  <sheetData>
    <row r="1" spans="1:33" x14ac:dyDescent="0.25">
      <c r="A1" s="1" t="s">
        <v>61</v>
      </c>
      <c r="X1" s="1" t="s">
        <v>62</v>
      </c>
      <c r="AD1" s="1" t="s">
        <v>63</v>
      </c>
    </row>
    <row r="2" spans="1:33" x14ac:dyDescent="0.25">
      <c r="A2" s="1"/>
    </row>
    <row r="3" spans="1:33" ht="15.75" thickBot="1" x14ac:dyDescent="0.3">
      <c r="A3" s="1" t="s">
        <v>64</v>
      </c>
      <c r="F3" s="1" t="s">
        <v>65</v>
      </c>
      <c r="K3" s="1" t="s">
        <v>66</v>
      </c>
      <c r="Q3" s="1" t="s">
        <v>67</v>
      </c>
    </row>
    <row r="4" spans="1:33" ht="15.75" thickTop="1" x14ac:dyDescent="0.25">
      <c r="A4" s="51"/>
      <c r="B4" s="52" t="s">
        <v>68</v>
      </c>
      <c r="C4" s="53" t="s">
        <v>69</v>
      </c>
      <c r="D4" s="54"/>
      <c r="F4" s="51"/>
      <c r="G4" s="64" t="s">
        <v>68</v>
      </c>
      <c r="H4" s="65" t="s">
        <v>69</v>
      </c>
      <c r="I4" s="66"/>
      <c r="K4" s="51"/>
      <c r="L4" s="79" t="s">
        <v>68</v>
      </c>
      <c r="M4" s="80" t="s">
        <v>70</v>
      </c>
      <c r="N4" s="81" t="s">
        <v>69</v>
      </c>
      <c r="O4" s="82"/>
      <c r="Q4" s="51"/>
      <c r="R4" s="94" t="s">
        <v>68</v>
      </c>
      <c r="S4" s="95" t="s">
        <v>69</v>
      </c>
      <c r="T4" s="95" t="s">
        <v>68</v>
      </c>
      <c r="U4" s="96" t="s">
        <v>69</v>
      </c>
      <c r="X4" s="51"/>
      <c r="Y4" s="52" t="s">
        <v>68</v>
      </c>
      <c r="Z4" s="53" t="s">
        <v>69</v>
      </c>
      <c r="AA4" s="54"/>
      <c r="AD4" s="51"/>
      <c r="AE4" s="64" t="s">
        <v>68</v>
      </c>
      <c r="AF4" s="65" t="s">
        <v>69</v>
      </c>
      <c r="AG4" s="66"/>
    </row>
    <row r="5" spans="1:33" x14ac:dyDescent="0.25">
      <c r="A5" s="51"/>
      <c r="B5" s="55" t="s">
        <v>71</v>
      </c>
      <c r="C5" s="56" t="s">
        <v>71</v>
      </c>
      <c r="D5" s="57" t="s">
        <v>72</v>
      </c>
      <c r="F5" s="51"/>
      <c r="G5" s="67" t="s">
        <v>73</v>
      </c>
      <c r="H5" s="68" t="s">
        <v>74</v>
      </c>
      <c r="I5" s="69" t="s">
        <v>72</v>
      </c>
      <c r="K5" s="51"/>
      <c r="L5" s="83" t="s">
        <v>75</v>
      </c>
      <c r="M5" s="84" t="s">
        <v>76</v>
      </c>
      <c r="N5" s="85" t="s">
        <v>75</v>
      </c>
      <c r="O5" s="86" t="s">
        <v>72</v>
      </c>
      <c r="Q5" s="51"/>
      <c r="R5" s="97" t="s">
        <v>77</v>
      </c>
      <c r="S5" s="98" t="s">
        <v>75</v>
      </c>
      <c r="T5" s="98" t="s">
        <v>73</v>
      </c>
      <c r="U5" s="99" t="s">
        <v>78</v>
      </c>
      <c r="X5" s="51"/>
      <c r="Y5" s="55" t="s">
        <v>71</v>
      </c>
      <c r="Z5" s="56" t="s">
        <v>79</v>
      </c>
      <c r="AA5" s="57" t="s">
        <v>72</v>
      </c>
      <c r="AD5" s="51"/>
      <c r="AE5" s="67" t="s">
        <v>80</v>
      </c>
      <c r="AF5" s="68" t="s">
        <v>81</v>
      </c>
      <c r="AG5" s="69" t="s">
        <v>72</v>
      </c>
    </row>
    <row r="6" spans="1:33" ht="15.75" thickBot="1" x14ac:dyDescent="0.3">
      <c r="A6" s="10"/>
      <c r="B6" s="58" t="s">
        <v>82</v>
      </c>
      <c r="C6" s="59" t="s">
        <v>83</v>
      </c>
      <c r="D6" s="60" t="s">
        <v>84</v>
      </c>
      <c r="F6" s="10"/>
      <c r="G6" s="70" t="s">
        <v>82</v>
      </c>
      <c r="H6" s="71" t="s">
        <v>83</v>
      </c>
      <c r="I6" s="72" t="s">
        <v>84</v>
      </c>
      <c r="K6" s="10"/>
      <c r="L6" s="87" t="s">
        <v>82</v>
      </c>
      <c r="M6" s="88" t="s">
        <v>85</v>
      </c>
      <c r="N6" s="89" t="s">
        <v>83</v>
      </c>
      <c r="O6" s="90" t="s">
        <v>84</v>
      </c>
      <c r="Q6" s="10"/>
      <c r="R6" s="100" t="s">
        <v>82</v>
      </c>
      <c r="S6" s="101" t="s">
        <v>83</v>
      </c>
      <c r="T6" s="101" t="s">
        <v>85</v>
      </c>
      <c r="U6" s="102" t="s">
        <v>86</v>
      </c>
      <c r="X6" s="10"/>
      <c r="Y6" s="58" t="s">
        <v>82</v>
      </c>
      <c r="Z6" s="59" t="s">
        <v>83</v>
      </c>
      <c r="AA6" s="60" t="s">
        <v>84</v>
      </c>
      <c r="AD6" s="10"/>
      <c r="AE6" s="70" t="s">
        <v>82</v>
      </c>
      <c r="AF6" s="71" t="s">
        <v>83</v>
      </c>
      <c r="AG6" s="72" t="s">
        <v>84</v>
      </c>
    </row>
    <row r="7" spans="1:33" ht="15.75" thickTop="1" x14ac:dyDescent="0.25">
      <c r="A7" s="11" t="s">
        <v>87</v>
      </c>
      <c r="B7" s="168">
        <v>60</v>
      </c>
      <c r="C7" s="168">
        <v>60</v>
      </c>
      <c r="D7" s="195">
        <v>4.2361111111111113E-2</v>
      </c>
      <c r="F7" s="73" t="s">
        <v>87</v>
      </c>
      <c r="G7" s="168">
        <v>20</v>
      </c>
      <c r="H7" s="168">
        <v>100</v>
      </c>
      <c r="I7" s="195">
        <v>0.20902777777777778</v>
      </c>
      <c r="K7" s="28" t="s">
        <v>87</v>
      </c>
      <c r="L7" s="168">
        <v>60</v>
      </c>
      <c r="M7" s="168">
        <v>140</v>
      </c>
      <c r="N7" s="168">
        <v>60</v>
      </c>
      <c r="O7" s="195">
        <v>4.2361111111111113E-2</v>
      </c>
      <c r="Q7" s="103" t="s">
        <v>87</v>
      </c>
      <c r="R7" s="181">
        <v>140</v>
      </c>
      <c r="S7" s="181">
        <v>20</v>
      </c>
      <c r="T7" s="181">
        <v>60</v>
      </c>
      <c r="U7" s="182">
        <v>100</v>
      </c>
      <c r="X7" s="11" t="s">
        <v>87</v>
      </c>
      <c r="Y7" s="168">
        <v>60</v>
      </c>
      <c r="Z7" s="168">
        <v>40</v>
      </c>
      <c r="AA7" s="195">
        <v>0.12638888888888888</v>
      </c>
      <c r="AD7" s="73" t="s">
        <v>87</v>
      </c>
      <c r="AE7" s="183">
        <v>1</v>
      </c>
      <c r="AF7" s="168">
        <v>40</v>
      </c>
      <c r="AG7" s="195">
        <v>4.4444444444444446E-2</v>
      </c>
    </row>
    <row r="8" spans="1:33" ht="15.75" thickBot="1" x14ac:dyDescent="0.3">
      <c r="A8" s="12" t="s">
        <v>88</v>
      </c>
      <c r="B8" s="146">
        <v>60</v>
      </c>
      <c r="C8" s="146">
        <v>60</v>
      </c>
      <c r="D8" s="196">
        <v>4.2361111111111113E-2</v>
      </c>
      <c r="F8" s="2" t="s">
        <v>88</v>
      </c>
      <c r="G8" s="146">
        <v>20</v>
      </c>
      <c r="H8" s="146">
        <v>100</v>
      </c>
      <c r="I8" s="196">
        <v>0.20902777777777778</v>
      </c>
      <c r="K8" s="29" t="s">
        <v>88</v>
      </c>
      <c r="L8" s="146">
        <v>60</v>
      </c>
      <c r="M8" s="146">
        <v>140</v>
      </c>
      <c r="N8" s="146">
        <v>60</v>
      </c>
      <c r="O8" s="196">
        <v>4.2361111111111113E-2</v>
      </c>
      <c r="Q8" s="267" t="s">
        <v>147</v>
      </c>
      <c r="R8" s="268"/>
      <c r="S8" s="268"/>
      <c r="T8" s="268"/>
      <c r="U8" s="269"/>
      <c r="X8" s="13" t="s">
        <v>89</v>
      </c>
      <c r="Y8" s="152">
        <f>60/40</f>
        <v>1.5</v>
      </c>
      <c r="Z8" s="228">
        <f>40/60</f>
        <v>0.66666666666666663</v>
      </c>
      <c r="AA8" s="197">
        <v>0.12638888888888888</v>
      </c>
      <c r="AD8" s="3" t="s">
        <v>89</v>
      </c>
      <c r="AE8" s="229">
        <f>1/40</f>
        <v>2.5000000000000001E-2</v>
      </c>
      <c r="AF8" s="174">
        <f>40/1</f>
        <v>40</v>
      </c>
      <c r="AG8" s="197">
        <v>4.4444444444444446E-2</v>
      </c>
    </row>
    <row r="9" spans="1:33" ht="16.5" thickTop="1" thickBot="1" x14ac:dyDescent="0.3">
      <c r="A9" s="12" t="s">
        <v>89</v>
      </c>
      <c r="B9" s="146">
        <v>1</v>
      </c>
      <c r="C9" s="173">
        <v>1</v>
      </c>
      <c r="D9" s="196">
        <v>4.2361111111111113E-2</v>
      </c>
      <c r="F9" s="2" t="s">
        <v>89</v>
      </c>
      <c r="G9" s="146">
        <v>5</v>
      </c>
      <c r="H9" s="173">
        <v>1</v>
      </c>
      <c r="I9" s="196">
        <v>0.20902777777777778</v>
      </c>
      <c r="K9" s="29" t="s">
        <v>89</v>
      </c>
      <c r="L9" s="146">
        <v>1</v>
      </c>
      <c r="M9" s="178"/>
      <c r="N9" s="173">
        <v>1</v>
      </c>
      <c r="O9" s="196">
        <v>4.2361111111111113E-2</v>
      </c>
    </row>
    <row r="10" spans="1:33" ht="16.5" thickTop="1" thickBot="1" x14ac:dyDescent="0.3">
      <c r="A10" s="13" t="s">
        <v>90</v>
      </c>
      <c r="B10" s="174" t="s">
        <v>91</v>
      </c>
      <c r="C10" s="152" t="s">
        <v>143</v>
      </c>
      <c r="D10" s="175"/>
      <c r="F10" s="3" t="s">
        <v>90</v>
      </c>
      <c r="G10" s="174" t="s">
        <v>91</v>
      </c>
      <c r="H10" s="152" t="s">
        <v>143</v>
      </c>
      <c r="I10" s="175"/>
      <c r="K10" s="30" t="s">
        <v>90</v>
      </c>
      <c r="L10" s="174" t="s">
        <v>91</v>
      </c>
      <c r="M10" s="179"/>
      <c r="N10" s="152" t="s">
        <v>91</v>
      </c>
      <c r="O10" s="175"/>
      <c r="Q10" s="51"/>
      <c r="R10" s="94" t="s">
        <v>68</v>
      </c>
      <c r="S10" s="95" t="s">
        <v>69</v>
      </c>
      <c r="T10" s="95" t="s">
        <v>68</v>
      </c>
      <c r="U10" s="96" t="s">
        <v>69</v>
      </c>
      <c r="X10" s="270" t="s">
        <v>92</v>
      </c>
      <c r="Y10" s="271"/>
      <c r="Z10" s="271"/>
      <c r="AA10" s="272"/>
      <c r="AD10" s="270" t="s">
        <v>93</v>
      </c>
      <c r="AE10" s="271"/>
      <c r="AF10" s="271"/>
      <c r="AG10" s="272"/>
    </row>
    <row r="11" spans="1:33" ht="16.5" thickTop="1" thickBot="1" x14ac:dyDescent="0.3">
      <c r="Q11" s="51"/>
      <c r="R11" s="97" t="s">
        <v>77</v>
      </c>
      <c r="S11" s="98" t="s">
        <v>75</v>
      </c>
      <c r="T11" s="98" t="s">
        <v>73</v>
      </c>
      <c r="U11" s="99" t="s">
        <v>78</v>
      </c>
      <c r="X11" s="273" t="s">
        <v>94</v>
      </c>
      <c r="Y11" s="274"/>
      <c r="Z11" s="274"/>
      <c r="AA11" s="275"/>
      <c r="AD11" s="273" t="s">
        <v>95</v>
      </c>
      <c r="AE11" s="274"/>
      <c r="AF11" s="274"/>
      <c r="AG11" s="275"/>
    </row>
    <row r="12" spans="1:33" ht="16.5" thickTop="1" thickBot="1" x14ac:dyDescent="0.3">
      <c r="A12" s="270" t="s">
        <v>96</v>
      </c>
      <c r="B12" s="271"/>
      <c r="C12" s="271"/>
      <c r="D12" s="272"/>
      <c r="F12" s="270" t="s">
        <v>97</v>
      </c>
      <c r="G12" s="271"/>
      <c r="H12" s="271"/>
      <c r="I12" s="272"/>
      <c r="K12" s="270" t="s">
        <v>98</v>
      </c>
      <c r="L12" s="271"/>
      <c r="M12" s="271"/>
      <c r="N12" s="272"/>
      <c r="Q12" s="10"/>
      <c r="R12" s="100" t="s">
        <v>82</v>
      </c>
      <c r="S12" s="101" t="s">
        <v>83</v>
      </c>
      <c r="T12" s="101" t="s">
        <v>85</v>
      </c>
      <c r="U12" s="102" t="s">
        <v>86</v>
      </c>
      <c r="X12" s="49" t="s">
        <v>99</v>
      </c>
      <c r="Y12" s="49" t="s">
        <v>100</v>
      </c>
      <c r="Z12" s="49" t="s">
        <v>101</v>
      </c>
      <c r="AA12" s="49" t="s">
        <v>102</v>
      </c>
      <c r="AD12" s="74" t="s">
        <v>99</v>
      </c>
      <c r="AE12" s="74" t="s">
        <v>100</v>
      </c>
      <c r="AF12" s="74" t="s">
        <v>101</v>
      </c>
      <c r="AG12" s="74" t="s">
        <v>102</v>
      </c>
    </row>
    <row r="13" spans="1:33" ht="16.5" thickTop="1" thickBot="1" x14ac:dyDescent="0.3">
      <c r="A13" s="273" t="s">
        <v>103</v>
      </c>
      <c r="B13" s="274"/>
      <c r="C13" s="274"/>
      <c r="D13" s="275"/>
      <c r="F13" s="273" t="s">
        <v>104</v>
      </c>
      <c r="G13" s="274"/>
      <c r="H13" s="274"/>
      <c r="I13" s="275"/>
      <c r="K13" s="273" t="s">
        <v>103</v>
      </c>
      <c r="L13" s="274"/>
      <c r="M13" s="274"/>
      <c r="N13" s="275"/>
      <c r="Q13" s="103" t="s">
        <v>89</v>
      </c>
      <c r="R13" s="181"/>
      <c r="S13" s="181"/>
      <c r="T13" s="181"/>
      <c r="U13" s="182"/>
      <c r="X13" s="50"/>
      <c r="Y13" s="50"/>
      <c r="Z13" s="50" t="s">
        <v>105</v>
      </c>
      <c r="AA13" s="50" t="s">
        <v>106</v>
      </c>
      <c r="AD13" s="75"/>
      <c r="AE13" s="75"/>
      <c r="AF13" s="75" t="s">
        <v>105</v>
      </c>
      <c r="AG13" s="75" t="s">
        <v>106</v>
      </c>
    </row>
    <row r="14" spans="1:33" ht="16.5" thickTop="1" thickBot="1" x14ac:dyDescent="0.3">
      <c r="A14" s="49" t="s">
        <v>99</v>
      </c>
      <c r="B14" s="49" t="s">
        <v>100</v>
      </c>
      <c r="C14" s="49" t="s">
        <v>101</v>
      </c>
      <c r="D14" s="49" t="s">
        <v>102</v>
      </c>
      <c r="F14" s="74" t="s">
        <v>99</v>
      </c>
      <c r="G14" s="74" t="s">
        <v>100</v>
      </c>
      <c r="H14" s="74" t="s">
        <v>101</v>
      </c>
      <c r="I14" s="74" t="s">
        <v>102</v>
      </c>
      <c r="K14" s="24" t="s">
        <v>99</v>
      </c>
      <c r="L14" s="24" t="s">
        <v>100</v>
      </c>
      <c r="M14" s="24" t="s">
        <v>101</v>
      </c>
      <c r="N14" s="24" t="s">
        <v>102</v>
      </c>
      <c r="Q14" s="267" t="s">
        <v>107</v>
      </c>
      <c r="R14" s="268"/>
      <c r="S14" s="268"/>
      <c r="T14" s="268"/>
      <c r="U14" s="269"/>
      <c r="X14" s="62">
        <v>150</v>
      </c>
      <c r="Y14" s="170">
        <v>40</v>
      </c>
      <c r="Z14" s="170">
        <f>150/40</f>
        <v>3.75</v>
      </c>
      <c r="AA14" s="210">
        <f>3.75/4*(100)</f>
        <v>93.75</v>
      </c>
      <c r="AD14" s="77">
        <v>200</v>
      </c>
      <c r="AE14" s="170">
        <v>50</v>
      </c>
      <c r="AF14" s="170">
        <f>200/50</f>
        <v>4</v>
      </c>
      <c r="AG14" s="170">
        <f>4/40*(100)</f>
        <v>10</v>
      </c>
    </row>
    <row r="15" spans="1:33" ht="16.5" thickTop="1" thickBot="1" x14ac:dyDescent="0.3">
      <c r="A15" s="50"/>
      <c r="B15" s="50"/>
      <c r="C15" s="50" t="s">
        <v>105</v>
      </c>
      <c r="D15" s="50" t="s">
        <v>106</v>
      </c>
      <c r="F15" s="75"/>
      <c r="G15" s="75"/>
      <c r="H15" s="75" t="s">
        <v>105</v>
      </c>
      <c r="I15" s="75" t="s">
        <v>106</v>
      </c>
      <c r="K15" s="27"/>
      <c r="L15" s="27"/>
      <c r="M15" s="27" t="s">
        <v>105</v>
      </c>
      <c r="N15" s="27" t="s">
        <v>106</v>
      </c>
      <c r="X15" s="62">
        <v>200</v>
      </c>
      <c r="Y15" s="171">
        <v>60</v>
      </c>
      <c r="Z15" s="214">
        <f>200/60</f>
        <v>3.3333333333333335</v>
      </c>
      <c r="AA15" s="211">
        <f>3.3333/4*(100)</f>
        <v>83.332499999999996</v>
      </c>
      <c r="AD15" s="77">
        <v>250</v>
      </c>
      <c r="AE15" s="171">
        <v>60</v>
      </c>
      <c r="AF15" s="214">
        <f>250/60</f>
        <v>4.166666666666667</v>
      </c>
      <c r="AG15" s="211">
        <f>4.1667/40*(100)</f>
        <v>10.41675</v>
      </c>
    </row>
    <row r="16" spans="1:33" ht="15.75" thickTop="1" x14ac:dyDescent="0.25">
      <c r="A16" s="61">
        <v>50</v>
      </c>
      <c r="B16" s="176">
        <v>60</v>
      </c>
      <c r="C16" s="213">
        <f>50/60</f>
        <v>0.83333333333333337</v>
      </c>
      <c r="D16" s="170">
        <f>0.8333*(100)</f>
        <v>83.33</v>
      </c>
      <c r="F16" s="76">
        <v>50</v>
      </c>
      <c r="G16" s="170">
        <v>10</v>
      </c>
      <c r="H16" s="170">
        <f>50/10</f>
        <v>5</v>
      </c>
      <c r="I16" s="170">
        <f>5/5*(100)</f>
        <v>100</v>
      </c>
      <c r="K16" s="91">
        <v>50</v>
      </c>
      <c r="L16" s="170">
        <v>120</v>
      </c>
      <c r="M16" s="213">
        <f>50/120</f>
        <v>0.41666666666666669</v>
      </c>
      <c r="N16" s="170">
        <f>0.4167*(100)</f>
        <v>41.67</v>
      </c>
      <c r="Q16" s="270" t="s">
        <v>108</v>
      </c>
      <c r="R16" s="271"/>
      <c r="S16" s="271"/>
      <c r="T16" s="272"/>
      <c r="X16" s="62">
        <v>250</v>
      </c>
      <c r="Y16" s="171">
        <v>70</v>
      </c>
      <c r="Z16" s="214">
        <f>250/70</f>
        <v>3.5714285714285716</v>
      </c>
      <c r="AA16" s="211">
        <f>3.5714/4*(100)</f>
        <v>89.284999999999997</v>
      </c>
      <c r="AD16" s="77">
        <v>300</v>
      </c>
      <c r="AE16" s="171">
        <v>70</v>
      </c>
      <c r="AF16" s="214">
        <f>300/70</f>
        <v>4.2857142857142856</v>
      </c>
      <c r="AG16" s="211">
        <f>4.2857/40*(100)</f>
        <v>10.71425</v>
      </c>
    </row>
    <row r="17" spans="1:33" ht="15.75" thickBot="1" x14ac:dyDescent="0.3">
      <c r="A17" s="62">
        <v>100</v>
      </c>
      <c r="B17" s="177">
        <v>120</v>
      </c>
      <c r="C17" s="214">
        <f>100/120</f>
        <v>0.83333333333333337</v>
      </c>
      <c r="D17" s="171">
        <f>0.8333*(100)</f>
        <v>83.33</v>
      </c>
      <c r="F17" s="77">
        <v>100</v>
      </c>
      <c r="G17" s="171">
        <v>20</v>
      </c>
      <c r="H17" s="171">
        <f>100/20</f>
        <v>5</v>
      </c>
      <c r="I17" s="171">
        <f>5/5*(100)</f>
        <v>100</v>
      </c>
      <c r="K17" s="92">
        <v>100</v>
      </c>
      <c r="L17" s="171">
        <v>135</v>
      </c>
      <c r="M17" s="214">
        <f>100/135</f>
        <v>0.7407407407407407</v>
      </c>
      <c r="N17" s="171">
        <f>0.7407*(100)</f>
        <v>74.070000000000007</v>
      </c>
      <c r="Q17" s="273" t="s">
        <v>109</v>
      </c>
      <c r="R17" s="274"/>
      <c r="S17" s="274"/>
      <c r="T17" s="275"/>
      <c r="X17" s="62">
        <v>300</v>
      </c>
      <c r="Y17" s="171">
        <v>100</v>
      </c>
      <c r="Z17" s="171">
        <f>300/100</f>
        <v>3</v>
      </c>
      <c r="AA17" s="171">
        <f>3/4*(100)</f>
        <v>75</v>
      </c>
      <c r="AD17" s="77">
        <v>350</v>
      </c>
      <c r="AE17" s="171">
        <v>90</v>
      </c>
      <c r="AF17" s="214">
        <f>350/90</f>
        <v>3.8888888888888888</v>
      </c>
      <c r="AG17" s="211">
        <f>3.8889/40*(100)</f>
        <v>9.7222500000000007</v>
      </c>
    </row>
    <row r="18" spans="1:33" ht="15.75" thickTop="1" x14ac:dyDescent="0.25">
      <c r="A18" s="62">
        <v>150</v>
      </c>
      <c r="B18" s="171">
        <v>172</v>
      </c>
      <c r="C18" s="214">
        <f>150/172</f>
        <v>0.87209302325581395</v>
      </c>
      <c r="D18" s="171">
        <f>0.8721*(100)</f>
        <v>87.21</v>
      </c>
      <c r="F18" s="77">
        <v>150</v>
      </c>
      <c r="G18" s="171">
        <v>28</v>
      </c>
      <c r="H18" s="211">
        <f>150/28</f>
        <v>5.3571428571428568</v>
      </c>
      <c r="I18" s="171">
        <f>5.36/5*(100)</f>
        <v>107.2</v>
      </c>
      <c r="K18" s="92">
        <v>150</v>
      </c>
      <c r="L18" s="171">
        <v>190</v>
      </c>
      <c r="M18" s="214">
        <f>150/190</f>
        <v>0.78947368421052633</v>
      </c>
      <c r="N18" s="171">
        <f>0.7895*(100)</f>
        <v>78.95</v>
      </c>
      <c r="Q18" s="104" t="s">
        <v>99</v>
      </c>
      <c r="R18" s="104" t="s">
        <v>100</v>
      </c>
      <c r="S18" s="104" t="s">
        <v>101</v>
      </c>
      <c r="T18" s="104" t="s">
        <v>102</v>
      </c>
      <c r="X18" s="62">
        <v>350</v>
      </c>
      <c r="Y18" s="171">
        <v>130</v>
      </c>
      <c r="Z18" s="214">
        <f>350/130</f>
        <v>2.6923076923076925</v>
      </c>
      <c r="AA18" s="211">
        <f>2.6923/4*(100)</f>
        <v>67.307500000000005</v>
      </c>
      <c r="AD18" s="77">
        <v>400</v>
      </c>
      <c r="AE18" s="171">
        <v>100</v>
      </c>
      <c r="AF18" s="171">
        <f>400/100</f>
        <v>4</v>
      </c>
      <c r="AG18" s="171">
        <f>4/40*(100)</f>
        <v>10</v>
      </c>
    </row>
    <row r="19" spans="1:33" ht="15.75" thickBot="1" x14ac:dyDescent="0.3">
      <c r="A19" s="62">
        <v>200</v>
      </c>
      <c r="B19" s="171">
        <v>230</v>
      </c>
      <c r="C19" s="214">
        <f>200/230</f>
        <v>0.86956521739130432</v>
      </c>
      <c r="D19" s="171">
        <f>0.8696*(100)</f>
        <v>86.960000000000008</v>
      </c>
      <c r="F19" s="77">
        <v>200</v>
      </c>
      <c r="G19" s="171">
        <v>36</v>
      </c>
      <c r="H19" s="211">
        <f>200/36</f>
        <v>5.5555555555555554</v>
      </c>
      <c r="I19" s="171">
        <f>5.56/5*(100)</f>
        <v>111.19999999999999</v>
      </c>
      <c r="K19" s="92">
        <v>200</v>
      </c>
      <c r="L19" s="171">
        <v>250</v>
      </c>
      <c r="M19" s="171">
        <f>200/250</f>
        <v>0.8</v>
      </c>
      <c r="N19" s="171">
        <f>0.8*(100)</f>
        <v>80</v>
      </c>
      <c r="Q19" s="105"/>
      <c r="R19" s="105"/>
      <c r="S19" s="105" t="s">
        <v>105</v>
      </c>
      <c r="T19" s="105" t="s">
        <v>106</v>
      </c>
      <c r="X19" s="62">
        <v>400</v>
      </c>
      <c r="Y19" s="171">
        <v>140</v>
      </c>
      <c r="Z19" s="214">
        <f>400/140</f>
        <v>2.8571428571428572</v>
      </c>
      <c r="AA19" s="211">
        <f>2.8571/4*(100)</f>
        <v>71.427499999999995</v>
      </c>
      <c r="AD19" s="77">
        <v>450</v>
      </c>
      <c r="AE19" s="171">
        <v>110</v>
      </c>
      <c r="AF19" s="214">
        <f>450/110</f>
        <v>4.0909090909090908</v>
      </c>
      <c r="AG19" s="211">
        <f>4.0909/40*(100)</f>
        <v>10.227250000000002</v>
      </c>
    </row>
    <row r="20" spans="1:33" ht="16.5" thickTop="1" thickBot="1" x14ac:dyDescent="0.3">
      <c r="A20" s="62">
        <v>250</v>
      </c>
      <c r="B20" s="171">
        <v>282</v>
      </c>
      <c r="C20" s="214">
        <f>250/282</f>
        <v>0.88652482269503541</v>
      </c>
      <c r="D20" s="171">
        <f>0.8865*(100)</f>
        <v>88.649999999999991</v>
      </c>
      <c r="F20" s="77">
        <v>250</v>
      </c>
      <c r="G20" s="171">
        <v>50</v>
      </c>
      <c r="H20" s="171">
        <f>250/50</f>
        <v>5</v>
      </c>
      <c r="I20" s="171">
        <f>5/5*(100)</f>
        <v>100</v>
      </c>
      <c r="K20" s="92">
        <v>250</v>
      </c>
      <c r="L20" s="171">
        <v>299</v>
      </c>
      <c r="M20" s="214">
        <f>250/299</f>
        <v>0.83612040133779264</v>
      </c>
      <c r="N20" s="171">
        <f>0.8361*(100)</f>
        <v>83.61</v>
      </c>
      <c r="Q20" s="106">
        <v>50</v>
      </c>
      <c r="R20" s="170">
        <v>40</v>
      </c>
      <c r="S20" s="170">
        <f>50/40</f>
        <v>1.25</v>
      </c>
      <c r="T20" s="210">
        <f>1.25/2.143*(100)</f>
        <v>58.329444703686427</v>
      </c>
      <c r="X20" s="63">
        <v>450</v>
      </c>
      <c r="Y20" s="172">
        <v>150</v>
      </c>
      <c r="Z20" s="172">
        <f>450/150</f>
        <v>3</v>
      </c>
      <c r="AA20" s="172">
        <f>3/4*(100)</f>
        <v>75</v>
      </c>
      <c r="AD20" s="78">
        <v>500</v>
      </c>
      <c r="AE20" s="172">
        <v>120</v>
      </c>
      <c r="AF20" s="215">
        <f>500/120</f>
        <v>4.166666666666667</v>
      </c>
      <c r="AG20" s="212">
        <f>4.1667/40*(100)</f>
        <v>10.41675</v>
      </c>
    </row>
    <row r="21" spans="1:33" ht="15.75" thickTop="1" x14ac:dyDescent="0.25">
      <c r="A21" s="62">
        <v>300</v>
      </c>
      <c r="B21" s="171">
        <v>349</v>
      </c>
      <c r="C21" s="214">
        <f>300/349</f>
        <v>0.85959885386819479</v>
      </c>
      <c r="D21" s="171">
        <f>0.8596*(100)</f>
        <v>85.960000000000008</v>
      </c>
      <c r="F21" s="77">
        <v>300</v>
      </c>
      <c r="G21" s="171">
        <v>60</v>
      </c>
      <c r="H21" s="171">
        <f>300/60</f>
        <v>5</v>
      </c>
      <c r="I21" s="171">
        <f>5/5*(100)</f>
        <v>100</v>
      </c>
      <c r="K21" s="92">
        <v>300</v>
      </c>
      <c r="L21" s="171">
        <v>350</v>
      </c>
      <c r="M21" s="214">
        <f>300/350</f>
        <v>0.8571428571428571</v>
      </c>
      <c r="N21" s="171">
        <f>0.8571*(100)</f>
        <v>85.71</v>
      </c>
      <c r="Q21" s="107">
        <v>100</v>
      </c>
      <c r="R21" s="171">
        <v>60</v>
      </c>
      <c r="S21" s="214">
        <f>100/60</f>
        <v>1.6666666666666667</v>
      </c>
      <c r="T21" s="211">
        <f>1.6667/2.143*(100)</f>
        <v>77.774148390107328</v>
      </c>
    </row>
    <row r="22" spans="1:33" x14ac:dyDescent="0.25">
      <c r="A22" s="62">
        <v>350</v>
      </c>
      <c r="B22" s="171">
        <v>395</v>
      </c>
      <c r="C22" s="214">
        <f>350/395</f>
        <v>0.88607594936708856</v>
      </c>
      <c r="D22" s="171">
        <f>0.8861*(100)</f>
        <v>88.61</v>
      </c>
      <c r="F22" s="77">
        <v>350</v>
      </c>
      <c r="G22" s="171">
        <v>70</v>
      </c>
      <c r="H22" s="171">
        <f>350/70</f>
        <v>5</v>
      </c>
      <c r="I22" s="171">
        <f>5/5*(100)</f>
        <v>100</v>
      </c>
      <c r="K22" s="92">
        <v>350</v>
      </c>
      <c r="L22" s="171">
        <v>420</v>
      </c>
      <c r="M22" s="214">
        <f>350/420</f>
        <v>0.83333333333333337</v>
      </c>
      <c r="N22" s="171">
        <f>0.8333*(100)</f>
        <v>83.33</v>
      </c>
      <c r="Q22" s="107">
        <v>150</v>
      </c>
      <c r="R22" s="171">
        <v>90</v>
      </c>
      <c r="S22" s="214">
        <f>150/90</f>
        <v>1.6666666666666667</v>
      </c>
      <c r="T22" s="211">
        <f>1.6667/2.143*(100)</f>
        <v>77.774148390107328</v>
      </c>
      <c r="X22" s="1" t="s">
        <v>110</v>
      </c>
      <c r="AD22" s="1" t="s">
        <v>110</v>
      </c>
    </row>
    <row r="23" spans="1:33" ht="15.75" thickBot="1" x14ac:dyDescent="0.3">
      <c r="A23" s="63">
        <v>400</v>
      </c>
      <c r="B23" s="172">
        <v>459</v>
      </c>
      <c r="C23" s="215">
        <f>400/459</f>
        <v>0.8714596949891068</v>
      </c>
      <c r="D23" s="172">
        <f>0.8715*(100)</f>
        <v>87.15</v>
      </c>
      <c r="F23" s="78">
        <v>400</v>
      </c>
      <c r="G23" s="172">
        <v>80</v>
      </c>
      <c r="H23" s="172">
        <f>400/80</f>
        <v>5</v>
      </c>
      <c r="I23" s="172">
        <f>5/5*(100)</f>
        <v>100</v>
      </c>
      <c r="K23" s="93">
        <v>400</v>
      </c>
      <c r="L23" s="172">
        <v>470</v>
      </c>
      <c r="M23" s="215">
        <f>400/470</f>
        <v>0.85106382978723405</v>
      </c>
      <c r="N23" s="172">
        <f>0.8511*(100)</f>
        <v>85.11</v>
      </c>
      <c r="Q23" s="107">
        <v>200</v>
      </c>
      <c r="R23" s="171">
        <v>120</v>
      </c>
      <c r="S23" s="214">
        <f>200/120</f>
        <v>1.6666666666666667</v>
      </c>
      <c r="T23" s="211">
        <f>1.6667/2.143*(100)</f>
        <v>77.774148390107328</v>
      </c>
      <c r="X23" s="1" t="s">
        <v>111</v>
      </c>
      <c r="AD23" s="1" t="s">
        <v>111</v>
      </c>
    </row>
    <row r="24" spans="1:33" ht="15.75" thickTop="1" x14ac:dyDescent="0.25">
      <c r="Q24" s="107">
        <v>250</v>
      </c>
      <c r="R24" s="171">
        <v>140</v>
      </c>
      <c r="S24" s="214">
        <f>250/140</f>
        <v>1.7857142857142858</v>
      </c>
      <c r="T24" s="211">
        <f>1.7857/2.143*(100)</f>
        <v>83.327111525898289</v>
      </c>
    </row>
    <row r="25" spans="1:33" x14ac:dyDescent="0.25">
      <c r="A25" s="1" t="s">
        <v>110</v>
      </c>
      <c r="F25" s="1" t="s">
        <v>110</v>
      </c>
      <c r="K25" s="1" t="s">
        <v>110</v>
      </c>
      <c r="Q25" s="107">
        <v>300</v>
      </c>
      <c r="R25" s="171">
        <v>160</v>
      </c>
      <c r="S25" s="171">
        <f>300/160</f>
        <v>1.875</v>
      </c>
      <c r="T25" s="211">
        <f>1.875/2.143*(100)</f>
        <v>87.49416705552963</v>
      </c>
    </row>
    <row r="26" spans="1:33" x14ac:dyDescent="0.25">
      <c r="A26" s="1" t="s">
        <v>111</v>
      </c>
      <c r="F26" s="1" t="s">
        <v>111</v>
      </c>
      <c r="K26" s="1" t="s">
        <v>111</v>
      </c>
      <c r="Q26" s="107">
        <v>350</v>
      </c>
      <c r="R26" s="171">
        <v>190</v>
      </c>
      <c r="S26" s="214">
        <f>350/190</f>
        <v>1.8421052631578947</v>
      </c>
      <c r="T26" s="211">
        <f>1.8421/2.143*(100)</f>
        <v>85.958936070928615</v>
      </c>
    </row>
    <row r="27" spans="1:33" ht="15.75" thickBot="1" x14ac:dyDescent="0.3">
      <c r="Q27" s="108">
        <v>400</v>
      </c>
      <c r="R27" s="172">
        <v>220</v>
      </c>
      <c r="S27" s="215">
        <f>400/220</f>
        <v>1.8181818181818181</v>
      </c>
      <c r="T27" s="212">
        <f>1.8182/2.143*(100)</f>
        <v>84.843677088194127</v>
      </c>
      <c r="W27" s="180"/>
    </row>
    <row r="28" spans="1:33" ht="15.75" thickTop="1" x14ac:dyDescent="0.25"/>
    <row r="29" spans="1:33" x14ac:dyDescent="0.25">
      <c r="Q29" s="1" t="s">
        <v>110</v>
      </c>
    </row>
    <row r="30" spans="1:33" x14ac:dyDescent="0.25">
      <c r="Q30" s="1" t="s">
        <v>111</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workbookViewId="0">
      <selection activeCell="F27" sqref="F27"/>
    </sheetView>
  </sheetViews>
  <sheetFormatPr defaultRowHeight="15" x14ac:dyDescent="0.25"/>
  <cols>
    <col min="4" max="4" width="15.140625" bestFit="1" customWidth="1"/>
    <col min="5" max="5" width="13.42578125" bestFit="1" customWidth="1"/>
    <col min="6" max="6" width="14.85546875" bestFit="1" customWidth="1"/>
  </cols>
  <sheetData>
    <row r="1" spans="1:15" x14ac:dyDescent="0.25">
      <c r="A1" s="1" t="s">
        <v>112</v>
      </c>
    </row>
    <row r="2" spans="1:15" ht="15.75" thickBot="1" x14ac:dyDescent="0.3"/>
    <row r="3" spans="1:15" ht="37.5" customHeight="1" thickTop="1" thickBot="1" x14ac:dyDescent="0.3">
      <c r="A3" s="190" t="s">
        <v>113</v>
      </c>
      <c r="B3" s="145" t="s">
        <v>114</v>
      </c>
      <c r="C3" s="191" t="s">
        <v>115</v>
      </c>
      <c r="D3" s="145" t="s">
        <v>116</v>
      </c>
      <c r="E3" s="145" t="s">
        <v>117</v>
      </c>
      <c r="F3" s="145" t="s">
        <v>118</v>
      </c>
      <c r="G3" s="145" t="s">
        <v>119</v>
      </c>
      <c r="I3" s="144" t="s">
        <v>120</v>
      </c>
      <c r="J3" s="144" t="s">
        <v>114</v>
      </c>
      <c r="K3" s="193" t="s">
        <v>115</v>
      </c>
      <c r="L3" s="144" t="s">
        <v>116</v>
      </c>
      <c r="M3" s="144" t="s">
        <v>117</v>
      </c>
      <c r="N3" s="144" t="s">
        <v>118</v>
      </c>
      <c r="O3" s="144" t="s">
        <v>119</v>
      </c>
    </row>
    <row r="4" spans="1:15" ht="16.5" thickTop="1" thickBot="1" x14ac:dyDescent="0.3">
      <c r="B4" s="145" t="s">
        <v>121</v>
      </c>
      <c r="C4" s="145"/>
      <c r="D4" s="145" t="s">
        <v>122</v>
      </c>
      <c r="E4" s="145" t="s">
        <v>122</v>
      </c>
      <c r="F4" s="145" t="s">
        <v>122</v>
      </c>
      <c r="G4" s="145"/>
      <c r="J4" s="144" t="s">
        <v>121</v>
      </c>
      <c r="K4" s="144"/>
      <c r="L4" s="144" t="s">
        <v>122</v>
      </c>
      <c r="M4" s="144" t="s">
        <v>122</v>
      </c>
      <c r="N4" s="144" t="s">
        <v>122</v>
      </c>
      <c r="O4" s="144"/>
    </row>
    <row r="5" spans="1:15" ht="15.75" thickTop="1" x14ac:dyDescent="0.25">
      <c r="B5" s="192">
        <v>0.5</v>
      </c>
      <c r="C5" s="187"/>
      <c r="D5" s="187"/>
      <c r="E5" s="187"/>
      <c r="F5" s="187"/>
      <c r="G5" s="187"/>
      <c r="J5" s="194">
        <v>0.5</v>
      </c>
      <c r="K5" s="187"/>
      <c r="L5" s="187"/>
      <c r="M5" s="187"/>
      <c r="N5" s="187"/>
      <c r="O5" s="187"/>
    </row>
    <row r="6" spans="1:15" x14ac:dyDescent="0.25">
      <c r="B6" s="62">
        <v>0.45</v>
      </c>
      <c r="C6" s="188"/>
      <c r="D6" s="188"/>
      <c r="E6" s="188"/>
      <c r="F6" s="188"/>
      <c r="G6" s="188"/>
      <c r="J6" s="77">
        <v>0.45</v>
      </c>
      <c r="K6" s="188"/>
      <c r="L6" s="188"/>
      <c r="M6" s="188"/>
      <c r="N6" s="188"/>
      <c r="O6" s="188"/>
    </row>
    <row r="7" spans="1:15" x14ac:dyDescent="0.25">
      <c r="B7" s="62">
        <v>0.4</v>
      </c>
      <c r="C7" s="188"/>
      <c r="D7" s="188"/>
      <c r="E7" s="188"/>
      <c r="F7" s="188"/>
      <c r="G7" s="188"/>
      <c r="J7" s="77">
        <v>0.4</v>
      </c>
      <c r="K7" s="188"/>
      <c r="L7" s="188"/>
      <c r="M7" s="188"/>
      <c r="N7" s="188"/>
      <c r="O7" s="188"/>
    </row>
    <row r="8" spans="1:15" x14ac:dyDescent="0.25">
      <c r="B8" s="62">
        <v>0.35</v>
      </c>
      <c r="C8" s="188"/>
      <c r="D8" s="188"/>
      <c r="E8" s="188"/>
      <c r="F8" s="188"/>
      <c r="G8" s="188"/>
      <c r="J8" s="77">
        <v>0.35</v>
      </c>
      <c r="K8" s="188"/>
      <c r="L8" s="188"/>
      <c r="M8" s="188"/>
      <c r="N8" s="188"/>
      <c r="O8" s="188"/>
    </row>
    <row r="9" spans="1:15" x14ac:dyDescent="0.25">
      <c r="B9" s="62">
        <v>0.3</v>
      </c>
      <c r="C9" s="188"/>
      <c r="D9" s="188"/>
      <c r="E9" s="188"/>
      <c r="F9" s="188"/>
      <c r="G9" s="188"/>
      <c r="J9" s="77">
        <v>0.3</v>
      </c>
      <c r="K9" s="188"/>
      <c r="L9" s="188"/>
      <c r="M9" s="188"/>
      <c r="N9" s="188"/>
      <c r="O9" s="188"/>
    </row>
    <row r="10" spans="1:15" x14ac:dyDescent="0.25">
      <c r="B10" s="62">
        <v>0.25</v>
      </c>
      <c r="C10" s="188"/>
      <c r="D10" s="188"/>
      <c r="E10" s="188"/>
      <c r="F10" s="188"/>
      <c r="G10" s="188"/>
      <c r="J10" s="77">
        <v>0.25</v>
      </c>
      <c r="K10" s="188"/>
      <c r="L10" s="188"/>
      <c r="M10" s="188"/>
      <c r="N10" s="188"/>
      <c r="O10" s="188"/>
    </row>
    <row r="11" spans="1:15" ht="15.75" thickBot="1" x14ac:dyDescent="0.3">
      <c r="B11" s="63">
        <v>0.2</v>
      </c>
      <c r="C11" s="189"/>
      <c r="D11" s="189"/>
      <c r="E11" s="189"/>
      <c r="F11" s="189"/>
      <c r="G11" s="189"/>
      <c r="J11" s="78">
        <v>0.2</v>
      </c>
      <c r="K11" s="189"/>
      <c r="L11" s="189"/>
      <c r="M11" s="189"/>
      <c r="N11" s="189"/>
      <c r="O11" s="189"/>
    </row>
    <row r="12" spans="1:15" ht="15.75" thickTop="1" x14ac:dyDescent="0.25"/>
    <row r="14" spans="1:15" x14ac:dyDescent="0.25">
      <c r="B14" s="1" t="s">
        <v>123</v>
      </c>
      <c r="C14" s="1"/>
      <c r="D14" s="1"/>
    </row>
    <row r="15" spans="1:15" x14ac:dyDescent="0.25">
      <c r="B15" s="1" t="s">
        <v>124</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zoomScale="48" zoomScaleNormal="48" workbookViewId="0">
      <selection activeCell="AM13" sqref="AM13"/>
    </sheetView>
  </sheetViews>
  <sheetFormatPr defaultRowHeight="15" x14ac:dyDescent="0.25"/>
  <sheetData>
    <row r="1" spans="1:47" x14ac:dyDescent="0.25">
      <c r="A1" s="1" t="s">
        <v>125</v>
      </c>
    </row>
    <row r="2" spans="1:47" x14ac:dyDescent="0.25">
      <c r="A2" s="1"/>
    </row>
    <row r="3" spans="1:47" x14ac:dyDescent="0.25">
      <c r="A3" s="1" t="s">
        <v>126</v>
      </c>
      <c r="K3" s="1" t="s">
        <v>144</v>
      </c>
      <c r="P3" s="1" t="s">
        <v>127</v>
      </c>
    </row>
    <row r="4" spans="1:47" ht="15.75" thickBot="1" x14ac:dyDescent="0.3">
      <c r="A4" s="1" t="s">
        <v>82</v>
      </c>
      <c r="F4" s="1" t="s">
        <v>83</v>
      </c>
      <c r="K4" s="1" t="s">
        <v>128</v>
      </c>
      <c r="AJ4" t="s">
        <v>51</v>
      </c>
    </row>
    <row r="5" spans="1:47" ht="15.75" thickBot="1" x14ac:dyDescent="0.3">
      <c r="A5" s="125" t="s">
        <v>129</v>
      </c>
      <c r="B5" s="126" t="s">
        <v>130</v>
      </c>
      <c r="C5" s="126" t="s">
        <v>131</v>
      </c>
      <c r="D5" s="127" t="s">
        <v>132</v>
      </c>
      <c r="F5" s="132" t="s">
        <v>129</v>
      </c>
      <c r="G5" s="133" t="s">
        <v>130</v>
      </c>
      <c r="H5" s="133" t="s">
        <v>131</v>
      </c>
      <c r="I5" s="134" t="s">
        <v>132</v>
      </c>
      <c r="K5" s="139" t="s">
        <v>129</v>
      </c>
      <c r="L5" s="140" t="s">
        <v>130</v>
      </c>
      <c r="M5" s="140" t="s">
        <v>131</v>
      </c>
      <c r="N5" s="141" t="s">
        <v>132</v>
      </c>
      <c r="P5" s="276" t="s">
        <v>133</v>
      </c>
      <c r="Q5" s="277"/>
      <c r="R5" s="277"/>
      <c r="S5" s="278"/>
      <c r="U5" s="276" t="s">
        <v>134</v>
      </c>
      <c r="V5" s="277"/>
      <c r="W5" s="277"/>
      <c r="X5" s="278"/>
      <c r="Z5" s="276" t="s">
        <v>135</v>
      </c>
      <c r="AA5" s="277"/>
      <c r="AB5" s="277"/>
      <c r="AC5" s="278"/>
      <c r="AE5" s="276" t="s">
        <v>136</v>
      </c>
      <c r="AF5" s="277"/>
      <c r="AG5" s="277"/>
      <c r="AH5" s="278"/>
      <c r="AJ5" s="139">
        <v>1</v>
      </c>
      <c r="AK5" s="282" t="s">
        <v>137</v>
      </c>
      <c r="AL5" s="259"/>
      <c r="AM5" s="259"/>
      <c r="AN5" s="259"/>
      <c r="AO5" s="259"/>
      <c r="AP5" s="259"/>
      <c r="AQ5" s="259"/>
      <c r="AR5" s="259"/>
      <c r="AS5" s="259"/>
      <c r="AT5" s="259"/>
      <c r="AU5" s="260"/>
    </row>
    <row r="6" spans="1:47" ht="15.75" thickBot="1" x14ac:dyDescent="0.3">
      <c r="A6" s="128" t="s">
        <v>45</v>
      </c>
      <c r="B6" s="129" t="s">
        <v>45</v>
      </c>
      <c r="C6" s="129"/>
      <c r="D6" s="130" t="s">
        <v>138</v>
      </c>
      <c r="F6" s="135" t="s">
        <v>45</v>
      </c>
      <c r="G6" s="136" t="s">
        <v>45</v>
      </c>
      <c r="H6" s="136"/>
      <c r="I6" s="137" t="s">
        <v>138</v>
      </c>
      <c r="K6" s="118" t="s">
        <v>45</v>
      </c>
      <c r="L6" s="142" t="s">
        <v>45</v>
      </c>
      <c r="M6" s="142"/>
      <c r="N6" s="143" t="s">
        <v>138</v>
      </c>
      <c r="P6" s="110" t="s">
        <v>129</v>
      </c>
      <c r="Q6" s="111" t="s">
        <v>130</v>
      </c>
      <c r="R6" s="111" t="s">
        <v>131</v>
      </c>
      <c r="S6" s="112" t="s">
        <v>132</v>
      </c>
      <c r="U6" s="110" t="s">
        <v>129</v>
      </c>
      <c r="V6" s="111" t="s">
        <v>130</v>
      </c>
      <c r="W6" s="111" t="s">
        <v>131</v>
      </c>
      <c r="X6" s="112" t="s">
        <v>132</v>
      </c>
      <c r="Z6" s="110" t="s">
        <v>129</v>
      </c>
      <c r="AA6" s="111" t="s">
        <v>130</v>
      </c>
      <c r="AB6" s="111" t="s">
        <v>131</v>
      </c>
      <c r="AC6" s="112" t="s">
        <v>132</v>
      </c>
      <c r="AE6" s="110" t="s">
        <v>129</v>
      </c>
      <c r="AF6" s="111" t="s">
        <v>130</v>
      </c>
      <c r="AG6" s="111" t="s">
        <v>131</v>
      </c>
      <c r="AH6" s="112" t="s">
        <v>132</v>
      </c>
      <c r="AJ6" s="117" t="s">
        <v>53</v>
      </c>
      <c r="AK6" s="283" t="s">
        <v>148</v>
      </c>
      <c r="AL6" s="284"/>
      <c r="AM6" s="284"/>
      <c r="AN6" s="284"/>
      <c r="AO6" s="284"/>
      <c r="AP6" s="284"/>
      <c r="AQ6" s="284"/>
      <c r="AR6" s="284"/>
      <c r="AS6" s="284"/>
      <c r="AT6" s="284"/>
      <c r="AU6" s="285"/>
    </row>
    <row r="7" spans="1:47" ht="15.75" thickBot="1" x14ac:dyDescent="0.3">
      <c r="A7" s="125">
        <v>50</v>
      </c>
      <c r="B7" s="184">
        <v>30</v>
      </c>
      <c r="C7" s="216">
        <f>50/30</f>
        <v>1.6666666666666667</v>
      </c>
      <c r="D7" s="218">
        <f>1.6667/3*(100)</f>
        <v>55.556666666666665</v>
      </c>
      <c r="F7" s="132">
        <v>50</v>
      </c>
      <c r="G7" s="184">
        <v>20</v>
      </c>
      <c r="H7" s="184">
        <f>50/20</f>
        <v>2.5</v>
      </c>
      <c r="I7" s="218">
        <f>2.5/12*(100)</f>
        <v>20.833333333333336</v>
      </c>
      <c r="K7" s="139">
        <v>50</v>
      </c>
      <c r="L7" s="184">
        <v>70</v>
      </c>
      <c r="M7" s="216">
        <f>50/70</f>
        <v>0.7142857142857143</v>
      </c>
      <c r="N7" s="218">
        <f>0.7143/50.3*(100)</f>
        <v>1.4200795228628234</v>
      </c>
      <c r="P7" s="114" t="s">
        <v>45</v>
      </c>
      <c r="Q7" s="115" t="s">
        <v>45</v>
      </c>
      <c r="R7" s="115"/>
      <c r="S7" s="116" t="s">
        <v>138</v>
      </c>
      <c r="U7" s="114" t="s">
        <v>45</v>
      </c>
      <c r="V7" s="115" t="s">
        <v>45</v>
      </c>
      <c r="W7" s="115"/>
      <c r="X7" s="116" t="s">
        <v>138</v>
      </c>
      <c r="Z7" s="114" t="s">
        <v>45</v>
      </c>
      <c r="AA7" s="115" t="s">
        <v>45</v>
      </c>
      <c r="AB7" s="115"/>
      <c r="AC7" s="116" t="s">
        <v>138</v>
      </c>
      <c r="AE7" s="114" t="s">
        <v>45</v>
      </c>
      <c r="AF7" s="115" t="s">
        <v>45</v>
      </c>
      <c r="AG7" s="115"/>
      <c r="AH7" s="116" t="s">
        <v>138</v>
      </c>
      <c r="AJ7" s="117">
        <v>2</v>
      </c>
      <c r="AK7" s="286" t="s">
        <v>139</v>
      </c>
      <c r="AL7" s="262"/>
      <c r="AM7" s="262"/>
      <c r="AN7" s="262"/>
      <c r="AO7" s="262"/>
      <c r="AP7" s="262"/>
      <c r="AQ7" s="262"/>
      <c r="AR7" s="262"/>
      <c r="AS7" s="262"/>
      <c r="AT7" s="262"/>
      <c r="AU7" s="263"/>
    </row>
    <row r="8" spans="1:47" x14ac:dyDescent="0.25">
      <c r="A8" s="131">
        <v>100</v>
      </c>
      <c r="B8" s="146">
        <v>75</v>
      </c>
      <c r="C8" s="207">
        <f>100/75</f>
        <v>1.3333333333333333</v>
      </c>
      <c r="D8" s="219">
        <f>1.3333/3*(100)</f>
        <v>44.443333333333328</v>
      </c>
      <c r="F8" s="138">
        <v>100</v>
      </c>
      <c r="G8" s="146">
        <v>30</v>
      </c>
      <c r="H8" s="207">
        <f>100/30</f>
        <v>3.3333333333333335</v>
      </c>
      <c r="I8" s="219">
        <f>3.3333/12*(100)</f>
        <v>27.7775</v>
      </c>
      <c r="K8" s="117">
        <v>100</v>
      </c>
      <c r="L8" s="146">
        <v>90</v>
      </c>
      <c r="M8" s="207">
        <f>100/90</f>
        <v>1.1111111111111112</v>
      </c>
      <c r="N8" s="219">
        <f>1.1111/50.3*(100)</f>
        <v>2.2089463220675944</v>
      </c>
      <c r="P8" s="110">
        <v>50</v>
      </c>
      <c r="Q8" s="184">
        <v>60</v>
      </c>
      <c r="R8" s="216">
        <f>50/60</f>
        <v>0.83333333333333337</v>
      </c>
      <c r="S8" s="185">
        <f>0.8333/1*(100)</f>
        <v>83.33</v>
      </c>
      <c r="U8" s="110">
        <v>50</v>
      </c>
      <c r="V8" s="184">
        <v>70</v>
      </c>
      <c r="W8" s="216">
        <f>50/70</f>
        <v>0.7142857142857143</v>
      </c>
      <c r="X8" s="185">
        <f>0.7143/1*(100)</f>
        <v>71.430000000000007</v>
      </c>
      <c r="Z8" s="110">
        <v>50</v>
      </c>
      <c r="AA8" s="184">
        <v>70</v>
      </c>
      <c r="AB8" s="216">
        <f>50/70</f>
        <v>0.7142857142857143</v>
      </c>
      <c r="AC8" s="185">
        <f>0.7143/1*(100)</f>
        <v>71.430000000000007</v>
      </c>
      <c r="AE8" s="110">
        <v>50</v>
      </c>
      <c r="AF8" s="146">
        <v>58</v>
      </c>
      <c r="AG8" s="216">
        <f>50/58</f>
        <v>0.86206896551724133</v>
      </c>
      <c r="AH8" s="185">
        <f>0.8621/1*(100)</f>
        <v>86.21</v>
      </c>
      <c r="AJ8" s="117" t="s">
        <v>53</v>
      </c>
      <c r="AK8" s="283" t="s">
        <v>149</v>
      </c>
      <c r="AL8" s="284"/>
      <c r="AM8" s="284"/>
      <c r="AN8" s="284"/>
      <c r="AO8" s="284"/>
      <c r="AP8" s="284"/>
      <c r="AQ8" s="284"/>
      <c r="AR8" s="284"/>
      <c r="AS8" s="284"/>
      <c r="AT8" s="284"/>
      <c r="AU8" s="285"/>
    </row>
    <row r="9" spans="1:47" x14ac:dyDescent="0.25">
      <c r="A9" s="131">
        <v>150</v>
      </c>
      <c r="B9" s="146">
        <v>82</v>
      </c>
      <c r="C9" s="207">
        <f>150/82</f>
        <v>1.8292682926829269</v>
      </c>
      <c r="D9" s="219">
        <f>1.8293/3*(100)</f>
        <v>60.976666666666667</v>
      </c>
      <c r="F9" s="138">
        <v>150</v>
      </c>
      <c r="G9" s="146">
        <v>40</v>
      </c>
      <c r="H9" s="146">
        <f>150/40</f>
        <v>3.75</v>
      </c>
      <c r="I9" s="219">
        <f>3.75/12*(100)</f>
        <v>31.25</v>
      </c>
      <c r="K9" s="117">
        <v>150</v>
      </c>
      <c r="L9" s="146">
        <v>100</v>
      </c>
      <c r="M9" s="146">
        <f>150/100</f>
        <v>1.5</v>
      </c>
      <c r="N9" s="219">
        <f>1.5/50.3*(100)</f>
        <v>2.9821073558648115</v>
      </c>
      <c r="P9" s="113">
        <v>100</v>
      </c>
      <c r="Q9" s="146">
        <v>110</v>
      </c>
      <c r="R9" s="207">
        <f>100/110</f>
        <v>0.90909090909090906</v>
      </c>
      <c r="S9" s="147">
        <f>0.9091/1*(100)</f>
        <v>90.91</v>
      </c>
      <c r="U9" s="113">
        <v>100</v>
      </c>
      <c r="V9" s="146">
        <v>120</v>
      </c>
      <c r="W9" s="207">
        <f>100/120</f>
        <v>0.83333333333333337</v>
      </c>
      <c r="X9" s="147">
        <f>0.8333/1*(100)</f>
        <v>83.33</v>
      </c>
      <c r="Z9" s="113">
        <v>100</v>
      </c>
      <c r="AA9" s="146">
        <v>120</v>
      </c>
      <c r="AB9" s="207">
        <f>100/120</f>
        <v>0.83333333333333337</v>
      </c>
      <c r="AC9" s="147">
        <f>0.8333/1*(100)</f>
        <v>83.33</v>
      </c>
      <c r="AE9" s="113">
        <v>100</v>
      </c>
      <c r="AF9" s="221">
        <v>110</v>
      </c>
      <c r="AG9" s="207">
        <f>100/110</f>
        <v>0.90909090909090906</v>
      </c>
      <c r="AH9" s="147">
        <f>0.9091/1*(100)</f>
        <v>90.91</v>
      </c>
      <c r="AJ9" s="117">
        <v>3</v>
      </c>
      <c r="AK9" s="286" t="s">
        <v>140</v>
      </c>
      <c r="AL9" s="262"/>
      <c r="AM9" s="262"/>
      <c r="AN9" s="262"/>
      <c r="AO9" s="262"/>
      <c r="AP9" s="262"/>
      <c r="AQ9" s="262"/>
      <c r="AR9" s="262"/>
      <c r="AS9" s="262"/>
      <c r="AT9" s="262"/>
      <c r="AU9" s="263"/>
    </row>
    <row r="10" spans="1:47" ht="15.75" thickBot="1" x14ac:dyDescent="0.3">
      <c r="A10" s="131">
        <v>200</v>
      </c>
      <c r="B10" s="146">
        <v>120</v>
      </c>
      <c r="C10" s="207">
        <f>200/120</f>
        <v>1.6666666666666667</v>
      </c>
      <c r="D10" s="219">
        <f>1.6667/3*(100)</f>
        <v>55.556666666666665</v>
      </c>
      <c r="F10" s="138">
        <v>200</v>
      </c>
      <c r="G10" s="146">
        <v>50</v>
      </c>
      <c r="H10" s="146">
        <f>200/50</f>
        <v>4</v>
      </c>
      <c r="I10" s="219">
        <f>4/12*(100)</f>
        <v>33.333333333333329</v>
      </c>
      <c r="K10" s="117">
        <v>200</v>
      </c>
      <c r="L10" s="146">
        <v>110</v>
      </c>
      <c r="M10" s="207">
        <f>200/110</f>
        <v>1.8181818181818181</v>
      </c>
      <c r="N10" s="219">
        <f>1.8182/50.3*(100)</f>
        <v>3.6147117296222664</v>
      </c>
      <c r="P10" s="113">
        <v>150</v>
      </c>
      <c r="Q10" s="146">
        <v>160</v>
      </c>
      <c r="R10" s="207">
        <f>150/160</f>
        <v>0.9375</v>
      </c>
      <c r="S10" s="147">
        <f>0.9375/1*(100)</f>
        <v>93.75</v>
      </c>
      <c r="U10" s="113">
        <v>150</v>
      </c>
      <c r="V10" s="146">
        <v>180</v>
      </c>
      <c r="W10" s="207">
        <f>150/180</f>
        <v>0.83333333333333337</v>
      </c>
      <c r="X10" s="147">
        <f>0.8333/1*(100)</f>
        <v>83.33</v>
      </c>
      <c r="Z10" s="113">
        <v>150</v>
      </c>
      <c r="AA10" s="146">
        <v>180</v>
      </c>
      <c r="AB10" s="207">
        <f>150/180</f>
        <v>0.83333333333333337</v>
      </c>
      <c r="AC10" s="147">
        <f>0.8333/1*(100)</f>
        <v>83.33</v>
      </c>
      <c r="AE10" s="113">
        <v>150</v>
      </c>
      <c r="AF10" s="146">
        <v>170</v>
      </c>
      <c r="AG10" s="207">
        <f>150/170</f>
        <v>0.88235294117647056</v>
      </c>
      <c r="AH10" s="147">
        <f>0.8824/1*(100)</f>
        <v>88.24</v>
      </c>
      <c r="AJ10" s="118" t="s">
        <v>53</v>
      </c>
      <c r="AK10" s="287" t="s">
        <v>150</v>
      </c>
      <c r="AL10" s="288"/>
      <c r="AM10" s="288"/>
      <c r="AN10" s="288"/>
      <c r="AO10" s="288"/>
      <c r="AP10" s="288"/>
      <c r="AQ10" s="288"/>
      <c r="AR10" s="288"/>
      <c r="AS10" s="288"/>
      <c r="AT10" s="288"/>
      <c r="AU10" s="289"/>
    </row>
    <row r="11" spans="1:47" x14ac:dyDescent="0.25">
      <c r="A11" s="131">
        <v>250</v>
      </c>
      <c r="B11" s="146">
        <v>160</v>
      </c>
      <c r="C11" s="207">
        <f>250/160</f>
        <v>1.5625</v>
      </c>
      <c r="D11" s="219">
        <f>1.5626/3*(100)</f>
        <v>52.086666666666673</v>
      </c>
      <c r="F11" s="138">
        <v>250</v>
      </c>
      <c r="G11" s="146">
        <v>60</v>
      </c>
      <c r="H11" s="207">
        <f>250/60</f>
        <v>4.166666666666667</v>
      </c>
      <c r="I11" s="219">
        <f>4.1667/12*(100)</f>
        <v>34.722499999999997</v>
      </c>
      <c r="K11" s="117">
        <v>250</v>
      </c>
      <c r="L11" s="146">
        <v>130</v>
      </c>
      <c r="M11" s="207">
        <f>250/130</f>
        <v>1.9230769230769231</v>
      </c>
      <c r="N11" s="219">
        <f>1.9231/50.3*(100)</f>
        <v>3.8232604373757457</v>
      </c>
      <c r="P11" s="113">
        <v>200</v>
      </c>
      <c r="Q11" s="146">
        <v>210</v>
      </c>
      <c r="R11" s="207">
        <f>200/210</f>
        <v>0.95238095238095233</v>
      </c>
      <c r="S11" s="147">
        <f>0.9524/1*(100)</f>
        <v>95.240000000000009</v>
      </c>
      <c r="U11" s="113">
        <v>200</v>
      </c>
      <c r="V11" s="146">
        <v>250</v>
      </c>
      <c r="W11" s="207">
        <f>200/250</f>
        <v>0.8</v>
      </c>
      <c r="X11" s="147">
        <f>0.8/1*(100)</f>
        <v>80</v>
      </c>
      <c r="Z11" s="113">
        <v>200</v>
      </c>
      <c r="AA11" s="146">
        <v>240</v>
      </c>
      <c r="AB11" s="207">
        <f>200/240</f>
        <v>0.83333333333333337</v>
      </c>
      <c r="AC11" s="147">
        <f>0.8333/1*(100)</f>
        <v>83.33</v>
      </c>
      <c r="AE11" s="113">
        <v>200</v>
      </c>
      <c r="AF11" s="146">
        <v>220</v>
      </c>
      <c r="AG11" s="207">
        <f>200/220</f>
        <v>0.90909090909090906</v>
      </c>
      <c r="AH11" s="147">
        <f>0.9091/1*(100)</f>
        <v>90.91</v>
      </c>
    </row>
    <row r="12" spans="1:47" x14ac:dyDescent="0.25">
      <c r="A12" s="131">
        <v>300</v>
      </c>
      <c r="B12" s="146">
        <v>200</v>
      </c>
      <c r="C12" s="146">
        <f>300/200</f>
        <v>1.5</v>
      </c>
      <c r="D12" s="147">
        <f>1.5/3*(100)</f>
        <v>50</v>
      </c>
      <c r="F12" s="138">
        <v>300</v>
      </c>
      <c r="G12" s="146">
        <v>70</v>
      </c>
      <c r="H12" s="207">
        <f>300/70</f>
        <v>4.2857142857142856</v>
      </c>
      <c r="I12" s="219">
        <f>4.2857/12*(100)</f>
        <v>35.714166666666671</v>
      </c>
      <c r="K12" s="117">
        <v>300</v>
      </c>
      <c r="L12" s="146">
        <v>140</v>
      </c>
      <c r="M12" s="207">
        <f>300/140</f>
        <v>2.1428571428571428</v>
      </c>
      <c r="N12" s="219">
        <f>2.1429/50.3*(100)</f>
        <v>4.2602385685884698</v>
      </c>
      <c r="P12" s="113">
        <v>250</v>
      </c>
      <c r="Q12" s="146">
        <v>260</v>
      </c>
      <c r="R12" s="207">
        <f>250/260</f>
        <v>0.96153846153846156</v>
      </c>
      <c r="S12" s="147">
        <f>0.9615/1*(100)</f>
        <v>96.15</v>
      </c>
      <c r="U12" s="113">
        <v>250</v>
      </c>
      <c r="V12" s="146">
        <v>290</v>
      </c>
      <c r="W12" s="207">
        <f>250/290</f>
        <v>0.86206896551724133</v>
      </c>
      <c r="X12" s="147">
        <f>0.8621/1*(100)</f>
        <v>86.21</v>
      </c>
      <c r="Z12" s="113">
        <v>250</v>
      </c>
      <c r="AA12" s="146">
        <v>290</v>
      </c>
      <c r="AB12" s="207">
        <f>250/290</f>
        <v>0.86206896551724133</v>
      </c>
      <c r="AC12" s="147">
        <f>0.8621/1*(100)</f>
        <v>86.21</v>
      </c>
      <c r="AE12" s="113">
        <v>250</v>
      </c>
      <c r="AF12" s="146">
        <v>280</v>
      </c>
      <c r="AG12" s="207">
        <f>250/280</f>
        <v>0.8928571428571429</v>
      </c>
      <c r="AH12" s="147">
        <f>0.8929/1*(100)</f>
        <v>89.29</v>
      </c>
    </row>
    <row r="13" spans="1:47" x14ac:dyDescent="0.25">
      <c r="A13" s="131">
        <v>350</v>
      </c>
      <c r="B13" s="146">
        <v>230</v>
      </c>
      <c r="C13" s="207">
        <f>350/230</f>
        <v>1.5217391304347827</v>
      </c>
      <c r="D13" s="219">
        <f>1.5217/3*(100)</f>
        <v>50.723333333333329</v>
      </c>
      <c r="F13" s="138">
        <v>350</v>
      </c>
      <c r="G13" s="146">
        <v>80</v>
      </c>
      <c r="H13" s="146">
        <f>350/80</f>
        <v>4.375</v>
      </c>
      <c r="I13" s="219">
        <f>4.375/12*(100)</f>
        <v>36.458333333333329</v>
      </c>
      <c r="K13" s="117">
        <v>350</v>
      </c>
      <c r="L13" s="146">
        <v>150</v>
      </c>
      <c r="M13" s="207">
        <f>350/150</f>
        <v>2.3333333333333335</v>
      </c>
      <c r="N13" s="219">
        <f>2.3333/50.3*(100)</f>
        <v>4.6387673956262425</v>
      </c>
      <c r="P13" s="113">
        <v>300</v>
      </c>
      <c r="Q13" s="146">
        <v>310</v>
      </c>
      <c r="R13" s="207">
        <f>300/310</f>
        <v>0.967741935483871</v>
      </c>
      <c r="S13" s="147">
        <f>0.9677/1*(100)</f>
        <v>96.77</v>
      </c>
      <c r="U13" s="113">
        <v>300</v>
      </c>
      <c r="V13" s="146">
        <v>350</v>
      </c>
      <c r="W13" s="207">
        <f>300/350</f>
        <v>0.8571428571428571</v>
      </c>
      <c r="X13" s="147">
        <f>0.8571/1*(100)</f>
        <v>85.71</v>
      </c>
      <c r="Z13" s="113">
        <v>300</v>
      </c>
      <c r="AA13" s="146">
        <v>350</v>
      </c>
      <c r="AB13" s="207">
        <f>300/350</f>
        <v>0.8571428571428571</v>
      </c>
      <c r="AC13" s="147">
        <f>0.8571/1*(100)</f>
        <v>85.71</v>
      </c>
      <c r="AE13" s="113">
        <v>300</v>
      </c>
      <c r="AF13" s="146">
        <v>340</v>
      </c>
      <c r="AG13" s="207">
        <f>300/340</f>
        <v>0.88235294117647056</v>
      </c>
      <c r="AH13" s="147">
        <f>0.8824/1*(100)</f>
        <v>88.24</v>
      </c>
    </row>
    <row r="14" spans="1:47" x14ac:dyDescent="0.25">
      <c r="A14" s="131">
        <v>400</v>
      </c>
      <c r="B14" s="146">
        <v>250</v>
      </c>
      <c r="C14" s="146">
        <f>400/250</f>
        <v>1.6</v>
      </c>
      <c r="D14" s="219">
        <f>1.6/3*(100)</f>
        <v>53.333333333333336</v>
      </c>
      <c r="F14" s="138">
        <v>400</v>
      </c>
      <c r="G14" s="146">
        <v>100</v>
      </c>
      <c r="H14" s="146">
        <f>400/100</f>
        <v>4</v>
      </c>
      <c r="I14" s="219">
        <f>4/12*(100)</f>
        <v>33.333333333333329</v>
      </c>
      <c r="K14" s="117">
        <v>400</v>
      </c>
      <c r="L14" s="146">
        <v>160</v>
      </c>
      <c r="M14" s="146">
        <f>400/160</f>
        <v>2.5</v>
      </c>
      <c r="N14" s="219">
        <f>2.5/50.3*(100)</f>
        <v>4.9701789264413518</v>
      </c>
      <c r="P14" s="113">
        <v>350</v>
      </c>
      <c r="Q14" s="146">
        <v>360</v>
      </c>
      <c r="R14" s="207">
        <f>350/360</f>
        <v>0.97222222222222221</v>
      </c>
      <c r="S14" s="147">
        <f>0.9722/1*(100)</f>
        <v>97.22</v>
      </c>
      <c r="U14" s="113">
        <v>350</v>
      </c>
      <c r="V14" s="146">
        <v>400</v>
      </c>
      <c r="W14" s="207">
        <f>350/400</f>
        <v>0.875</v>
      </c>
      <c r="X14" s="147">
        <f>0.875/1*(100)</f>
        <v>87.5</v>
      </c>
      <c r="Z14" s="113">
        <v>350</v>
      </c>
      <c r="AA14" s="146">
        <v>400</v>
      </c>
      <c r="AB14" s="207">
        <f>350/400</f>
        <v>0.875</v>
      </c>
      <c r="AC14" s="147">
        <f>0.875/1*(100)</f>
        <v>87.5</v>
      </c>
      <c r="AE14" s="113">
        <v>350</v>
      </c>
      <c r="AF14" s="146">
        <v>390</v>
      </c>
      <c r="AG14" s="207">
        <f>350/390</f>
        <v>0.89743589743589747</v>
      </c>
      <c r="AH14" s="147">
        <f>0.8974/1*(100)</f>
        <v>89.74</v>
      </c>
    </row>
    <row r="15" spans="1:47" x14ac:dyDescent="0.25">
      <c r="A15" s="131">
        <v>450</v>
      </c>
      <c r="B15" s="146">
        <v>280</v>
      </c>
      <c r="C15" s="207">
        <f>450/280</f>
        <v>1.6071428571428572</v>
      </c>
      <c r="D15" s="219">
        <f>1.6071/3*(100)</f>
        <v>53.569999999999993</v>
      </c>
      <c r="F15" s="138">
        <v>450</v>
      </c>
      <c r="G15" s="146">
        <v>110</v>
      </c>
      <c r="H15" s="207">
        <f>450/110</f>
        <v>4.0909090909090908</v>
      </c>
      <c r="I15" s="219">
        <f>4.0909/12*(100)</f>
        <v>34.090833333333336</v>
      </c>
      <c r="K15" s="117">
        <v>450</v>
      </c>
      <c r="L15" s="146">
        <v>170</v>
      </c>
      <c r="M15" s="207">
        <f>450/170</f>
        <v>2.6470588235294117</v>
      </c>
      <c r="N15" s="219">
        <f>2.6471/50.3*(100)</f>
        <v>5.2626242544731614</v>
      </c>
      <c r="P15" s="113">
        <v>400</v>
      </c>
      <c r="Q15" s="146">
        <v>410</v>
      </c>
      <c r="R15" s="207">
        <f>400/410</f>
        <v>0.97560975609756095</v>
      </c>
      <c r="S15" s="147">
        <f>0.9756/1*(100)</f>
        <v>97.56</v>
      </c>
      <c r="U15" s="113">
        <v>400</v>
      </c>
      <c r="V15" s="146">
        <v>460</v>
      </c>
      <c r="W15" s="207">
        <f>400/460</f>
        <v>0.86956521739130432</v>
      </c>
      <c r="X15" s="147">
        <f>0.8696/1*(100)</f>
        <v>86.960000000000008</v>
      </c>
      <c r="Z15" s="113">
        <v>400</v>
      </c>
      <c r="AA15" s="146">
        <v>460</v>
      </c>
      <c r="AB15" s="207">
        <f>400/460</f>
        <v>0.86956521739130432</v>
      </c>
      <c r="AC15" s="147">
        <f>0.8696/1*(100)</f>
        <v>86.960000000000008</v>
      </c>
      <c r="AE15" s="113">
        <v>400</v>
      </c>
      <c r="AF15" s="146">
        <v>440</v>
      </c>
      <c r="AG15" s="207">
        <f>400/440</f>
        <v>0.90909090909090906</v>
      </c>
      <c r="AH15" s="147">
        <f>0.9091/1*(100)</f>
        <v>90.91</v>
      </c>
    </row>
    <row r="16" spans="1:47" ht="15.75" thickBot="1" x14ac:dyDescent="0.3">
      <c r="A16" s="128">
        <v>500</v>
      </c>
      <c r="B16" s="148">
        <v>300</v>
      </c>
      <c r="C16" s="217">
        <f>500/300</f>
        <v>1.6666666666666667</v>
      </c>
      <c r="D16" s="220">
        <f>1.6667/3*(100)</f>
        <v>55.556666666666665</v>
      </c>
      <c r="F16" s="135">
        <v>500</v>
      </c>
      <c r="G16" s="148">
        <v>120</v>
      </c>
      <c r="H16" s="217">
        <f>500/120</f>
        <v>4.166666666666667</v>
      </c>
      <c r="I16" s="220">
        <f>4.1667/12*(100)</f>
        <v>34.722499999999997</v>
      </c>
      <c r="K16" s="118">
        <v>500</v>
      </c>
      <c r="L16" s="148">
        <v>180</v>
      </c>
      <c r="M16" s="217">
        <f>500/180</f>
        <v>2.7777777777777777</v>
      </c>
      <c r="N16" s="220">
        <f>2.7778/50.3*(100)</f>
        <v>5.5224652087475148</v>
      </c>
      <c r="P16" s="113">
        <v>450</v>
      </c>
      <c r="Q16" s="146">
        <v>460</v>
      </c>
      <c r="R16" s="207">
        <f>450/460</f>
        <v>0.97826086956521741</v>
      </c>
      <c r="S16" s="147">
        <f>0.9783/1*(100)</f>
        <v>97.83</v>
      </c>
      <c r="U16" s="113">
        <v>450</v>
      </c>
      <c r="V16" s="146">
        <v>520</v>
      </c>
      <c r="W16" s="207">
        <f>450/520</f>
        <v>0.86538461538461542</v>
      </c>
      <c r="X16" s="147">
        <f>0.8654/1*(100)</f>
        <v>86.539999999999992</v>
      </c>
      <c r="Z16" s="113">
        <v>450</v>
      </c>
      <c r="AA16" s="146">
        <v>520</v>
      </c>
      <c r="AB16" s="207">
        <f>450/520</f>
        <v>0.86538461538461542</v>
      </c>
      <c r="AC16" s="147">
        <f>0.8654/1*(100)</f>
        <v>86.539999999999992</v>
      </c>
      <c r="AE16" s="113">
        <v>450</v>
      </c>
      <c r="AF16" s="146">
        <v>490</v>
      </c>
      <c r="AG16" s="207">
        <f>450/490</f>
        <v>0.91836734693877553</v>
      </c>
      <c r="AH16" s="147">
        <f>0.9184/1*(100)</f>
        <v>91.84</v>
      </c>
    </row>
    <row r="17" spans="1:34" ht="15.75" thickBot="1" x14ac:dyDescent="0.3">
      <c r="A17" s="279" t="s">
        <v>145</v>
      </c>
      <c r="B17" s="280"/>
      <c r="C17" s="280"/>
      <c r="D17" s="186"/>
      <c r="F17" s="279" t="s">
        <v>146</v>
      </c>
      <c r="G17" s="280"/>
      <c r="H17" s="280"/>
      <c r="I17" s="186"/>
      <c r="K17" s="279" t="s">
        <v>142</v>
      </c>
      <c r="L17" s="280"/>
      <c r="M17" s="280"/>
      <c r="N17" s="281"/>
      <c r="P17" s="114">
        <v>500</v>
      </c>
      <c r="Q17" s="148">
        <v>510</v>
      </c>
      <c r="R17" s="217">
        <f>500/510</f>
        <v>0.98039215686274506</v>
      </c>
      <c r="S17" s="149">
        <f>0.9804/1*(100)</f>
        <v>98.04</v>
      </c>
      <c r="U17" s="114">
        <v>500</v>
      </c>
      <c r="V17" s="148">
        <v>580</v>
      </c>
      <c r="W17" s="217">
        <f>500/580</f>
        <v>0.86206896551724133</v>
      </c>
      <c r="X17" s="149">
        <f>0.8621/1*(100)</f>
        <v>86.21</v>
      </c>
      <c r="Z17" s="114">
        <v>500</v>
      </c>
      <c r="AA17" s="148">
        <v>570</v>
      </c>
      <c r="AB17" s="217">
        <f>500/570</f>
        <v>0.8771929824561403</v>
      </c>
      <c r="AC17" s="149">
        <f>0.8772/1*(100)</f>
        <v>87.72</v>
      </c>
      <c r="AE17" s="114">
        <v>500</v>
      </c>
      <c r="AF17" s="148">
        <v>560</v>
      </c>
      <c r="AG17" s="217">
        <f>500/560</f>
        <v>0.8928571428571429</v>
      </c>
      <c r="AH17" s="149">
        <f>0.8929/1*(100)</f>
        <v>89.29</v>
      </c>
    </row>
    <row r="18" spans="1:34" ht="15.75" thickBot="1" x14ac:dyDescent="0.3">
      <c r="P18" s="279" t="s">
        <v>141</v>
      </c>
      <c r="Q18" s="280"/>
      <c r="R18" s="280"/>
      <c r="S18" s="281"/>
      <c r="U18" s="279" t="s">
        <v>141</v>
      </c>
      <c r="V18" s="280"/>
      <c r="W18" s="280"/>
      <c r="X18" s="281"/>
      <c r="Z18" s="279" t="s">
        <v>141</v>
      </c>
      <c r="AA18" s="280"/>
      <c r="AB18" s="280"/>
      <c r="AC18" s="281"/>
      <c r="AE18" s="279" t="s">
        <v>141</v>
      </c>
      <c r="AF18" s="280"/>
      <c r="AG18" s="280"/>
      <c r="AH18" s="281"/>
    </row>
    <row r="19" spans="1:34" x14ac:dyDescent="0.25">
      <c r="A19" s="1" t="s">
        <v>110</v>
      </c>
      <c r="F19" s="1" t="s">
        <v>110</v>
      </c>
      <c r="K19" s="1" t="s">
        <v>110</v>
      </c>
    </row>
    <row r="20" spans="1:34" x14ac:dyDescent="0.25">
      <c r="A20" s="1" t="s">
        <v>111</v>
      </c>
      <c r="F20" s="1" t="s">
        <v>111</v>
      </c>
      <c r="K20" s="1" t="s">
        <v>111</v>
      </c>
      <c r="P20" s="1" t="s">
        <v>110</v>
      </c>
    </row>
    <row r="21" spans="1:34" x14ac:dyDescent="0.25">
      <c r="P21" s="1" t="s">
        <v>111</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f2b30b1cee81d47b5f22714a39859066">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a3ce06eed308c176062427dadea80ce8"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C8680A-23F9-4884-AAF8-9785ED71DFE7}">
  <ds:schemaRefs>
    <ds:schemaRef ds:uri="c9412f1f-c5de-433b-90f0-e30b35783b17"/>
    <ds:schemaRef ds:uri="http://purl.org/dc/dcmitype/"/>
    <ds:schemaRef ds:uri="http://schemas.microsoft.com/office/2006/documentManagement/types"/>
    <ds:schemaRef ds:uri="http://purl.org/dc/elements/1.1/"/>
    <ds:schemaRef ds:uri="http://schemas.openxmlformats.org/package/2006/metadata/core-properties"/>
    <ds:schemaRef ds:uri="http://www.w3.org/XML/1998/namespace"/>
    <ds:schemaRef ds:uri="http://schemas.microsoft.com/office/infopath/2007/PartnerControls"/>
    <ds:schemaRef ds:uri="7da2dc2f-10e7-442f-ad91-645aa4b47b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166F66C-4FB0-48AC-B52C-B2597B723143}">
  <ds:schemaRefs>
    <ds:schemaRef ds:uri="http://schemas.microsoft.com/sharepoint/v3/contenttype/forms"/>
  </ds:schemaRefs>
</ds:datastoreItem>
</file>

<file path=customXml/itemProps3.xml><?xml version="1.0" encoding="utf-8"?>
<ds:datastoreItem xmlns:ds="http://schemas.openxmlformats.org/officeDocument/2006/customXml" ds:itemID="{B4ED9A79-929D-44D6-846D-F9AC5498CB92}">
  <ds:schemaRefs>
    <ds:schemaRef ds:uri="http://schemas.microsoft.com/office/2006/metadata/contentType"/>
    <ds:schemaRef ds:uri="http://schemas.microsoft.com/office/2006/metadata/properties/metaAttributes"/>
    <ds:schemaRef ds:uri="http://www.w3.org/2000/xmlns/"/>
    <ds:schemaRef ds:uri="http://www.w3.org/2001/XMLSchema"/>
    <ds:schemaRef ds:uri="c9412f1f-c5de-433b-90f0-e30b35783b17"/>
    <ds:schemaRef ds:uri="7da2dc2f-10e7-442f-ad91-645aa4b47b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Nicole Crofts (2501478)</cp:lastModifiedBy>
  <cp:revision/>
  <dcterms:created xsi:type="dcterms:W3CDTF">2025-06-27T08:03:11Z</dcterms:created>
  <dcterms:modified xsi:type="dcterms:W3CDTF">2025-12-07T21:36:13Z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