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107344_student_uwtsd_ac_uk/Documents/files/Motorcycle Tech/Assignment 13th dec 2021/To submit/"/>
    </mc:Choice>
  </mc:AlternateContent>
  <xr:revisionPtr revIDLastSave="84" documentId="13_ncr:1_{834BA1D0-46FB-4870-975A-75B54F47C5F5}" xr6:coauthVersionLast="47" xr6:coauthVersionMax="47" xr10:uidLastSave="{8F034464-6525-474E-8CD5-F441007D1CB1}"/>
  <bookViews>
    <workbookView minimized="1" xWindow="3696" yWindow="3396" windowWidth="17280" windowHeight="8964" xr2:uid="{F4190F93-5D4C-40A4-97A2-DC6A8E949462}"/>
  </bookViews>
  <sheets>
    <sheet name="Centre of Gravity" sheetId="7" r:id="rId1"/>
    <sheet name="Gearbox V4S" sheetId="1" r:id="rId2"/>
    <sheet name="Shift Point Data V4S" sheetId="2" r:id="rId3"/>
    <sheet name="Power Torque Curve V4S" sheetId="3" r:id="rId4"/>
    <sheet name="Shift Point Chart V4S" sheetId="4" r:id="rId5"/>
    <sheet name="Power Speed Requirements V4S" sheetId="6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6" i="6" l="1"/>
  <c r="A2" i="6"/>
  <c r="R23" i="2"/>
  <c r="Q23" i="2"/>
  <c r="P23" i="2"/>
  <c r="O23" i="2"/>
  <c r="N23" i="2"/>
  <c r="M23" i="2"/>
  <c r="K23" i="2"/>
  <c r="J23" i="2"/>
  <c r="I23" i="2"/>
  <c r="H23" i="2"/>
  <c r="G23" i="2"/>
  <c r="F23" i="2"/>
  <c r="D23" i="2"/>
  <c r="H21" i="7"/>
  <c r="H20" i="7"/>
  <c r="B21" i="7"/>
  <c r="B20" i="7"/>
  <c r="D14" i="1"/>
  <c r="H17" i="7"/>
  <c r="H16" i="7"/>
  <c r="H13" i="7"/>
  <c r="H19" i="7" s="1"/>
  <c r="B17" i="7"/>
  <c r="B16" i="7"/>
  <c r="B13" i="7"/>
  <c r="B19" i="7" s="1"/>
  <c r="O3" i="1"/>
  <c r="H14" i="7" l="1"/>
  <c r="H18" i="7"/>
  <c r="B18" i="7"/>
  <c r="B14" i="7"/>
  <c r="B6" i="6"/>
  <c r="A6" i="6"/>
  <c r="B2" i="6"/>
  <c r="D6" i="6" s="1"/>
  <c r="F2" i="2"/>
  <c r="M2" i="2" s="1"/>
  <c r="A9" i="2"/>
  <c r="K9" i="2" s="1"/>
  <c r="R9" i="2" s="1"/>
  <c r="R3" i="2"/>
  <c r="R4" i="2"/>
  <c r="R5" i="2"/>
  <c r="R6" i="2"/>
  <c r="R7" i="2"/>
  <c r="R8" i="2"/>
  <c r="R2" i="2"/>
  <c r="Q3" i="2"/>
  <c r="Q4" i="2"/>
  <c r="Q5" i="2"/>
  <c r="Q6" i="2"/>
  <c r="Q7" i="2"/>
  <c r="Q8" i="2"/>
  <c r="Q2" i="2"/>
  <c r="P3" i="2"/>
  <c r="P4" i="2"/>
  <c r="P5" i="2"/>
  <c r="P6" i="2"/>
  <c r="P7" i="2"/>
  <c r="P8" i="2"/>
  <c r="P2" i="2"/>
  <c r="O3" i="2"/>
  <c r="O4" i="2"/>
  <c r="O5" i="2"/>
  <c r="O6" i="2"/>
  <c r="O7" i="2"/>
  <c r="O8" i="2"/>
  <c r="O2" i="2"/>
  <c r="N3" i="2"/>
  <c r="N4" i="2"/>
  <c r="N5" i="2"/>
  <c r="N6" i="2"/>
  <c r="N7" i="2"/>
  <c r="N8" i="2"/>
  <c r="N2" i="2"/>
  <c r="M3" i="2"/>
  <c r="M4" i="2"/>
  <c r="M5" i="2"/>
  <c r="M6" i="2"/>
  <c r="M7" i="2"/>
  <c r="M8" i="2"/>
  <c r="K3" i="2"/>
  <c r="K4" i="2"/>
  <c r="K5" i="2"/>
  <c r="K6" i="2"/>
  <c r="K7" i="2"/>
  <c r="K8" i="2"/>
  <c r="K2" i="2"/>
  <c r="J3" i="2"/>
  <c r="J4" i="2"/>
  <c r="J5" i="2"/>
  <c r="J6" i="2"/>
  <c r="J7" i="2"/>
  <c r="J8" i="2"/>
  <c r="J9" i="2"/>
  <c r="Q9" i="2" s="1"/>
  <c r="J2" i="2"/>
  <c r="I3" i="2"/>
  <c r="I4" i="2"/>
  <c r="I5" i="2"/>
  <c r="I6" i="2"/>
  <c r="I7" i="2"/>
  <c r="I8" i="2"/>
  <c r="I9" i="2"/>
  <c r="P9" i="2" s="1"/>
  <c r="I2" i="2"/>
  <c r="H3" i="2"/>
  <c r="H4" i="2"/>
  <c r="H5" i="2"/>
  <c r="H6" i="2"/>
  <c r="H7" i="2"/>
  <c r="H8" i="2"/>
  <c r="H9" i="2"/>
  <c r="O9" i="2" s="1"/>
  <c r="H2" i="2"/>
  <c r="G3" i="2"/>
  <c r="G4" i="2"/>
  <c r="G5" i="2"/>
  <c r="G6" i="2"/>
  <c r="G7" i="2"/>
  <c r="G8" i="2"/>
  <c r="G9" i="2"/>
  <c r="N9" i="2" s="1"/>
  <c r="G2" i="2"/>
  <c r="F3" i="2"/>
  <c r="F4" i="2"/>
  <c r="F5" i="2"/>
  <c r="F6" i="2"/>
  <c r="F7" i="2"/>
  <c r="F8" i="2"/>
  <c r="F9" i="2"/>
  <c r="M9" i="2" s="1"/>
  <c r="D22" i="2"/>
  <c r="D21" i="2"/>
  <c r="D20" i="2"/>
  <c r="K3" i="1"/>
  <c r="D3" i="2"/>
  <c r="D4" i="2"/>
  <c r="D5" i="2"/>
  <c r="D6" i="2"/>
  <c r="D7" i="2"/>
  <c r="D8" i="2"/>
  <c r="D9" i="2"/>
  <c r="D10" i="2"/>
  <c r="D11" i="2"/>
  <c r="D12" i="2"/>
  <c r="D13" i="2"/>
  <c r="D14" i="2"/>
  <c r="D15" i="2"/>
  <c r="D16" i="2"/>
  <c r="D17" i="2"/>
  <c r="D18" i="2"/>
  <c r="D19" i="2"/>
  <c r="D2" i="2"/>
  <c r="A3" i="2"/>
  <c r="A4" i="2" s="1"/>
  <c r="A5" i="2" s="1"/>
  <c r="A6" i="2" s="1"/>
  <c r="A7" i="2" s="1"/>
  <c r="A8" i="2" s="1"/>
  <c r="A10" i="2" s="1"/>
  <c r="A11" i="2" s="1"/>
  <c r="A12" i="2" s="1"/>
  <c r="A13" i="2" s="1"/>
  <c r="A14" i="2" s="1"/>
  <c r="A15" i="2" s="1"/>
  <c r="A16" i="2" s="1"/>
  <c r="A17" i="2" s="1"/>
  <c r="A18" i="2" s="1"/>
  <c r="A19" i="2" s="1"/>
  <c r="A20" i="2" s="1"/>
  <c r="A21" i="2" s="1"/>
  <c r="A22" i="2" s="1"/>
  <c r="H22" i="2" s="1"/>
  <c r="O22" i="2" s="1"/>
  <c r="L3" i="1"/>
  <c r="B5" i="1"/>
  <c r="S2" i="1"/>
  <c r="S3" i="1" s="1"/>
  <c r="S4" i="1" s="1"/>
  <c r="S5" i="1" s="1"/>
  <c r="S6" i="1" s="1"/>
  <c r="S7" i="1" s="1"/>
  <c r="S8" i="1" s="1"/>
  <c r="S9" i="1" s="1"/>
  <c r="S10" i="1" s="1"/>
  <c r="S11" i="1" s="1"/>
  <c r="S12" i="1" s="1"/>
  <c r="S13" i="1" s="1"/>
  <c r="S14" i="1" s="1"/>
  <c r="S15" i="1" s="1"/>
  <c r="S16" i="1" s="1"/>
  <c r="S17" i="1" s="1"/>
  <c r="S18" i="1" s="1"/>
  <c r="S19" i="1" s="1"/>
  <c r="S20" i="1" s="1"/>
  <c r="S21" i="1" s="1"/>
  <c r="S22" i="1" s="1"/>
  <c r="S23" i="1" s="1"/>
  <c r="S24" i="1" s="1"/>
  <c r="S25" i="1" s="1"/>
  <c r="F10" i="1"/>
  <c r="G10" i="1" s="1"/>
  <c r="F11" i="1"/>
  <c r="G11" i="1" s="1"/>
  <c r="F12" i="1"/>
  <c r="G12" i="1" s="1"/>
  <c r="F13" i="1"/>
  <c r="G13" i="1" s="1"/>
  <c r="F9" i="1"/>
  <c r="G9" i="1" s="1"/>
  <c r="D2" i="1"/>
  <c r="F6" i="6" l="1"/>
  <c r="C6" i="6"/>
  <c r="E6" i="6" s="1"/>
  <c r="F17" i="2"/>
  <c r="M17" i="2" s="1"/>
  <c r="F13" i="2"/>
  <c r="M13" i="2" s="1"/>
  <c r="F21" i="2"/>
  <c r="M21" i="2" s="1"/>
  <c r="G22" i="2"/>
  <c r="N22" i="2" s="1"/>
  <c r="G18" i="2"/>
  <c r="N18" i="2" s="1"/>
  <c r="G14" i="2"/>
  <c r="N14" i="2" s="1"/>
  <c r="G10" i="2"/>
  <c r="N10" i="2" s="1"/>
  <c r="H19" i="2"/>
  <c r="O19" i="2" s="1"/>
  <c r="H15" i="2"/>
  <c r="O15" i="2" s="1"/>
  <c r="H11" i="2"/>
  <c r="O11" i="2" s="1"/>
  <c r="I20" i="2"/>
  <c r="P20" i="2" s="1"/>
  <c r="I16" i="2"/>
  <c r="P16" i="2" s="1"/>
  <c r="I12" i="2"/>
  <c r="P12" i="2" s="1"/>
  <c r="J21" i="2"/>
  <c r="Q21" i="2" s="1"/>
  <c r="J17" i="2"/>
  <c r="Q17" i="2" s="1"/>
  <c r="J13" i="2"/>
  <c r="Q13" i="2" s="1"/>
  <c r="F20" i="2"/>
  <c r="M20" i="2" s="1"/>
  <c r="F16" i="2"/>
  <c r="M16" i="2" s="1"/>
  <c r="F12" i="2"/>
  <c r="M12" i="2" s="1"/>
  <c r="G21" i="2"/>
  <c r="N21" i="2" s="1"/>
  <c r="G17" i="2"/>
  <c r="N17" i="2" s="1"/>
  <c r="G13" i="2"/>
  <c r="N13" i="2" s="1"/>
  <c r="F19" i="2"/>
  <c r="M19" i="2" s="1"/>
  <c r="F15" i="2"/>
  <c r="M15" i="2" s="1"/>
  <c r="F11" i="2"/>
  <c r="M11" i="2" s="1"/>
  <c r="G20" i="2"/>
  <c r="N20" i="2" s="1"/>
  <c r="G16" i="2"/>
  <c r="N16" i="2" s="1"/>
  <c r="G12" i="2"/>
  <c r="N12" i="2" s="1"/>
  <c r="H21" i="2"/>
  <c r="O21" i="2" s="1"/>
  <c r="H17" i="2"/>
  <c r="O17" i="2" s="1"/>
  <c r="H13" i="2"/>
  <c r="O13" i="2" s="1"/>
  <c r="I22" i="2"/>
  <c r="P22" i="2" s="1"/>
  <c r="I18" i="2"/>
  <c r="P18" i="2" s="1"/>
  <c r="I14" i="2"/>
  <c r="P14" i="2" s="1"/>
  <c r="I10" i="2"/>
  <c r="P10" i="2" s="1"/>
  <c r="J19" i="2"/>
  <c r="Q19" i="2" s="1"/>
  <c r="J15" i="2"/>
  <c r="Q15" i="2" s="1"/>
  <c r="J11" i="2"/>
  <c r="Q11" i="2" s="1"/>
  <c r="K20" i="2"/>
  <c r="R20" i="2" s="1"/>
  <c r="K16" i="2"/>
  <c r="R16" i="2" s="1"/>
  <c r="K12" i="2"/>
  <c r="R12" i="2" s="1"/>
  <c r="F22" i="2"/>
  <c r="M22" i="2" s="1"/>
  <c r="F18" i="2"/>
  <c r="M18" i="2" s="1"/>
  <c r="F14" i="2"/>
  <c r="M14" i="2" s="1"/>
  <c r="F10" i="2"/>
  <c r="M10" i="2" s="1"/>
  <c r="G19" i="2"/>
  <c r="N19" i="2" s="1"/>
  <c r="G15" i="2"/>
  <c r="N15" i="2" s="1"/>
  <c r="G11" i="2"/>
  <c r="N11" i="2" s="1"/>
  <c r="H20" i="2"/>
  <c r="O20" i="2" s="1"/>
  <c r="H16" i="2"/>
  <c r="O16" i="2" s="1"/>
  <c r="H12" i="2"/>
  <c r="O12" i="2" s="1"/>
  <c r="I21" i="2"/>
  <c r="P21" i="2" s="1"/>
  <c r="I17" i="2"/>
  <c r="P17" i="2" s="1"/>
  <c r="I13" i="2"/>
  <c r="P13" i="2" s="1"/>
  <c r="J22" i="2"/>
  <c r="Q22" i="2" s="1"/>
  <c r="J18" i="2"/>
  <c r="Q18" i="2" s="1"/>
  <c r="J14" i="2"/>
  <c r="Q14" i="2" s="1"/>
  <c r="J10" i="2"/>
  <c r="Q10" i="2" s="1"/>
  <c r="K19" i="2"/>
  <c r="R19" i="2" s="1"/>
  <c r="K15" i="2"/>
  <c r="R15" i="2" s="1"/>
  <c r="K11" i="2"/>
  <c r="R11" i="2" s="1"/>
  <c r="K22" i="2"/>
  <c r="R22" i="2" s="1"/>
  <c r="K18" i="2"/>
  <c r="R18" i="2" s="1"/>
  <c r="K14" i="2"/>
  <c r="R14" i="2" s="1"/>
  <c r="K10" i="2"/>
  <c r="R10" i="2" s="1"/>
  <c r="H18" i="2"/>
  <c r="O18" i="2" s="1"/>
  <c r="H14" i="2"/>
  <c r="O14" i="2" s="1"/>
  <c r="H10" i="2"/>
  <c r="O10" i="2" s="1"/>
  <c r="I19" i="2"/>
  <c r="P19" i="2" s="1"/>
  <c r="I15" i="2"/>
  <c r="P15" i="2" s="1"/>
  <c r="I11" i="2"/>
  <c r="P11" i="2" s="1"/>
  <c r="J20" i="2"/>
  <c r="Q20" i="2" s="1"/>
  <c r="J16" i="2"/>
  <c r="Q16" i="2" s="1"/>
  <c r="J12" i="2"/>
  <c r="Q12" i="2" s="1"/>
  <c r="K21" i="2"/>
  <c r="R21" i="2" s="1"/>
  <c r="K17" i="2"/>
  <c r="R17" i="2" s="1"/>
  <c r="K13" i="2"/>
  <c r="R13" i="2" s="1"/>
  <c r="D11" i="1"/>
  <c r="E11" i="1" s="1"/>
  <c r="E14" i="1"/>
  <c r="D10" i="1"/>
  <c r="E10" i="1" s="1"/>
  <c r="D9" i="1"/>
  <c r="E9" i="1" s="1"/>
  <c r="D12" i="1"/>
  <c r="E12" i="1" s="1"/>
  <c r="D13" i="1"/>
  <c r="E13" i="1" s="1"/>
</calcChain>
</file>

<file path=xl/sharedStrings.xml><?xml version="1.0" encoding="utf-8"?>
<sst xmlns="http://schemas.openxmlformats.org/spreadsheetml/2006/main" count="100" uniqueCount="81">
  <si>
    <t>Primary</t>
  </si>
  <si>
    <t>Final</t>
  </si>
  <si>
    <t>Wheel diameter(m)</t>
  </si>
  <si>
    <t>Ratios</t>
  </si>
  <si>
    <t>1st gear</t>
  </si>
  <si>
    <t>Input</t>
  </si>
  <si>
    <t>Output</t>
  </si>
  <si>
    <t>2nd</t>
  </si>
  <si>
    <t>3rd</t>
  </si>
  <si>
    <t>4th</t>
  </si>
  <si>
    <t>5th</t>
  </si>
  <si>
    <t>6th</t>
  </si>
  <si>
    <t>wheel diameter</t>
  </si>
  <si>
    <t>width</t>
  </si>
  <si>
    <t>aspect ratio</t>
  </si>
  <si>
    <t>rim size</t>
  </si>
  <si>
    <t>Gear Calc Panigale V4S 2021</t>
  </si>
  <si>
    <t>Speed (mph)</t>
  </si>
  <si>
    <t>Speed (km/h)</t>
  </si>
  <si>
    <t>RPM (rpm gear 1-5) (rpm in 6th)</t>
  </si>
  <si>
    <t>Revs (Next gear)</t>
  </si>
  <si>
    <t>Rev Fall</t>
  </si>
  <si>
    <t>Chain Length</t>
  </si>
  <si>
    <t>Front sprocket</t>
  </si>
  <si>
    <t>Rear sprocket</t>
  </si>
  <si>
    <t xml:space="preserve">Chain </t>
  </si>
  <si>
    <t>RPM</t>
  </si>
  <si>
    <t>Power(hp)</t>
  </si>
  <si>
    <t>Power (kW)</t>
  </si>
  <si>
    <t>Chain Size (inches)</t>
  </si>
  <si>
    <t>Distance between front sprocket and pivot (mm)</t>
  </si>
  <si>
    <t>Swingarm Length (mm)</t>
  </si>
  <si>
    <t>Torque (Nm)</t>
  </si>
  <si>
    <t>Driving force 1st (N)</t>
  </si>
  <si>
    <t>Road Speed 1st (km/h)</t>
  </si>
  <si>
    <t>Road Speed 2nd</t>
  </si>
  <si>
    <t>Road Speed 3rd</t>
  </si>
  <si>
    <t>Road Speed 4th</t>
  </si>
  <si>
    <t>Road Speed 5th</t>
  </si>
  <si>
    <t>Road Speed 6th</t>
  </si>
  <si>
    <t>Driving force 2nd (N)</t>
  </si>
  <si>
    <t>Driving force 3rd (N)</t>
  </si>
  <si>
    <t>Driving force 4th (N)</t>
  </si>
  <si>
    <t>Driving force 5th (N)</t>
  </si>
  <si>
    <t>Driving force 6th (N)</t>
  </si>
  <si>
    <t>Top Speed (km/h)</t>
  </si>
  <si>
    <t>Top speed (m/s)</t>
  </si>
  <si>
    <t>Driving force at top speed (N)</t>
  </si>
  <si>
    <t>Rider Mass (kg)</t>
  </si>
  <si>
    <t>Frontal Area (m2)</t>
  </si>
  <si>
    <t>Frontal Area with rider (m2)</t>
  </si>
  <si>
    <t>Coeffient of Drag</t>
  </si>
  <si>
    <r>
      <t>Density of air (at 20</t>
    </r>
    <r>
      <rPr>
        <b/>
        <sz val="11"/>
        <color theme="1"/>
        <rFont val="Calibri"/>
        <family val="2"/>
      </rPr>
      <t>°C</t>
    </r>
    <r>
      <rPr>
        <b/>
        <sz val="11"/>
        <color theme="1"/>
        <rFont val="Calibri"/>
        <family val="2"/>
        <scheme val="minor"/>
      </rPr>
      <t xml:space="preserve"> and 987 mbar)</t>
    </r>
  </si>
  <si>
    <t>Rolling Resistance (N)</t>
  </si>
  <si>
    <t>Rolling Resistance with Rider (N)</t>
  </si>
  <si>
    <t>Aero Drag Force (N)</t>
  </si>
  <si>
    <t>Aero Drag Force with Rider (N)</t>
  </si>
  <si>
    <t>Resistance to Motion (N)</t>
  </si>
  <si>
    <t>Resistance to Motion with Rider (N)</t>
  </si>
  <si>
    <t>Mass of bike (kg)</t>
  </si>
  <si>
    <t>No Rider, Level</t>
  </si>
  <si>
    <t>Rider, Level</t>
  </si>
  <si>
    <t>No Rider, Lifted</t>
  </si>
  <si>
    <t>Rider, Lifted</t>
  </si>
  <si>
    <t>Front wheel Weight (Kg)</t>
  </si>
  <si>
    <r>
      <t xml:space="preserve">Rear Wheel Weight (Kg) </t>
    </r>
    <r>
      <rPr>
        <sz val="11"/>
        <color theme="1"/>
        <rFont val="Calibri"/>
        <family val="2"/>
        <scheme val="minor"/>
      </rPr>
      <t>(weight of stool included)</t>
    </r>
  </si>
  <si>
    <t>Rider Weight (kg)</t>
  </si>
  <si>
    <t>Stool Weight (Kg)</t>
  </si>
  <si>
    <t>Wheelbase (m)</t>
  </si>
  <si>
    <t>Rav (m)</t>
  </si>
  <si>
    <t>Stool Height (m)</t>
  </si>
  <si>
    <t>Angle of Bike (Radians)</t>
  </si>
  <si>
    <t>Angle of Bike (degrees)</t>
  </si>
  <si>
    <t>Xcog (m)</t>
  </si>
  <si>
    <t>Xcog (m) with rider</t>
  </si>
  <si>
    <t>Ycog (m)</t>
  </si>
  <si>
    <t>Ycog (m) with rider</t>
  </si>
  <si>
    <t>Percentage for Xcog along wheelbase</t>
  </si>
  <si>
    <t>Percentage for Xcog with rider along wheelbase</t>
  </si>
  <si>
    <t>Zero SR/F 2021</t>
  </si>
  <si>
    <t>Honda CBR1000RR 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</si>
</sst>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000"/>
    <numFmt numFmtId="167" formatCode="0.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2" fontId="0" fillId="0" borderId="0" xfId="0" applyNumberFormat="1"/>
    <xf numFmtId="0" fontId="1" fillId="0" borderId="0" xfId="0" applyFont="1"/>
    <xf numFmtId="0" fontId="2" fillId="0" borderId="0" xfId="0" applyFont="1"/>
    <xf numFmtId="12" fontId="0" fillId="0" borderId="0" xfId="0" applyNumberFormat="1"/>
    <xf numFmtId="1" fontId="0" fillId="0" borderId="0" xfId="0" applyNumberFormat="1"/>
    <xf numFmtId="164" fontId="0" fillId="0" borderId="0" xfId="0" applyNumberFormat="1"/>
    <xf numFmtId="167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13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 b="1"/>
              <a:t>Power and Torque</a:t>
            </a:r>
            <a:r>
              <a:rPr lang="en-US" b="1" baseline="0"/>
              <a:t> against RPM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6.5358705161854769E-2"/>
          <c:y val="2.5428331875182269E-2"/>
          <c:w val="0.89019685039370078"/>
          <c:h val="0.56028543307086609"/>
        </c:manualLayout>
      </c:layout>
      <c:lineChart>
        <c:grouping val="standard"/>
        <c:varyColors val="0"/>
        <c:ser>
          <c:idx val="0"/>
          <c:order val="0"/>
          <c:tx>
            <c:strRef>
              <c:f>'Shift Point Data V4S'!$B$1</c:f>
              <c:strCache>
                <c:ptCount val="1"/>
                <c:pt idx="0">
                  <c:v>Power(hp)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numRef>
              <c:f>'Shift Point Data V4S'!$A$2:$A$22</c:f>
              <c:numCache>
                <c:formatCode>General</c:formatCode>
                <c:ptCount val="21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10000</c:v>
                </c:pt>
                <c:pt idx="13">
                  <c:v>10500</c:v>
                </c:pt>
                <c:pt idx="14">
                  <c:v>11000</c:v>
                </c:pt>
                <c:pt idx="15">
                  <c:v>11500</c:v>
                </c:pt>
                <c:pt idx="16">
                  <c:v>12000</c:v>
                </c:pt>
                <c:pt idx="17">
                  <c:v>12500</c:v>
                </c:pt>
                <c:pt idx="18">
                  <c:v>13000</c:v>
                </c:pt>
                <c:pt idx="19">
                  <c:v>13500</c:v>
                </c:pt>
                <c:pt idx="20">
                  <c:v>14000</c:v>
                </c:pt>
              </c:numCache>
            </c:numRef>
          </c:cat>
          <c:val>
            <c:numRef>
              <c:f>'Shift Point Data V4S'!$B$2:$B$22</c:f>
              <c:numCache>
                <c:formatCode>General</c:formatCode>
                <c:ptCount val="21"/>
                <c:pt idx="0">
                  <c:v>41</c:v>
                </c:pt>
                <c:pt idx="1">
                  <c:v>48</c:v>
                </c:pt>
                <c:pt idx="2">
                  <c:v>56</c:v>
                </c:pt>
                <c:pt idx="3">
                  <c:v>68</c:v>
                </c:pt>
                <c:pt idx="4">
                  <c:v>75</c:v>
                </c:pt>
                <c:pt idx="5">
                  <c:v>84</c:v>
                </c:pt>
                <c:pt idx="6">
                  <c:v>95</c:v>
                </c:pt>
                <c:pt idx="7">
                  <c:v>108</c:v>
                </c:pt>
                <c:pt idx="8">
                  <c:v>118</c:v>
                </c:pt>
                <c:pt idx="9">
                  <c:v>123</c:v>
                </c:pt>
                <c:pt idx="10">
                  <c:v>138</c:v>
                </c:pt>
                <c:pt idx="11">
                  <c:v>149</c:v>
                </c:pt>
                <c:pt idx="12">
                  <c:v>156</c:v>
                </c:pt>
                <c:pt idx="13">
                  <c:v>164</c:v>
                </c:pt>
                <c:pt idx="14">
                  <c:v>168</c:v>
                </c:pt>
                <c:pt idx="15">
                  <c:v>180</c:v>
                </c:pt>
                <c:pt idx="16">
                  <c:v>188</c:v>
                </c:pt>
                <c:pt idx="17">
                  <c:v>189</c:v>
                </c:pt>
                <c:pt idx="18">
                  <c:v>196</c:v>
                </c:pt>
                <c:pt idx="19">
                  <c:v>194</c:v>
                </c:pt>
                <c:pt idx="20">
                  <c:v>187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BBBC-4C38-BEB3-67572D03BA55}"/>
            </c:ext>
          </c:extLst>
        </c:ser>
        <c:ser>
          <c:idx val="1"/>
          <c:order val="1"/>
          <c:tx>
            <c:strRef>
              <c:f>'Shift Point Data V4S'!$C$1</c:f>
              <c:strCache>
                <c:ptCount val="1"/>
                <c:pt idx="0">
                  <c:v>Torque (Nm)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numRef>
              <c:f>'Shift Point Data V4S'!$A$2:$A$22</c:f>
              <c:numCache>
                <c:formatCode>General</c:formatCode>
                <c:ptCount val="21"/>
                <c:pt idx="0">
                  <c:v>4000</c:v>
                </c:pt>
                <c:pt idx="1">
                  <c:v>4500</c:v>
                </c:pt>
                <c:pt idx="2">
                  <c:v>5000</c:v>
                </c:pt>
                <c:pt idx="3">
                  <c:v>5500</c:v>
                </c:pt>
                <c:pt idx="4">
                  <c:v>6000</c:v>
                </c:pt>
                <c:pt idx="5">
                  <c:v>6500</c:v>
                </c:pt>
                <c:pt idx="6">
                  <c:v>7000</c:v>
                </c:pt>
                <c:pt idx="7">
                  <c:v>7500</c:v>
                </c:pt>
                <c:pt idx="8">
                  <c:v>8000</c:v>
                </c:pt>
                <c:pt idx="9">
                  <c:v>8500</c:v>
                </c:pt>
                <c:pt idx="10">
                  <c:v>9000</c:v>
                </c:pt>
                <c:pt idx="11">
                  <c:v>9500</c:v>
                </c:pt>
                <c:pt idx="12">
                  <c:v>10000</c:v>
                </c:pt>
                <c:pt idx="13">
                  <c:v>10500</c:v>
                </c:pt>
                <c:pt idx="14">
                  <c:v>11000</c:v>
                </c:pt>
                <c:pt idx="15">
                  <c:v>11500</c:v>
                </c:pt>
                <c:pt idx="16">
                  <c:v>12000</c:v>
                </c:pt>
                <c:pt idx="17">
                  <c:v>12500</c:v>
                </c:pt>
                <c:pt idx="18">
                  <c:v>13000</c:v>
                </c:pt>
                <c:pt idx="19">
                  <c:v>13500</c:v>
                </c:pt>
                <c:pt idx="20">
                  <c:v>14000</c:v>
                </c:pt>
              </c:numCache>
            </c:numRef>
          </c:cat>
          <c:val>
            <c:numRef>
              <c:f>'Shift Point Data V4S'!$C$2:$C$22</c:f>
              <c:numCache>
                <c:formatCode>General</c:formatCode>
                <c:ptCount val="21"/>
                <c:pt idx="0">
                  <c:v>54</c:v>
                </c:pt>
                <c:pt idx="1">
                  <c:v>56</c:v>
                </c:pt>
                <c:pt idx="2">
                  <c:v>58</c:v>
                </c:pt>
                <c:pt idx="3">
                  <c:v>65</c:v>
                </c:pt>
                <c:pt idx="4">
                  <c:v>65</c:v>
                </c:pt>
                <c:pt idx="5">
                  <c:v>67</c:v>
                </c:pt>
                <c:pt idx="6">
                  <c:v>72</c:v>
                </c:pt>
                <c:pt idx="7">
                  <c:v>75</c:v>
                </c:pt>
                <c:pt idx="8">
                  <c:v>78</c:v>
                </c:pt>
                <c:pt idx="9">
                  <c:v>76</c:v>
                </c:pt>
                <c:pt idx="10">
                  <c:v>80</c:v>
                </c:pt>
                <c:pt idx="11">
                  <c:v>82</c:v>
                </c:pt>
                <c:pt idx="12">
                  <c:v>81</c:v>
                </c:pt>
                <c:pt idx="13">
                  <c:v>81</c:v>
                </c:pt>
                <c:pt idx="14">
                  <c:v>80</c:v>
                </c:pt>
                <c:pt idx="15">
                  <c:v>82</c:v>
                </c:pt>
                <c:pt idx="16">
                  <c:v>82</c:v>
                </c:pt>
                <c:pt idx="17">
                  <c:v>79</c:v>
                </c:pt>
                <c:pt idx="18">
                  <c:v>78</c:v>
                </c:pt>
                <c:pt idx="19">
                  <c:v>75</c:v>
                </c:pt>
                <c:pt idx="20">
                  <c:v>71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BBBC-4C38-BEB3-67572D03BA5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20837839"/>
        <c:axId val="220834095"/>
      </c:lineChart>
      <c:catAx>
        <c:axId val="220837839"/>
        <c:scaling>
          <c:orientation val="minMax"/>
        </c:scaling>
        <c:delete val="0"/>
        <c:axPos val="b"/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Revolutions per minute</a:t>
                </a:r>
                <a:r>
                  <a:rPr lang="en-GB" baseline="0"/>
                  <a:t> (rpm)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834095"/>
        <c:crosses val="autoZero"/>
        <c:auto val="1"/>
        <c:lblAlgn val="ctr"/>
        <c:lblOffset val="100"/>
        <c:noMultiLvlLbl val="0"/>
      </c:catAx>
      <c:valAx>
        <c:axId val="220834095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Power (hp) / Torque (Nm)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220837839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b"/>
      <c:layout>
        <c:manualLayout>
          <c:xMode val="edge"/>
          <c:yMode val="edge"/>
          <c:x val="0.38613645226733978"/>
          <c:y val="0.73099968503937018"/>
          <c:w val="0.2221622651926439"/>
          <c:h val="4.5000314960629922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GB"/>
              <a:t>Driving</a:t>
            </a:r>
            <a:r>
              <a:rPr lang="en-GB" baseline="0"/>
              <a:t> Force against Road Speed in different gears to determine shift point</a:t>
            </a:r>
            <a:endParaRPr lang="en-GB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v>1st Gear</c:v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'Shift Point Data V4S'!$F$2:$F$23</c:f>
              <c:numCache>
                <c:formatCode>0</c:formatCode>
                <c:ptCount val="22"/>
                <c:pt idx="0">
                  <c:v>40.458443783370427</c:v>
                </c:pt>
                <c:pt idx="1">
                  <c:v>45.515749256291741</c:v>
                </c:pt>
                <c:pt idx="2">
                  <c:v>50.573054729213048</c:v>
                </c:pt>
                <c:pt idx="3">
                  <c:v>55.630360202134355</c:v>
                </c:pt>
                <c:pt idx="4">
                  <c:v>60.687665675055662</c:v>
                </c:pt>
                <c:pt idx="5">
                  <c:v>65.744971147976955</c:v>
                </c:pt>
                <c:pt idx="6">
                  <c:v>70.802276620898269</c:v>
                </c:pt>
                <c:pt idx="7">
                  <c:v>75.859582093819569</c:v>
                </c:pt>
                <c:pt idx="8">
                  <c:v>80.916887566740854</c:v>
                </c:pt>
                <c:pt idx="9">
                  <c:v>85.974193039662168</c:v>
                </c:pt>
                <c:pt idx="10">
                  <c:v>91.031498512583482</c:v>
                </c:pt>
                <c:pt idx="11">
                  <c:v>96.088803985504796</c:v>
                </c:pt>
                <c:pt idx="12">
                  <c:v>101.1461094584261</c:v>
                </c:pt>
                <c:pt idx="13">
                  <c:v>106.2034149313474</c:v>
                </c:pt>
                <c:pt idx="14">
                  <c:v>111.26072040426871</c:v>
                </c:pt>
                <c:pt idx="15">
                  <c:v>116.31802587719001</c:v>
                </c:pt>
                <c:pt idx="16">
                  <c:v>121.37533135011132</c:v>
                </c:pt>
                <c:pt idx="17">
                  <c:v>126.43263682303262</c:v>
                </c:pt>
                <c:pt idx="18">
                  <c:v>131.48994229595391</c:v>
                </c:pt>
                <c:pt idx="19">
                  <c:v>136.5472477688752</c:v>
                </c:pt>
                <c:pt idx="20">
                  <c:v>141.60455324179654</c:v>
                </c:pt>
                <c:pt idx="21">
                  <c:v>144.63893652554933</c:v>
                </c:pt>
              </c:numCache>
            </c:numRef>
          </c:xVal>
          <c:yVal>
            <c:numRef>
              <c:f>'Shift Point Data V4S'!$M$2:$M$23</c:f>
              <c:numCache>
                <c:formatCode>0</c:formatCode>
                <c:ptCount val="22"/>
                <c:pt idx="0">
                  <c:v>2720.4979678234795</c:v>
                </c:pt>
                <c:pt idx="1">
                  <c:v>2831.0873161089867</c:v>
                </c:pt>
                <c:pt idx="2">
                  <c:v>2972.6416819144356</c:v>
                </c:pt>
                <c:pt idx="3">
                  <c:v>3281.4875709445064</c:v>
                </c:pt>
                <c:pt idx="4">
                  <c:v>3317.6804485652174</c:v>
                </c:pt>
                <c:pt idx="5">
                  <c:v>3429.9711714397336</c:v>
                </c:pt>
                <c:pt idx="6">
                  <c:v>3602.0530584422372</c:v>
                </c:pt>
                <c:pt idx="7">
                  <c:v>3821.967876747131</c:v>
                </c:pt>
                <c:pt idx="8">
                  <c:v>3914.8629293069575</c:v>
                </c:pt>
                <c:pt idx="9">
                  <c:v>3840.7030133978528</c:v>
                </c:pt>
                <c:pt idx="10">
                  <c:v>4069.6880169066685</c:v>
                </c:pt>
                <c:pt idx="11">
                  <c:v>4162.8158891470948</c:v>
                </c:pt>
                <c:pt idx="12">
                  <c:v>4140.4651998093923</c:v>
                </c:pt>
                <c:pt idx="13">
                  <c:v>4145.520712873873</c:v>
                </c:pt>
                <c:pt idx="14">
                  <c:v>4053.6022935196847</c:v>
                </c:pt>
                <c:pt idx="15">
                  <c:v>4154.3129095077511</c:v>
                </c:pt>
                <c:pt idx="16">
                  <c:v>4158.1594955350729</c:v>
                </c:pt>
                <c:pt idx="17">
                  <c:v>4013.066270584487</c:v>
                </c:pt>
                <c:pt idx="18">
                  <c:v>4001.6330333463561</c:v>
                </c:pt>
                <c:pt idx="19">
                  <c:v>3814.1037453134959</c:v>
                </c:pt>
                <c:pt idx="20">
                  <c:v>3545.1785364668326</c:v>
                </c:pt>
                <c:pt idx="21">
                  <c:v>3396.5623613283069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FB0F-46CE-A57C-6AEA8B02CA8D}"/>
            </c:ext>
          </c:extLst>
        </c:ser>
        <c:ser>
          <c:idx val="1"/>
          <c:order val="1"/>
          <c:tx>
            <c:v>2nd Gear</c:v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'Shift Point Data V4S'!$G$2:$G$23</c:f>
              <c:numCache>
                <c:formatCode>0</c:formatCode>
                <c:ptCount val="22"/>
                <c:pt idx="0">
                  <c:v>51.857449769954968</c:v>
                </c:pt>
                <c:pt idx="1">
                  <c:v>58.339630991199336</c:v>
                </c:pt>
                <c:pt idx="2">
                  <c:v>64.821812212443703</c:v>
                </c:pt>
                <c:pt idx="3">
                  <c:v>71.303993433688078</c:v>
                </c:pt>
                <c:pt idx="4">
                  <c:v>77.786174654932452</c:v>
                </c:pt>
                <c:pt idx="5">
                  <c:v>84.268355876176813</c:v>
                </c:pt>
                <c:pt idx="6">
                  <c:v>90.750537097421173</c:v>
                </c:pt>
                <c:pt idx="7">
                  <c:v>97.232718318665562</c:v>
                </c:pt>
                <c:pt idx="8">
                  <c:v>103.71489953990994</c:v>
                </c:pt>
                <c:pt idx="9">
                  <c:v>110.19708076115431</c:v>
                </c:pt>
                <c:pt idx="10">
                  <c:v>116.67926198239867</c:v>
                </c:pt>
                <c:pt idx="11">
                  <c:v>123.16144320364306</c:v>
                </c:pt>
                <c:pt idx="12">
                  <c:v>129.64362442488741</c:v>
                </c:pt>
                <c:pt idx="13">
                  <c:v>136.12580564613179</c:v>
                </c:pt>
                <c:pt idx="14">
                  <c:v>142.60798686737616</c:v>
                </c:pt>
                <c:pt idx="15">
                  <c:v>149.09016808862052</c:v>
                </c:pt>
                <c:pt idx="16">
                  <c:v>155.5723493098649</c:v>
                </c:pt>
                <c:pt idx="17">
                  <c:v>162.05453053110926</c:v>
                </c:pt>
                <c:pt idx="18">
                  <c:v>168.53671175235363</c:v>
                </c:pt>
                <c:pt idx="19">
                  <c:v>175.01889297359801</c:v>
                </c:pt>
                <c:pt idx="20">
                  <c:v>181.50107419484235</c:v>
                </c:pt>
                <c:pt idx="21">
                  <c:v>185.39038292758897</c:v>
                </c:pt>
              </c:numCache>
            </c:numRef>
          </c:xVal>
          <c:yVal>
            <c:numRef>
              <c:f>'Shift Point Data V4S'!$N$2:$N$23</c:f>
              <c:numCache>
                <c:formatCode>0</c:formatCode>
                <c:ptCount val="22"/>
                <c:pt idx="0">
                  <c:v>2122.4937705619714</c:v>
                </c:pt>
                <c:pt idx="1">
                  <c:v>2208.7740051376613</c:v>
                </c:pt>
                <c:pt idx="2">
                  <c:v>2319.2127053945442</c:v>
                </c:pt>
                <c:pt idx="3">
                  <c:v>2560.1698695913797</c:v>
                </c:pt>
                <c:pt idx="4">
                  <c:v>2588.407037270696</c:v>
                </c:pt>
                <c:pt idx="5">
                  <c:v>2676.014660070628</c:v>
                </c:pt>
                <c:pt idx="6">
                  <c:v>2810.2704976081859</c:v>
                </c:pt>
                <c:pt idx="7">
                  <c:v>2981.8449069358421</c:v>
                </c:pt>
                <c:pt idx="8">
                  <c:v>3054.3203039794216</c:v>
                </c:pt>
                <c:pt idx="9">
                  <c:v>2996.4617937345474</c:v>
                </c:pt>
                <c:pt idx="10">
                  <c:v>3175.1126323853882</c:v>
                </c:pt>
                <c:pt idx="11">
                  <c:v>3247.7696720280733</c:v>
                </c:pt>
                <c:pt idx="12">
                  <c:v>3230.3319825138296</c:v>
                </c:pt>
                <c:pt idx="13">
                  <c:v>3234.2762218087173</c:v>
                </c:pt>
                <c:pt idx="14">
                  <c:v>3162.5627800834695</c:v>
                </c:pt>
                <c:pt idx="15">
                  <c:v>3241.1357684085247</c:v>
                </c:pt>
                <c:pt idx="16">
                  <c:v>3244.1368200459397</c:v>
                </c:pt>
                <c:pt idx="17">
                  <c:v>3130.9371522826341</c:v>
                </c:pt>
                <c:pt idx="18">
                  <c:v>3122.0171034157329</c:v>
                </c:pt>
                <c:pt idx="19">
                  <c:v>2975.7094235882373</c:v>
                </c:pt>
                <c:pt idx="20">
                  <c:v>2765.8978055406878</c:v>
                </c:pt>
                <c:pt idx="21">
                  <c:v>2649.9495822127974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FB0F-46CE-A57C-6AEA8B02CA8D}"/>
            </c:ext>
          </c:extLst>
        </c:ser>
        <c:ser>
          <c:idx val="2"/>
          <c:order val="2"/>
          <c:tx>
            <c:v>3rd Gear</c:v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numRef>
              <c:f>'Shift Point Data V4S'!$H$2:$H$23</c:f>
              <c:numCache>
                <c:formatCode>0</c:formatCode>
                <c:ptCount val="22"/>
                <c:pt idx="0">
                  <c:v>63.227264960159012</c:v>
                </c:pt>
                <c:pt idx="1">
                  <c:v>71.13067308017888</c:v>
                </c:pt>
                <c:pt idx="2">
                  <c:v>79.034081200198756</c:v>
                </c:pt>
                <c:pt idx="3">
                  <c:v>86.937489320218617</c:v>
                </c:pt>
                <c:pt idx="4">
                  <c:v>94.840897440238507</c:v>
                </c:pt>
                <c:pt idx="5">
                  <c:v>102.74430556025838</c:v>
                </c:pt>
                <c:pt idx="6">
                  <c:v>110.64771368027824</c:v>
                </c:pt>
                <c:pt idx="7">
                  <c:v>118.55112180029813</c:v>
                </c:pt>
                <c:pt idx="8">
                  <c:v>126.45452992031802</c:v>
                </c:pt>
                <c:pt idx="9">
                  <c:v>134.35793804033787</c:v>
                </c:pt>
                <c:pt idx="10">
                  <c:v>142.26134616035776</c:v>
                </c:pt>
                <c:pt idx="11">
                  <c:v>150.16475428037765</c:v>
                </c:pt>
                <c:pt idx="12">
                  <c:v>158.06816240039751</c:v>
                </c:pt>
                <c:pt idx="13">
                  <c:v>165.9715705204174</c:v>
                </c:pt>
                <c:pt idx="14">
                  <c:v>173.87497864043723</c:v>
                </c:pt>
                <c:pt idx="15">
                  <c:v>181.7783867604571</c:v>
                </c:pt>
                <c:pt idx="16">
                  <c:v>189.68179488047701</c:v>
                </c:pt>
                <c:pt idx="17">
                  <c:v>197.58520300049685</c:v>
                </c:pt>
                <c:pt idx="18">
                  <c:v>205.48861112051677</c:v>
                </c:pt>
                <c:pt idx="19">
                  <c:v>213.3920192405366</c:v>
                </c:pt>
                <c:pt idx="20">
                  <c:v>221.29542736055649</c:v>
                </c:pt>
                <c:pt idx="21">
                  <c:v>226.03747223256846</c:v>
                </c:pt>
              </c:numCache>
            </c:numRef>
          </c:xVal>
          <c:yVal>
            <c:numRef>
              <c:f>'Shift Point Data V4S'!$O$2:$O$23</c:f>
              <c:numCache>
                <c:formatCode>0</c:formatCode>
                <c:ptCount val="22"/>
                <c:pt idx="0">
                  <c:v>1740.8172591889847</c:v>
                </c:pt>
                <c:pt idx="1">
                  <c:v>1811.5821884243094</c:v>
                </c:pt>
                <c:pt idx="2">
                  <c:v>1902.161297845525</c:v>
                </c:pt>
                <c:pt idx="3">
                  <c:v>2099.7884456736315</c:v>
                </c:pt>
                <c:pt idx="4">
                  <c:v>2122.9478770597375</c:v>
                </c:pt>
                <c:pt idx="5">
                  <c:v>2194.8014975140673</c:v>
                </c:pt>
                <c:pt idx="6">
                  <c:v>2304.9148379505727</c:v>
                </c:pt>
                <c:pt idx="7">
                  <c:v>2445.6359543728177</c:v>
                </c:pt>
                <c:pt idx="8">
                  <c:v>2505.0784949304898</c:v>
                </c:pt>
                <c:pt idx="9">
                  <c:v>2457.6243659138613</c:v>
                </c:pt>
                <c:pt idx="10">
                  <c:v>2604.1493958599449</c:v>
                </c:pt>
                <c:pt idx="11">
                  <c:v>2663.7409152160071</c:v>
                </c:pt>
                <c:pt idx="12">
                  <c:v>2649.4389505705531</c:v>
                </c:pt>
                <c:pt idx="13">
                  <c:v>2652.673918764167</c:v>
                </c:pt>
                <c:pt idx="14">
                  <c:v>2593.8563152438978</c:v>
                </c:pt>
                <c:pt idx="15">
                  <c:v>2658.2999504052373</c:v>
                </c:pt>
                <c:pt idx="16">
                  <c:v>2660.7613392482044</c:v>
                </c:pt>
                <c:pt idx="17">
                  <c:v>2567.9177520914586</c:v>
                </c:pt>
                <c:pt idx="18">
                  <c:v>2560.6017470997449</c:v>
                </c:pt>
                <c:pt idx="19">
                  <c:v>2440.6037816271951</c:v>
                </c:pt>
                <c:pt idx="20">
                  <c:v>2268.5214457724055</c:v>
                </c:pt>
                <c:pt idx="21">
                  <c:v>2173.4235608499689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FB0F-46CE-A57C-6AEA8B02CA8D}"/>
            </c:ext>
          </c:extLst>
        </c:ser>
        <c:ser>
          <c:idx val="3"/>
          <c:order val="3"/>
          <c:tx>
            <c:v>4th Gear</c:v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numRef>
              <c:f>'Shift Point Data V4S'!$I$2:$I$23</c:f>
              <c:numCache>
                <c:formatCode>0</c:formatCode>
                <c:ptCount val="22"/>
                <c:pt idx="0">
                  <c:v>72.066602989128597</c:v>
                </c:pt>
                <c:pt idx="1">
                  <c:v>81.074928362769668</c:v>
                </c:pt>
                <c:pt idx="2">
                  <c:v>90.08325373641074</c:v>
                </c:pt>
                <c:pt idx="3">
                  <c:v>99.091579110051811</c:v>
                </c:pt>
                <c:pt idx="4">
                  <c:v>108.09990448369287</c:v>
                </c:pt>
                <c:pt idx="5">
                  <c:v>117.10822985733395</c:v>
                </c:pt>
                <c:pt idx="6">
                  <c:v>126.11655523097504</c:v>
                </c:pt>
                <c:pt idx="7">
                  <c:v>135.1248806046161</c:v>
                </c:pt>
                <c:pt idx="8">
                  <c:v>144.13320597825719</c:v>
                </c:pt>
                <c:pt idx="9">
                  <c:v>153.14153135189824</c:v>
                </c:pt>
                <c:pt idx="10">
                  <c:v>162.14985672553934</c:v>
                </c:pt>
                <c:pt idx="11">
                  <c:v>171.15818209918041</c:v>
                </c:pt>
                <c:pt idx="12">
                  <c:v>180.16650747282148</c:v>
                </c:pt>
                <c:pt idx="13">
                  <c:v>189.17483284646255</c:v>
                </c:pt>
                <c:pt idx="14">
                  <c:v>198.18315822010362</c:v>
                </c:pt>
                <c:pt idx="15">
                  <c:v>207.19148359374472</c:v>
                </c:pt>
                <c:pt idx="16">
                  <c:v>216.19980896738574</c:v>
                </c:pt>
                <c:pt idx="17">
                  <c:v>225.20813434102686</c:v>
                </c:pt>
                <c:pt idx="18">
                  <c:v>234.21645971466791</c:v>
                </c:pt>
                <c:pt idx="19">
                  <c:v>243.22478508830901</c:v>
                </c:pt>
                <c:pt idx="20">
                  <c:v>252.23311046195008</c:v>
                </c:pt>
                <c:pt idx="21">
                  <c:v>257.63810568613468</c:v>
                </c:pt>
              </c:numCache>
            </c:numRef>
          </c:xVal>
          <c:yVal>
            <c:numRef>
              <c:f>'Shift Point Data V4S'!$P$2:$P$23</c:f>
              <c:numCache>
                <c:formatCode>0</c:formatCode>
                <c:ptCount val="22"/>
                <c:pt idx="0">
                  <c:v>1527.2971047430055</c:v>
                </c:pt>
                <c:pt idx="1">
                  <c:v>1589.3823529032904</c:v>
                </c:pt>
                <c:pt idx="2">
                  <c:v>1668.8514705484552</c:v>
                </c:pt>
                <c:pt idx="3">
                  <c:v>1842.2386363197231</c:v>
                </c:pt>
                <c:pt idx="4">
                  <c:v>1862.5574448085436</c:v>
                </c:pt>
                <c:pt idx="5">
                  <c:v>1925.5978506328331</c:v>
                </c:pt>
                <c:pt idx="6">
                  <c:v>2022.2052257921332</c:v>
                </c:pt>
                <c:pt idx="7">
                  <c:v>2145.6661764194423</c:v>
                </c:pt>
                <c:pt idx="8">
                  <c:v>2197.8177848740811</c:v>
                </c:pt>
                <c:pt idx="9">
                  <c:v>2156.1841478724791</c:v>
                </c:pt>
                <c:pt idx="10">
                  <c:v>2284.73713229848</c:v>
                </c:pt>
                <c:pt idx="11">
                  <c:v>2337.0194465387199</c:v>
                </c:pt>
                <c:pt idx="12">
                  <c:v>2324.4716911210626</c:v>
                </c:pt>
                <c:pt idx="13">
                  <c:v>2327.3098738941039</c:v>
                </c:pt>
                <c:pt idx="14">
                  <c:v>2275.7065507478933</c:v>
                </c:pt>
                <c:pt idx="15">
                  <c:v>2332.2458439341758</c:v>
                </c:pt>
                <c:pt idx="16">
                  <c:v>2334.4053308267085</c:v>
                </c:pt>
                <c:pt idx="17">
                  <c:v>2252.9494852404137</c:v>
                </c:pt>
                <c:pt idx="18">
                  <c:v>2246.5308257383053</c:v>
                </c:pt>
                <c:pt idx="19">
                  <c:v>2141.251225439155</c:v>
                </c:pt>
                <c:pt idx="20">
                  <c:v>1990.2756695954149</c:v>
                </c:pt>
                <c:pt idx="21">
                  <c:v>1906.842027412383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FB0F-46CE-A57C-6AEA8B02CA8D}"/>
            </c:ext>
          </c:extLst>
        </c:ser>
        <c:ser>
          <c:idx val="4"/>
          <c:order val="4"/>
          <c:tx>
            <c:v>5th Gear</c:v>
          </c:tx>
          <c:spPr>
            <a:ln w="19050" cap="rnd">
              <a:solidFill>
                <a:schemeClr val="accent5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5"/>
              </a:solidFill>
              <a:ln w="9525">
                <a:solidFill>
                  <a:schemeClr val="accent5"/>
                </a:solidFill>
              </a:ln>
              <a:effectLst/>
            </c:spPr>
          </c:marker>
          <c:xVal>
            <c:numRef>
              <c:f>'Shift Point Data V4S'!$J$2:$J$23</c:f>
              <c:numCache>
                <c:formatCode>0</c:formatCode>
                <c:ptCount val="22"/>
                <c:pt idx="0">
                  <c:v>80.5315690545183</c:v>
                </c:pt>
                <c:pt idx="1">
                  <c:v>90.598015186333086</c:v>
                </c:pt>
                <c:pt idx="2">
                  <c:v>100.66446131814786</c:v>
                </c:pt>
                <c:pt idx="3">
                  <c:v>110.73090744996264</c:v>
                </c:pt>
                <c:pt idx="4">
                  <c:v>120.79735358177746</c:v>
                </c:pt>
                <c:pt idx="5">
                  <c:v>130.86379971359227</c:v>
                </c:pt>
                <c:pt idx="6">
                  <c:v>140.93024584540703</c:v>
                </c:pt>
                <c:pt idx="7">
                  <c:v>150.99669197722181</c:v>
                </c:pt>
                <c:pt idx="8">
                  <c:v>161.0631381090366</c:v>
                </c:pt>
                <c:pt idx="9">
                  <c:v>171.12958424085136</c:v>
                </c:pt>
                <c:pt idx="10">
                  <c:v>181.19603037266617</c:v>
                </c:pt>
                <c:pt idx="11">
                  <c:v>191.2624765044809</c:v>
                </c:pt>
                <c:pt idx="12">
                  <c:v>201.32892263629572</c:v>
                </c:pt>
                <c:pt idx="13">
                  <c:v>211.3953687681105</c:v>
                </c:pt>
                <c:pt idx="14">
                  <c:v>221.46181489992529</c:v>
                </c:pt>
                <c:pt idx="15">
                  <c:v>231.52826103174004</c:v>
                </c:pt>
                <c:pt idx="16">
                  <c:v>241.59470716355492</c:v>
                </c:pt>
                <c:pt idx="17">
                  <c:v>251.66115329536967</c:v>
                </c:pt>
                <c:pt idx="18">
                  <c:v>261.72759942718454</c:v>
                </c:pt>
                <c:pt idx="19">
                  <c:v>271.79404555899924</c:v>
                </c:pt>
                <c:pt idx="20">
                  <c:v>281.86049169081406</c:v>
                </c:pt>
                <c:pt idx="21">
                  <c:v>287.9003593699029</c:v>
                </c:pt>
              </c:numCache>
            </c:numRef>
          </c:xVal>
          <c:yVal>
            <c:numRef>
              <c:f>'Shift Point Data V4S'!$Q$2:$Q$23</c:f>
              <c:numCache>
                <c:formatCode>0</c:formatCode>
                <c:ptCount val="22"/>
                <c:pt idx="0">
                  <c:v>1366.7573522558148</c:v>
                </c:pt>
                <c:pt idx="1">
                  <c:v>1422.3165942174332</c:v>
                </c:pt>
                <c:pt idx="2">
                  <c:v>1493.4324239283051</c:v>
                </c:pt>
                <c:pt idx="3">
                  <c:v>1648.5942342065705</c:v>
                </c:pt>
                <c:pt idx="4">
                  <c:v>1666.7772588485543</c:v>
                </c:pt>
                <c:pt idx="5">
                  <c:v>1723.1912583788128</c:v>
                </c:pt>
                <c:pt idx="6">
                  <c:v>1809.6438810355737</c:v>
                </c:pt>
                <c:pt idx="7">
                  <c:v>1920.1274021935346</c:v>
                </c:pt>
                <c:pt idx="8">
                  <c:v>1966.7971654412943</c:v>
                </c:pt>
                <c:pt idx="9">
                  <c:v>1929.5397914199743</c:v>
                </c:pt>
                <c:pt idx="10">
                  <c:v>2044.5801041875604</c:v>
                </c:pt>
                <c:pt idx="11">
                  <c:v>2091.3668342605029</c:v>
                </c:pt>
                <c:pt idx="12">
                  <c:v>2080.1380190429963</c:v>
                </c:pt>
                <c:pt idx="13">
                  <c:v>2082.6778701040989</c:v>
                </c:pt>
                <c:pt idx="14">
                  <c:v>2036.4987599022343</c:v>
                </c:pt>
                <c:pt idx="15">
                  <c:v>2087.0950023842779</c:v>
                </c:pt>
                <c:pt idx="16">
                  <c:v>2089.0274977568552</c:v>
                </c:pt>
                <c:pt idx="17">
                  <c:v>2016.1337723032116</c:v>
                </c:pt>
                <c:pt idx="18">
                  <c:v>2010.3898014419485</c:v>
                </c:pt>
                <c:pt idx="19">
                  <c:v>1916.1765227651533</c:v>
                </c:pt>
                <c:pt idx="20">
                  <c:v>1781.0705565981698</c:v>
                </c:pt>
                <c:pt idx="21">
                  <c:v>1706.4069279400587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4-FB0F-46CE-A57C-6AEA8B02CA8D}"/>
            </c:ext>
          </c:extLst>
        </c:ser>
        <c:ser>
          <c:idx val="5"/>
          <c:order val="5"/>
          <c:tx>
            <c:v>6th Gear</c:v>
          </c:tx>
          <c:spPr>
            <a:ln w="19050" cap="rnd">
              <a:solidFill>
                <a:schemeClr val="accent6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6"/>
              </a:solidFill>
              <a:ln w="9525">
                <a:solidFill>
                  <a:schemeClr val="accent6"/>
                </a:solidFill>
              </a:ln>
              <a:effectLst/>
            </c:spPr>
          </c:marker>
          <c:xVal>
            <c:numRef>
              <c:f>'Shift Point Data V4S'!$K$2:$K$23</c:f>
              <c:numCache>
                <c:formatCode>0</c:formatCode>
                <c:ptCount val="22"/>
                <c:pt idx="0">
                  <c:v>87.852620786747238</c:v>
                </c:pt>
                <c:pt idx="1">
                  <c:v>98.83419838509063</c:v>
                </c:pt>
                <c:pt idx="2">
                  <c:v>109.81577598343404</c:v>
                </c:pt>
                <c:pt idx="3">
                  <c:v>120.79735358177746</c:v>
                </c:pt>
                <c:pt idx="4">
                  <c:v>131.77893118012085</c:v>
                </c:pt>
                <c:pt idx="5">
                  <c:v>142.76050877846427</c:v>
                </c:pt>
                <c:pt idx="6">
                  <c:v>153.74208637680766</c:v>
                </c:pt>
                <c:pt idx="7">
                  <c:v>164.72366397515108</c:v>
                </c:pt>
                <c:pt idx="8">
                  <c:v>175.70524157349448</c:v>
                </c:pt>
                <c:pt idx="9">
                  <c:v>186.68681917183787</c:v>
                </c:pt>
                <c:pt idx="10">
                  <c:v>197.66839677018126</c:v>
                </c:pt>
                <c:pt idx="11">
                  <c:v>208.64997436852465</c:v>
                </c:pt>
                <c:pt idx="12">
                  <c:v>219.63155196686807</c:v>
                </c:pt>
                <c:pt idx="13">
                  <c:v>230.61312956521152</c:v>
                </c:pt>
                <c:pt idx="14">
                  <c:v>241.59470716355492</c:v>
                </c:pt>
                <c:pt idx="15">
                  <c:v>252.57628476189828</c:v>
                </c:pt>
                <c:pt idx="16">
                  <c:v>263.5578623602417</c:v>
                </c:pt>
                <c:pt idx="17">
                  <c:v>274.53943995858509</c:v>
                </c:pt>
                <c:pt idx="18">
                  <c:v>285.52101755692854</c:v>
                </c:pt>
                <c:pt idx="19">
                  <c:v>296.50259515527188</c:v>
                </c:pt>
                <c:pt idx="20">
                  <c:v>307.48417275361533</c:v>
                </c:pt>
                <c:pt idx="21">
                  <c:v>314.07311931262137</c:v>
                </c:pt>
              </c:numCache>
            </c:numRef>
          </c:xVal>
          <c:yVal>
            <c:numRef>
              <c:f>'Shift Point Data V4S'!$R$2:$R$23</c:f>
              <c:numCache>
                <c:formatCode>0</c:formatCode>
                <c:ptCount val="22"/>
                <c:pt idx="0">
                  <c:v>1252.8609062344967</c:v>
                </c:pt>
                <c:pt idx="1">
                  <c:v>1303.7902113659807</c:v>
                </c:pt>
                <c:pt idx="2">
                  <c:v>1368.9797219342795</c:v>
                </c:pt>
                <c:pt idx="3">
                  <c:v>1511.2113813560227</c:v>
                </c:pt>
                <c:pt idx="4">
                  <c:v>1527.8791539445081</c:v>
                </c:pt>
                <c:pt idx="5">
                  <c:v>1579.5919868472456</c:v>
                </c:pt>
                <c:pt idx="6">
                  <c:v>1658.8402242826091</c:v>
                </c:pt>
                <c:pt idx="7">
                  <c:v>1760.1167853440736</c:v>
                </c:pt>
                <c:pt idx="8">
                  <c:v>1802.8974016545196</c:v>
                </c:pt>
                <c:pt idx="9">
                  <c:v>1768.7448088016429</c:v>
                </c:pt>
                <c:pt idx="10">
                  <c:v>1874.1984288385972</c:v>
                </c:pt>
                <c:pt idx="11">
                  <c:v>1917.0862647387939</c:v>
                </c:pt>
                <c:pt idx="12">
                  <c:v>1906.7931841227467</c:v>
                </c:pt>
                <c:pt idx="13">
                  <c:v>1909.1213809287569</c:v>
                </c:pt>
                <c:pt idx="14">
                  <c:v>1866.7905299103811</c:v>
                </c:pt>
                <c:pt idx="15">
                  <c:v>1913.170418852254</c:v>
                </c:pt>
                <c:pt idx="16">
                  <c:v>1914.9418729437839</c:v>
                </c:pt>
                <c:pt idx="17">
                  <c:v>1848.1226246112772</c:v>
                </c:pt>
                <c:pt idx="18">
                  <c:v>1842.8573179884531</c:v>
                </c:pt>
                <c:pt idx="19">
                  <c:v>1756.4951458680573</c:v>
                </c:pt>
                <c:pt idx="20">
                  <c:v>1632.6480102149887</c:v>
                </c:pt>
                <c:pt idx="21">
                  <c:v>1564.2063506117204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5-FB0F-46CE-A57C-6AEA8B02CA8D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1596181584"/>
        <c:axId val="1596179504"/>
      </c:scatterChart>
      <c:valAx>
        <c:axId val="159618158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Road Speed</a:t>
                </a:r>
                <a:r>
                  <a:rPr lang="en-GB" baseline="0"/>
                  <a:t> (km/h)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179504"/>
        <c:crosses val="autoZero"/>
        <c:crossBetween val="midCat"/>
      </c:valAx>
      <c:valAx>
        <c:axId val="15961795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GB"/>
                  <a:t>Driving</a:t>
                </a:r>
                <a:r>
                  <a:rPr lang="en-GB" baseline="0"/>
                  <a:t> Force (N)</a:t>
                </a:r>
                <a:endParaRPr lang="en-GB"/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en-US"/>
            </a:p>
          </c:txPr>
        </c:title>
        <c:numFmt formatCode="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596181584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</xdr:colOff>
      <xdr:row>0</xdr:row>
      <xdr:rowOff>76200</xdr:rowOff>
    </xdr:from>
    <xdr:to>
      <xdr:col>15</xdr:col>
      <xdr:colOff>381000</xdr:colOff>
      <xdr:row>44</xdr:row>
      <xdr:rowOff>91440</xdr:rowOff>
    </xdr:to>
    <xdr:graphicFrame macro="">
      <xdr:nvGraphicFramePr>
        <xdr:cNvPr id="3" name="Chart 2">
          <a:extLst>
            <a:ext uri="{FF2B5EF4-FFF2-40B4-BE49-F238E27FC236}">
              <a16:creationId xmlns:a16="http://schemas.microsoft.com/office/drawing/2014/main" id="{6EE1A1E4-459B-4378-B7C1-E1FE269473B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28</xdr:col>
      <xdr:colOff>554182</xdr:colOff>
      <xdr:row>49</xdr:row>
      <xdr:rowOff>121226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6676F8E-D93F-48F5-A8F9-8BBBE42EBCF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46C5F7-614E-4935-A5D7-A28382F69F69}">
  <dimension ref="A1:K21"/>
  <sheetViews>
    <sheetView tabSelected="1" workbookViewId="0">
      <selection activeCell="J23" sqref="J23"/>
    </sheetView>
  </sheetViews>
  <sheetFormatPr defaultRowHeight="14.4" x14ac:dyDescent="0.3"/>
  <cols>
    <col min="1" max="1" width="42.6640625" customWidth="1"/>
    <col min="2" max="2" width="13.33203125" customWidth="1"/>
    <col min="3" max="3" width="10.77734375" customWidth="1"/>
    <col min="4" max="4" width="14.21875" customWidth="1"/>
    <col min="5" max="5" width="11.21875" customWidth="1"/>
    <col min="7" max="7" width="41.77734375" customWidth="1"/>
    <col min="8" max="8" width="13.88671875" customWidth="1"/>
    <col min="9" max="9" width="10.5546875" customWidth="1"/>
    <col min="10" max="10" width="13.6640625" customWidth="1"/>
    <col min="11" max="11" width="11" customWidth="1"/>
  </cols>
  <sheetData>
    <row r="1" spans="1:11" x14ac:dyDescent="0.3">
      <c r="A1" s="2" t="s">
        <v>80</v>
      </c>
      <c r="B1" s="2" t="s">
        <v>60</v>
      </c>
      <c r="C1" s="2" t="s">
        <v>61</v>
      </c>
      <c r="D1" s="2" t="s">
        <v>62</v>
      </c>
      <c r="E1" s="2" t="s">
        <v>63</v>
      </c>
      <c r="G1" s="2" t="s">
        <v>79</v>
      </c>
      <c r="H1" s="2" t="s">
        <v>60</v>
      </c>
      <c r="I1" s="2" t="s">
        <v>61</v>
      </c>
      <c r="J1" s="2" t="s">
        <v>62</v>
      </c>
      <c r="K1" s="2" t="s">
        <v>63</v>
      </c>
    </row>
    <row r="2" spans="1:11" x14ac:dyDescent="0.3">
      <c r="A2" s="2" t="s">
        <v>64</v>
      </c>
      <c r="B2" s="1">
        <v>104.4</v>
      </c>
      <c r="C2" s="1">
        <v>134</v>
      </c>
      <c r="D2" s="1">
        <v>112</v>
      </c>
      <c r="E2" s="1">
        <v>147.19999999999999</v>
      </c>
      <c r="G2" s="2" t="s">
        <v>64</v>
      </c>
      <c r="H2" s="1">
        <v>117.7</v>
      </c>
      <c r="I2" s="1">
        <v>145.30000000000001</v>
      </c>
      <c r="J2" s="1">
        <v>124.7</v>
      </c>
      <c r="K2" s="1">
        <v>159.19999999999999</v>
      </c>
    </row>
    <row r="3" spans="1:11" x14ac:dyDescent="0.3">
      <c r="A3" s="2" t="s">
        <v>65</v>
      </c>
      <c r="B3" s="1">
        <v>94.65</v>
      </c>
      <c r="C3" s="1">
        <v>137.19999999999999</v>
      </c>
      <c r="D3" s="1">
        <v>109.2</v>
      </c>
      <c r="E3" s="1">
        <v>146</v>
      </c>
      <c r="G3" s="2" t="s">
        <v>65</v>
      </c>
      <c r="H3" s="1">
        <v>106.85</v>
      </c>
      <c r="I3" s="1">
        <v>152.6</v>
      </c>
      <c r="J3" s="1">
        <v>122.8</v>
      </c>
      <c r="K3" s="1">
        <v>161.1</v>
      </c>
    </row>
    <row r="4" spans="1:11" x14ac:dyDescent="0.3">
      <c r="A4" s="2" t="s">
        <v>66</v>
      </c>
      <c r="B4">
        <v>72.150000000000006</v>
      </c>
      <c r="G4" s="2" t="s">
        <v>66</v>
      </c>
      <c r="H4">
        <v>73.150000000000006</v>
      </c>
    </row>
    <row r="5" spans="1:11" x14ac:dyDescent="0.3">
      <c r="A5" s="2" t="s">
        <v>67</v>
      </c>
      <c r="B5">
        <v>22.15</v>
      </c>
      <c r="G5" s="2" t="s">
        <v>67</v>
      </c>
      <c r="H5">
        <v>22.15</v>
      </c>
    </row>
    <row r="6" spans="1:11" x14ac:dyDescent="0.3">
      <c r="A6" s="2"/>
      <c r="G6" s="2"/>
    </row>
    <row r="7" spans="1:11" x14ac:dyDescent="0.3">
      <c r="A7" s="2" t="s">
        <v>68</v>
      </c>
      <c r="B7">
        <v>1.39</v>
      </c>
      <c r="G7" s="2" t="s">
        <v>68</v>
      </c>
      <c r="H7">
        <v>1.45</v>
      </c>
    </row>
    <row r="8" spans="1:11" x14ac:dyDescent="0.3">
      <c r="A8" s="2"/>
      <c r="G8" s="2"/>
    </row>
    <row r="9" spans="1:11" x14ac:dyDescent="0.3">
      <c r="A9" s="2" t="s">
        <v>69</v>
      </c>
      <c r="B9">
        <v>0.3054</v>
      </c>
      <c r="G9" s="2" t="s">
        <v>69</v>
      </c>
      <c r="H9">
        <v>0.30740000000000001</v>
      </c>
    </row>
    <row r="11" spans="1:11" x14ac:dyDescent="0.3">
      <c r="A11" s="2" t="s">
        <v>70</v>
      </c>
      <c r="B11">
        <v>0.35</v>
      </c>
      <c r="G11" s="2" t="s">
        <v>70</v>
      </c>
      <c r="H11">
        <v>0.35</v>
      </c>
    </row>
    <row r="13" spans="1:11" x14ac:dyDescent="0.3">
      <c r="A13" s="2" t="s">
        <v>71</v>
      </c>
      <c r="B13" s="1">
        <f>ASIN(B11/B7)</f>
        <v>0.25453824784931928</v>
      </c>
      <c r="G13" s="2" t="s">
        <v>71</v>
      </c>
      <c r="H13" s="1">
        <f>ASIN(H11/H7)</f>
        <v>0.24378693846833557</v>
      </c>
    </row>
    <row r="14" spans="1:11" x14ac:dyDescent="0.3">
      <c r="A14" s="2" t="s">
        <v>72</v>
      </c>
      <c r="B14">
        <f>B13*180/PI()</f>
        <v>14.583967326420899</v>
      </c>
      <c r="G14" s="2" t="s">
        <v>72</v>
      </c>
      <c r="H14">
        <f>H13*180/PI()</f>
        <v>13.967962674651121</v>
      </c>
    </row>
    <row r="15" spans="1:11" x14ac:dyDescent="0.3">
      <c r="A15" s="2"/>
      <c r="G15" s="2"/>
    </row>
    <row r="16" spans="1:11" x14ac:dyDescent="0.3">
      <c r="A16" s="2" t="s">
        <v>73</v>
      </c>
      <c r="B16" s="6">
        <f>B3*B7/(B2+B3)</f>
        <v>0.6609570459683497</v>
      </c>
      <c r="G16" s="2" t="s">
        <v>73</v>
      </c>
      <c r="H16" s="6">
        <f>H3*H7/(H2+H3)</f>
        <v>0.68996882654197267</v>
      </c>
    </row>
    <row r="17" spans="1:10" x14ac:dyDescent="0.3">
      <c r="A17" s="2" t="s">
        <v>74</v>
      </c>
      <c r="B17" s="6">
        <f>C3*B7/(C2+C3)</f>
        <v>0.70320058997050139</v>
      </c>
      <c r="G17" s="2" t="s">
        <v>74</v>
      </c>
      <c r="H17" s="6">
        <f>I3*H7/(I2+I3)</f>
        <v>0.74276602886874787</v>
      </c>
    </row>
    <row r="18" spans="1:10" x14ac:dyDescent="0.3">
      <c r="A18" s="2" t="s">
        <v>75</v>
      </c>
      <c r="B18" s="6">
        <f>((B7*(B3-D3+B5))/((B2+B3)*TAN(B13)))+B9</f>
        <v>0.50938087953037925</v>
      </c>
      <c r="D18" s="1"/>
      <c r="G18" s="2" t="s">
        <v>75</v>
      </c>
      <c r="H18" s="6">
        <f>((H7*(H3-J3+H5))/((H2+H3)*TAN(H13)))+H9</f>
        <v>0.46835748709156444</v>
      </c>
      <c r="J18" s="1"/>
    </row>
    <row r="19" spans="1:10" x14ac:dyDescent="0.3">
      <c r="A19" s="2" t="s">
        <v>76</v>
      </c>
      <c r="B19" s="6">
        <f>((B7*(C3-E3+B5))/((C2+C3)*TAN(B13)))+B9</f>
        <v>0.56838418376487931</v>
      </c>
      <c r="G19" s="2" t="s">
        <v>76</v>
      </c>
      <c r="H19" s="6">
        <f>((H7*(I3-K3+H5))/((I2+I3)*TAN(H13)))+H9</f>
        <v>0.57451280082378142</v>
      </c>
    </row>
    <row r="20" spans="1:10" x14ac:dyDescent="0.3">
      <c r="A20" s="2" t="s">
        <v>77</v>
      </c>
      <c r="B20" s="7">
        <f>(B16/$B$7)*100</f>
        <v>47.550866616428038</v>
      </c>
      <c r="G20" s="2" t="s">
        <v>77</v>
      </c>
      <c r="H20" s="7">
        <f>(H16/$H$7)*100</f>
        <v>47.584057002894667</v>
      </c>
    </row>
    <row r="21" spans="1:10" x14ac:dyDescent="0.3">
      <c r="A21" s="2" t="s">
        <v>78</v>
      </c>
      <c r="B21" s="7">
        <f>(B17/$B$7)*100</f>
        <v>50.589970501474923</v>
      </c>
      <c r="G21" s="2" t="s">
        <v>78</v>
      </c>
      <c r="H21" s="7">
        <f>(H17/$H$7)*100</f>
        <v>51.225243370258475</v>
      </c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728476-DC5E-4CAE-B03A-494618D8BC82}">
  <dimension ref="A1:U25"/>
  <sheetViews>
    <sheetView workbookViewId="0">
      <selection activeCell="F15" sqref="F15"/>
    </sheetView>
  </sheetViews>
  <sheetFormatPr defaultRowHeight="14.4" x14ac:dyDescent="0.3"/>
  <cols>
    <col min="1" max="1" width="30.5546875" customWidth="1"/>
    <col min="2" max="2" width="8.6640625" customWidth="1"/>
    <col min="4" max="4" width="16.44140625" customWidth="1"/>
    <col min="5" max="5" width="12.109375" customWidth="1"/>
    <col min="6" max="6" width="15.5546875" customWidth="1"/>
    <col min="7" max="7" width="12.33203125" customWidth="1"/>
    <col min="10" max="10" width="16.88671875" customWidth="1"/>
    <col min="11" max="11" width="12.6640625" customWidth="1"/>
    <col min="12" max="12" width="13.88671875" customWidth="1"/>
    <col min="14" max="14" width="41.44140625" customWidth="1"/>
    <col min="15" max="15" width="20.6640625" customWidth="1"/>
  </cols>
  <sheetData>
    <row r="1" spans="1:21" ht="15.6" x14ac:dyDescent="0.3">
      <c r="A1" s="3" t="s">
        <v>16</v>
      </c>
      <c r="D1" s="2" t="s">
        <v>12</v>
      </c>
      <c r="E1" s="2" t="s">
        <v>13</v>
      </c>
      <c r="F1" s="2" t="s">
        <v>14</v>
      </c>
      <c r="G1" s="2" t="s">
        <v>15</v>
      </c>
      <c r="J1" s="2" t="s">
        <v>22</v>
      </c>
      <c r="S1">
        <v>3000</v>
      </c>
    </row>
    <row r="2" spans="1:21" x14ac:dyDescent="0.3">
      <c r="D2">
        <f>((((((((E2/25.4)*(F2/100))+(G2/2))*2)*PI())*25.4)/PI())/1000)</f>
        <v>0.67179999999999995</v>
      </c>
      <c r="E2">
        <v>200</v>
      </c>
      <c r="F2">
        <v>60</v>
      </c>
      <c r="G2">
        <v>17</v>
      </c>
      <c r="J2" s="2" t="s">
        <v>29</v>
      </c>
      <c r="K2" s="2" t="s">
        <v>23</v>
      </c>
      <c r="L2" s="2" t="s">
        <v>24</v>
      </c>
      <c r="M2" s="2" t="s">
        <v>25</v>
      </c>
      <c r="N2" s="2" t="s">
        <v>30</v>
      </c>
      <c r="O2" s="2" t="s">
        <v>31</v>
      </c>
      <c r="S2">
        <f>S1+500</f>
        <v>3500</v>
      </c>
    </row>
    <row r="3" spans="1:21" x14ac:dyDescent="0.3">
      <c r="A3" s="2" t="s">
        <v>0</v>
      </c>
      <c r="B3">
        <v>30</v>
      </c>
      <c r="C3">
        <v>54</v>
      </c>
      <c r="J3" s="4">
        <v>0.625</v>
      </c>
      <c r="K3">
        <f>B4</f>
        <v>16</v>
      </c>
      <c r="L3">
        <f>C4</f>
        <v>41</v>
      </c>
      <c r="M3">
        <v>114</v>
      </c>
      <c r="N3">
        <v>95</v>
      </c>
      <c r="O3" s="1">
        <f>(0.5*(M3-(0.5*(K3+L3)))*25.4*J3)-N3</f>
        <v>583.65625</v>
      </c>
      <c r="S3">
        <f t="shared" ref="S3:S24" si="0">S2+500</f>
        <v>4000</v>
      </c>
      <c r="T3">
        <v>14</v>
      </c>
      <c r="U3">
        <v>38</v>
      </c>
    </row>
    <row r="4" spans="1:21" x14ac:dyDescent="0.3">
      <c r="A4" s="2" t="s">
        <v>1</v>
      </c>
      <c r="B4">
        <v>16</v>
      </c>
      <c r="C4">
        <v>41</v>
      </c>
      <c r="S4">
        <f t="shared" si="0"/>
        <v>4500</v>
      </c>
      <c r="T4">
        <v>15</v>
      </c>
      <c r="U4">
        <v>39</v>
      </c>
    </row>
    <row r="5" spans="1:21" x14ac:dyDescent="0.3">
      <c r="A5" s="2" t="s">
        <v>2</v>
      </c>
      <c r="B5">
        <f>D2</f>
        <v>0.67179999999999995</v>
      </c>
      <c r="S5">
        <f t="shared" si="0"/>
        <v>5000</v>
      </c>
      <c r="T5">
        <v>16</v>
      </c>
      <c r="U5">
        <v>40</v>
      </c>
    </row>
    <row r="6" spans="1:21" x14ac:dyDescent="0.3">
      <c r="A6" s="2" t="s">
        <v>19</v>
      </c>
      <c r="B6">
        <v>14500</v>
      </c>
      <c r="J6" s="2"/>
      <c r="S6">
        <f t="shared" si="0"/>
        <v>5500</v>
      </c>
      <c r="T6">
        <v>17</v>
      </c>
      <c r="U6">
        <v>41</v>
      </c>
    </row>
    <row r="7" spans="1:21" x14ac:dyDescent="0.3">
      <c r="S7">
        <f t="shared" si="0"/>
        <v>6000</v>
      </c>
      <c r="T7">
        <v>18</v>
      </c>
      <c r="U7">
        <v>42</v>
      </c>
    </row>
    <row r="8" spans="1:21" x14ac:dyDescent="0.3">
      <c r="A8" s="2" t="s">
        <v>3</v>
      </c>
      <c r="B8" s="2" t="s">
        <v>5</v>
      </c>
      <c r="C8" s="2" t="s">
        <v>6</v>
      </c>
      <c r="D8" s="2" t="s">
        <v>18</v>
      </c>
      <c r="E8" s="2" t="s">
        <v>17</v>
      </c>
      <c r="F8" s="2" t="s">
        <v>20</v>
      </c>
      <c r="G8" s="2" t="s">
        <v>21</v>
      </c>
      <c r="S8">
        <f t="shared" si="0"/>
        <v>6500</v>
      </c>
      <c r="U8">
        <v>43</v>
      </c>
    </row>
    <row r="9" spans="1:21" x14ac:dyDescent="0.3">
      <c r="A9" s="2" t="s">
        <v>4</v>
      </c>
      <c r="B9">
        <v>14</v>
      </c>
      <c r="C9">
        <v>38</v>
      </c>
      <c r="D9" s="1">
        <f>((($B$6*60)*(B9/C9)*($B$3/$C$3)*$B$5*PI())/1000)*($B$4/$C$4)</f>
        <v>146.66185871471782</v>
      </c>
      <c r="E9" s="1">
        <f>D9*0.621</f>
        <v>91.077014261839764</v>
      </c>
      <c r="F9" s="1">
        <f>$B$6*(B9/C9)*(C10/B10)</f>
        <v>11312.69349845201</v>
      </c>
      <c r="G9" s="1">
        <f>$B$6-F9</f>
        <v>3187.3065015479897</v>
      </c>
      <c r="S9">
        <f t="shared" si="0"/>
        <v>7000</v>
      </c>
      <c r="U9">
        <v>44</v>
      </c>
    </row>
    <row r="10" spans="1:21" x14ac:dyDescent="0.3">
      <c r="A10" s="2" t="s">
        <v>7</v>
      </c>
      <c r="B10">
        <v>17</v>
      </c>
      <c r="C10">
        <v>36</v>
      </c>
      <c r="D10" s="1">
        <f t="shared" ref="D10:D13" si="1">((($B$6*60)*(B10/C10)*($B$3/$C$3)*$B$5*PI())/1000)*($B$4/$C$4)</f>
        <v>187.98325541608673</v>
      </c>
      <c r="E10" s="1">
        <f t="shared" ref="E10:E13" si="2">D10*0.621</f>
        <v>116.73760161338986</v>
      </c>
      <c r="F10" s="1">
        <f t="shared" ref="F10:F13" si="3">$B$6*(B10/C10)*(C11/B11)</f>
        <v>11892.543859649122</v>
      </c>
      <c r="G10" s="1">
        <f t="shared" ref="G10:G13" si="4">$B$6-F10</f>
        <v>2607.4561403508778</v>
      </c>
      <c r="S10">
        <f t="shared" si="0"/>
        <v>7500</v>
      </c>
    </row>
    <row r="11" spans="1:21" x14ac:dyDescent="0.3">
      <c r="A11" s="2" t="s">
        <v>8</v>
      </c>
      <c r="B11">
        <v>19</v>
      </c>
      <c r="C11">
        <v>33</v>
      </c>
      <c r="D11" s="1">
        <f t="shared" si="1"/>
        <v>229.19883548057632</v>
      </c>
      <c r="E11" s="1">
        <f t="shared" si="2"/>
        <v>142.33247683343788</v>
      </c>
      <c r="F11" s="1">
        <f t="shared" si="3"/>
        <v>12721.500721500723</v>
      </c>
      <c r="G11" s="1">
        <f t="shared" si="4"/>
        <v>1778.4992784992774</v>
      </c>
      <c r="S11">
        <f t="shared" si="0"/>
        <v>8000</v>
      </c>
    </row>
    <row r="12" spans="1:21" x14ac:dyDescent="0.3">
      <c r="A12" s="2" t="s">
        <v>9</v>
      </c>
      <c r="B12">
        <v>21</v>
      </c>
      <c r="C12">
        <v>32</v>
      </c>
      <c r="D12" s="1">
        <f t="shared" si="1"/>
        <v>261.24143583559106</v>
      </c>
      <c r="E12" s="1">
        <f t="shared" si="2"/>
        <v>162.23093165390205</v>
      </c>
      <c r="F12" s="1">
        <f t="shared" si="3"/>
        <v>12975.852272727272</v>
      </c>
      <c r="G12" s="1">
        <f t="shared" si="4"/>
        <v>1524.1477272727279</v>
      </c>
      <c r="S12">
        <f t="shared" si="0"/>
        <v>8500</v>
      </c>
    </row>
    <row r="13" spans="1:21" x14ac:dyDescent="0.3">
      <c r="A13" s="2" t="s">
        <v>10</v>
      </c>
      <c r="B13">
        <v>22</v>
      </c>
      <c r="C13">
        <v>30</v>
      </c>
      <c r="D13" s="1">
        <f t="shared" si="1"/>
        <v>291.92693782262882</v>
      </c>
      <c r="E13" s="1">
        <f t="shared" si="2"/>
        <v>181.28662838785249</v>
      </c>
      <c r="F13" s="1">
        <f t="shared" si="3"/>
        <v>13291.666666666664</v>
      </c>
      <c r="G13" s="1">
        <f t="shared" si="4"/>
        <v>1208.3333333333358</v>
      </c>
      <c r="S13">
        <f t="shared" si="0"/>
        <v>9000</v>
      </c>
    </row>
    <row r="14" spans="1:21" x14ac:dyDescent="0.3">
      <c r="A14" s="2" t="s">
        <v>11</v>
      </c>
      <c r="B14">
        <v>24</v>
      </c>
      <c r="C14">
        <v>30</v>
      </c>
      <c r="D14" s="1">
        <f>(((B6*60)*(B14/C14)*($B$3/$C$3)*$B$5*PI())/1000)*($B$4/$C$4)</f>
        <v>318.46575035195872</v>
      </c>
      <c r="E14" s="1">
        <f>D14*0.621</f>
        <v>197.76723096856637</v>
      </c>
      <c r="S14">
        <f t="shared" si="0"/>
        <v>9500</v>
      </c>
    </row>
    <row r="15" spans="1:21" x14ac:dyDescent="0.3">
      <c r="S15">
        <f>S14+500</f>
        <v>10000</v>
      </c>
    </row>
    <row r="16" spans="1:21" x14ac:dyDescent="0.3">
      <c r="A16" s="2"/>
      <c r="S16">
        <f t="shared" si="0"/>
        <v>10500</v>
      </c>
    </row>
    <row r="17" spans="1:19" x14ac:dyDescent="0.3">
      <c r="A17" s="2"/>
      <c r="S17">
        <f t="shared" si="0"/>
        <v>11000</v>
      </c>
    </row>
    <row r="18" spans="1:19" x14ac:dyDescent="0.3">
      <c r="S18">
        <f t="shared" si="0"/>
        <v>11500</v>
      </c>
    </row>
    <row r="19" spans="1:19" x14ac:dyDescent="0.3">
      <c r="S19">
        <f t="shared" si="0"/>
        <v>12000</v>
      </c>
    </row>
    <row r="20" spans="1:19" x14ac:dyDescent="0.3">
      <c r="S20">
        <f>S19+500</f>
        <v>12500</v>
      </c>
    </row>
    <row r="21" spans="1:19" x14ac:dyDescent="0.3">
      <c r="S21">
        <f t="shared" si="0"/>
        <v>13000</v>
      </c>
    </row>
    <row r="22" spans="1:19" x14ac:dyDescent="0.3">
      <c r="S22">
        <f t="shared" si="0"/>
        <v>13500</v>
      </c>
    </row>
    <row r="23" spans="1:19" x14ac:dyDescent="0.3">
      <c r="S23">
        <f>S22+500</f>
        <v>14000</v>
      </c>
    </row>
    <row r="24" spans="1:19" x14ac:dyDescent="0.3">
      <c r="S24">
        <f t="shared" si="0"/>
        <v>14500</v>
      </c>
    </row>
    <row r="25" spans="1:19" x14ac:dyDescent="0.3">
      <c r="S25">
        <f>S24+500</f>
        <v>15000</v>
      </c>
    </row>
  </sheetData>
  <dataValidations count="3">
    <dataValidation type="list" allowBlank="1" showInputMessage="1" showErrorMessage="1" sqref="B4" xr:uid="{ED5E8100-D95F-44E0-84C7-532AF666974D}">
      <formula1>$T$3:$T$7</formula1>
    </dataValidation>
    <dataValidation type="list" allowBlank="1" showInputMessage="1" showErrorMessage="1" sqref="C4" xr:uid="{01FCC9D3-3F8B-4A72-8A59-3ECAC6F1599F}">
      <formula1>$U$3:$U$9</formula1>
    </dataValidation>
    <dataValidation type="list" allowBlank="1" showInputMessage="1" showErrorMessage="1" sqref="B6:C6" xr:uid="{B0388B26-4517-401C-8EB2-23B0F8DA01B4}">
      <formula1>$S$1:$S$25</formula1>
    </dataValidation>
  </dataValidation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030F9E-EFB6-4C97-98AF-1C9E9AC45016}">
  <dimension ref="A1:R24"/>
  <sheetViews>
    <sheetView zoomScale="60" zoomScaleNormal="60" workbookViewId="0">
      <selection activeCell="R23" sqref="R23"/>
    </sheetView>
  </sheetViews>
  <sheetFormatPr defaultRowHeight="14.4" x14ac:dyDescent="0.3"/>
  <cols>
    <col min="2" max="2" width="11.6640625" customWidth="1"/>
    <col min="3" max="3" width="13.77734375" customWidth="1"/>
    <col min="4" max="4" width="10.33203125" customWidth="1"/>
    <col min="6" max="6" width="24.5546875" customWidth="1"/>
    <col min="7" max="7" width="16.6640625" customWidth="1"/>
    <col min="8" max="8" width="15.6640625" customWidth="1"/>
    <col min="9" max="9" width="15.5546875" customWidth="1"/>
    <col min="10" max="10" width="17.6640625" customWidth="1"/>
    <col min="11" max="11" width="14.6640625" customWidth="1"/>
    <col min="13" max="13" width="20.33203125" customWidth="1"/>
    <col min="14" max="14" width="19.33203125" customWidth="1"/>
    <col min="15" max="15" width="19.109375" customWidth="1"/>
    <col min="16" max="16" width="19.33203125" customWidth="1"/>
    <col min="17" max="17" width="19.6640625" customWidth="1"/>
    <col min="18" max="18" width="21" customWidth="1"/>
  </cols>
  <sheetData>
    <row r="1" spans="1:18" x14ac:dyDescent="0.3">
      <c r="A1" s="2" t="s">
        <v>26</v>
      </c>
      <c r="B1" s="2" t="s">
        <v>27</v>
      </c>
      <c r="C1" s="2" t="s">
        <v>32</v>
      </c>
      <c r="D1" s="2" t="s">
        <v>28</v>
      </c>
      <c r="F1" s="2" t="s">
        <v>34</v>
      </c>
      <c r="G1" s="2" t="s">
        <v>35</v>
      </c>
      <c r="H1" s="2" t="s">
        <v>36</v>
      </c>
      <c r="I1" s="2" t="s">
        <v>37</v>
      </c>
      <c r="J1" s="2" t="s">
        <v>38</v>
      </c>
      <c r="K1" s="2" t="s">
        <v>39</v>
      </c>
      <c r="M1" s="2" t="s">
        <v>33</v>
      </c>
      <c r="N1" s="2" t="s">
        <v>40</v>
      </c>
      <c r="O1" s="2" t="s">
        <v>41</v>
      </c>
      <c r="P1" s="2" t="s">
        <v>42</v>
      </c>
      <c r="Q1" s="2" t="s">
        <v>43</v>
      </c>
      <c r="R1" s="2" t="s">
        <v>44</v>
      </c>
    </row>
    <row r="2" spans="1:18" x14ac:dyDescent="0.3">
      <c r="A2">
        <v>4000</v>
      </c>
      <c r="B2">
        <v>41</v>
      </c>
      <c r="C2">
        <v>54</v>
      </c>
      <c r="D2" s="1">
        <f>B2/1.341</f>
        <v>30.574198359433261</v>
      </c>
      <c r="F2" s="5">
        <f>(((A2*60)*('Gearbox V4S'!$B$9/'Gearbox V4S'!$C$9)*('Gearbox V4S'!$B$3/'Gearbox V4S'!$C$3)*'Gearbox V4S'!$B$5*PI())/1000)*('Gearbox V4S'!$B$4/'Gearbox V4S'!$C$4)</f>
        <v>40.458443783370427</v>
      </c>
      <c r="G2" s="5">
        <f>(((A2*60)*('Gearbox V4S'!$B$10/'Gearbox V4S'!$C$10)*('Gearbox V4S'!$B$3/'Gearbox V4S'!$C$3)*'Gearbox V4S'!$B$5*PI())/1000)*('Gearbox V4S'!$B$4/'Gearbox V4S'!$C$4)</f>
        <v>51.857449769954968</v>
      </c>
      <c r="H2" s="5">
        <f>(((A2*60)*('Gearbox V4S'!$B$11/'Gearbox V4S'!$C$11)*('Gearbox V4S'!$B$3/'Gearbox V4S'!$C$3)*'Gearbox V4S'!$B$5*PI())/1000)*('Gearbox V4S'!$B$4/'Gearbox V4S'!$C$4)</f>
        <v>63.227264960159012</v>
      </c>
      <c r="I2" s="5">
        <f>(((A2*60)*('Gearbox V4S'!$B$12/'Gearbox V4S'!$C$12)*('Gearbox V4S'!$B$3/'Gearbox V4S'!$C$3)*'Gearbox V4S'!$B$5*PI())/1000)*('Gearbox V4S'!$B$4/'Gearbox V4S'!$C$4)</f>
        <v>72.066602989128597</v>
      </c>
      <c r="J2" s="5">
        <f>(((A2*60)*('Gearbox V4S'!$B$13/'Gearbox V4S'!$C$13)*('Gearbox V4S'!$B$3/'Gearbox V4S'!$C$3)*'Gearbox V4S'!$B$5*PI())/1000)*('Gearbox V4S'!$B$4/'Gearbox V4S'!$C$4)</f>
        <v>80.5315690545183</v>
      </c>
      <c r="K2" s="5">
        <f>(((A2*60)*('Gearbox V4S'!$B$14/'Gearbox V4S'!$C$14)*('Gearbox V4S'!$B$3/'Gearbox V4S'!$C$3)*'Gearbox V4S'!$B$5*PI())/1000)*('Gearbox V4S'!$B$4/'Gearbox V4S'!$C$4)</f>
        <v>87.852620786747238</v>
      </c>
      <c r="M2" s="5">
        <f>(D2*1000)/(F2/3.6)</f>
        <v>2720.4979678234795</v>
      </c>
      <c r="N2" s="5">
        <f>(D2*1000)/(G2/3.6)</f>
        <v>2122.4937705619714</v>
      </c>
      <c r="O2" s="5">
        <f>(D2*1000)/(H2/3.6)</f>
        <v>1740.8172591889847</v>
      </c>
      <c r="P2" s="5">
        <f>(D2*1000)/(I2/3.6)</f>
        <v>1527.2971047430055</v>
      </c>
      <c r="Q2" s="5">
        <f>(D2*1000)/(J2/3.6)</f>
        <v>1366.7573522558148</v>
      </c>
      <c r="R2" s="5">
        <f>(D2*1000)/(K2/3.6)</f>
        <v>1252.8609062344967</v>
      </c>
    </row>
    <row r="3" spans="1:18" x14ac:dyDescent="0.3">
      <c r="A3">
        <f>A2+500</f>
        <v>4500</v>
      </c>
      <c r="B3">
        <v>48</v>
      </c>
      <c r="C3">
        <v>56</v>
      </c>
      <c r="D3" s="1">
        <f t="shared" ref="D3:D23" si="0">B3/1.341</f>
        <v>35.794183445190157</v>
      </c>
      <c r="F3" s="5">
        <f>(((A3*60)*('Gearbox V4S'!$B$9/'Gearbox V4S'!$C$9)*('Gearbox V4S'!$B$3/'Gearbox V4S'!$C$3)*'Gearbox V4S'!$B$5*PI())/1000)*('Gearbox V4S'!$B$4/'Gearbox V4S'!$C$4)</f>
        <v>45.515749256291741</v>
      </c>
      <c r="G3" s="5">
        <f>(((A3*60)*('Gearbox V4S'!$B$10/'Gearbox V4S'!$C$10)*('Gearbox V4S'!$B$3/'Gearbox V4S'!$C$3)*'Gearbox V4S'!$B$5*PI())/1000)*('Gearbox V4S'!$B$4/'Gearbox V4S'!$C$4)</f>
        <v>58.339630991199336</v>
      </c>
      <c r="H3" s="5">
        <f>(((A3*60)*('Gearbox V4S'!$B$11/'Gearbox V4S'!$C$11)*('Gearbox V4S'!$B$3/'Gearbox V4S'!$C$3)*'Gearbox V4S'!$B$5*PI())/1000)*('Gearbox V4S'!$B$4/'Gearbox V4S'!$C$4)</f>
        <v>71.13067308017888</v>
      </c>
      <c r="I3" s="5">
        <f>(((A3*60)*('Gearbox V4S'!$B$12/'Gearbox V4S'!$C$12)*('Gearbox V4S'!$B$3/'Gearbox V4S'!$C$3)*'Gearbox V4S'!$B$5*PI())/1000)*('Gearbox V4S'!$B$4/'Gearbox V4S'!$C$4)</f>
        <v>81.074928362769668</v>
      </c>
      <c r="J3" s="5">
        <f>(((A3*60)*('Gearbox V4S'!$B$13/'Gearbox V4S'!$C$13)*('Gearbox V4S'!$B$3/'Gearbox V4S'!$C$3)*'Gearbox V4S'!$B$5*PI())/1000)*('Gearbox V4S'!$B$4/'Gearbox V4S'!$C$4)</f>
        <v>90.598015186333086</v>
      </c>
      <c r="K3" s="5">
        <f>(((A3*60)*('Gearbox V4S'!$B$14/'Gearbox V4S'!$C$14)*('Gearbox V4S'!$B$3/'Gearbox V4S'!$C$3)*'Gearbox V4S'!$B$5*PI())/1000)*('Gearbox V4S'!$B$4/'Gearbox V4S'!$C$4)</f>
        <v>98.83419838509063</v>
      </c>
      <c r="M3" s="5">
        <f t="shared" ref="M3:M23" si="1">(D3*1000)/(F3/3.6)</f>
        <v>2831.0873161089867</v>
      </c>
      <c r="N3" s="5">
        <f t="shared" ref="N3:N23" si="2">(D3*1000)/(G3/3.6)</f>
        <v>2208.7740051376613</v>
      </c>
      <c r="O3" s="5">
        <f t="shared" ref="O3:O23" si="3">(D3*1000)/(H3/3.6)</f>
        <v>1811.5821884243094</v>
      </c>
      <c r="P3" s="5">
        <f t="shared" ref="P3:P23" si="4">(D3*1000)/(I3/3.6)</f>
        <v>1589.3823529032904</v>
      </c>
      <c r="Q3" s="5">
        <f t="shared" ref="Q3:Q23" si="5">(D3*1000)/(J3/3.6)</f>
        <v>1422.3165942174332</v>
      </c>
      <c r="R3" s="5">
        <f t="shared" ref="R3:R21" si="6">(D3*1000)/(K3/3.6)</f>
        <v>1303.7902113659807</v>
      </c>
    </row>
    <row r="4" spans="1:18" x14ac:dyDescent="0.3">
      <c r="A4">
        <f t="shared" ref="A4:A22" si="7">A3+500</f>
        <v>5000</v>
      </c>
      <c r="B4">
        <v>56</v>
      </c>
      <c r="C4">
        <v>58</v>
      </c>
      <c r="D4" s="1">
        <f t="shared" si="0"/>
        <v>41.759880686055183</v>
      </c>
      <c r="F4" s="5">
        <f>(((A4*60)*('Gearbox V4S'!$B$9/'Gearbox V4S'!$C$9)*('Gearbox V4S'!$B$3/'Gearbox V4S'!$C$3)*'Gearbox V4S'!$B$5*PI())/1000)*('Gearbox V4S'!$B$4/'Gearbox V4S'!$C$4)</f>
        <v>50.573054729213048</v>
      </c>
      <c r="G4" s="5">
        <f>(((A4*60)*('Gearbox V4S'!$B$10/'Gearbox V4S'!$C$10)*('Gearbox V4S'!$B$3/'Gearbox V4S'!$C$3)*'Gearbox V4S'!$B$5*PI())/1000)*('Gearbox V4S'!$B$4/'Gearbox V4S'!$C$4)</f>
        <v>64.821812212443703</v>
      </c>
      <c r="H4" s="5">
        <f>(((A4*60)*('Gearbox V4S'!$B$11/'Gearbox V4S'!$C$11)*('Gearbox V4S'!$B$3/'Gearbox V4S'!$C$3)*'Gearbox V4S'!$B$5*PI())/1000)*('Gearbox V4S'!$B$4/'Gearbox V4S'!$C$4)</f>
        <v>79.034081200198756</v>
      </c>
      <c r="I4" s="5">
        <f>(((A4*60)*('Gearbox V4S'!$B$12/'Gearbox V4S'!$C$12)*('Gearbox V4S'!$B$3/'Gearbox V4S'!$C$3)*'Gearbox V4S'!$B$5*PI())/1000)*('Gearbox V4S'!$B$4/'Gearbox V4S'!$C$4)</f>
        <v>90.08325373641074</v>
      </c>
      <c r="J4" s="5">
        <f>(((A4*60)*('Gearbox V4S'!$B$13/'Gearbox V4S'!$C$13)*('Gearbox V4S'!$B$3/'Gearbox V4S'!$C$3)*'Gearbox V4S'!$B$5*PI())/1000)*('Gearbox V4S'!$B$4/'Gearbox V4S'!$C$4)</f>
        <v>100.66446131814786</v>
      </c>
      <c r="K4" s="5">
        <f>(((A4*60)*('Gearbox V4S'!$B$14/'Gearbox V4S'!$C$14)*('Gearbox V4S'!$B$3/'Gearbox V4S'!$C$3)*'Gearbox V4S'!$B$5*PI())/1000)*('Gearbox V4S'!$B$4/'Gearbox V4S'!$C$4)</f>
        <v>109.81577598343404</v>
      </c>
      <c r="M4" s="5">
        <f t="shared" si="1"/>
        <v>2972.6416819144356</v>
      </c>
      <c r="N4" s="5">
        <f t="shared" si="2"/>
        <v>2319.2127053945442</v>
      </c>
      <c r="O4" s="5">
        <f t="shared" si="3"/>
        <v>1902.161297845525</v>
      </c>
      <c r="P4" s="5">
        <f t="shared" si="4"/>
        <v>1668.8514705484552</v>
      </c>
      <c r="Q4" s="5">
        <f t="shared" si="5"/>
        <v>1493.4324239283051</v>
      </c>
      <c r="R4" s="5">
        <f t="shared" si="6"/>
        <v>1368.9797219342795</v>
      </c>
    </row>
    <row r="5" spans="1:18" x14ac:dyDescent="0.3">
      <c r="A5">
        <f t="shared" si="7"/>
        <v>5500</v>
      </c>
      <c r="B5">
        <v>68</v>
      </c>
      <c r="C5">
        <v>65</v>
      </c>
      <c r="D5" s="1">
        <f t="shared" si="0"/>
        <v>50.708426547352722</v>
      </c>
      <c r="F5" s="5">
        <f>(((A5*60)*('Gearbox V4S'!$B$9/'Gearbox V4S'!$C$9)*('Gearbox V4S'!$B$3/'Gearbox V4S'!$C$3)*'Gearbox V4S'!$B$5*PI())/1000)*('Gearbox V4S'!$B$4/'Gearbox V4S'!$C$4)</f>
        <v>55.630360202134355</v>
      </c>
      <c r="G5" s="5">
        <f>(((A5*60)*('Gearbox V4S'!$B$10/'Gearbox V4S'!$C$10)*('Gearbox V4S'!$B$3/'Gearbox V4S'!$C$3)*'Gearbox V4S'!$B$5*PI())/1000)*('Gearbox V4S'!$B$4/'Gearbox V4S'!$C$4)</f>
        <v>71.303993433688078</v>
      </c>
      <c r="H5" s="5">
        <f>(((A5*60)*('Gearbox V4S'!$B$11/'Gearbox V4S'!$C$11)*('Gearbox V4S'!$B$3/'Gearbox V4S'!$C$3)*'Gearbox V4S'!$B$5*PI())/1000)*('Gearbox V4S'!$B$4/'Gearbox V4S'!$C$4)</f>
        <v>86.937489320218617</v>
      </c>
      <c r="I5" s="5">
        <f>(((A5*60)*('Gearbox V4S'!$B$12/'Gearbox V4S'!$C$12)*('Gearbox V4S'!$B$3/'Gearbox V4S'!$C$3)*'Gearbox V4S'!$B$5*PI())/1000)*('Gearbox V4S'!$B$4/'Gearbox V4S'!$C$4)</f>
        <v>99.091579110051811</v>
      </c>
      <c r="J5" s="5">
        <f>(((A5*60)*('Gearbox V4S'!$B$13/'Gearbox V4S'!$C$13)*('Gearbox V4S'!$B$3/'Gearbox V4S'!$C$3)*'Gearbox V4S'!$B$5*PI())/1000)*('Gearbox V4S'!$B$4/'Gearbox V4S'!$C$4)</f>
        <v>110.73090744996264</v>
      </c>
      <c r="K5" s="5">
        <f>(((A5*60)*('Gearbox V4S'!$B$14/'Gearbox V4S'!$C$14)*('Gearbox V4S'!$B$3/'Gearbox V4S'!$C$3)*'Gearbox V4S'!$B$5*PI())/1000)*('Gearbox V4S'!$B$4/'Gearbox V4S'!$C$4)</f>
        <v>120.79735358177746</v>
      </c>
      <c r="M5" s="5">
        <f t="shared" si="1"/>
        <v>3281.4875709445064</v>
      </c>
      <c r="N5" s="5">
        <f t="shared" si="2"/>
        <v>2560.1698695913797</v>
      </c>
      <c r="O5" s="5">
        <f t="shared" si="3"/>
        <v>2099.7884456736315</v>
      </c>
      <c r="P5" s="5">
        <f t="shared" si="4"/>
        <v>1842.2386363197231</v>
      </c>
      <c r="Q5" s="5">
        <f t="shared" si="5"/>
        <v>1648.5942342065705</v>
      </c>
      <c r="R5" s="5">
        <f t="shared" si="6"/>
        <v>1511.2113813560227</v>
      </c>
    </row>
    <row r="6" spans="1:18" x14ac:dyDescent="0.3">
      <c r="A6">
        <f t="shared" si="7"/>
        <v>6000</v>
      </c>
      <c r="B6">
        <v>75</v>
      </c>
      <c r="C6">
        <v>65</v>
      </c>
      <c r="D6" s="1">
        <f t="shared" si="0"/>
        <v>55.928411633109619</v>
      </c>
      <c r="F6" s="5">
        <f>(((A6*60)*('Gearbox V4S'!$B$9/'Gearbox V4S'!$C$9)*('Gearbox V4S'!$B$3/'Gearbox V4S'!$C$3)*'Gearbox V4S'!$B$5*PI())/1000)*('Gearbox V4S'!$B$4/'Gearbox V4S'!$C$4)</f>
        <v>60.687665675055662</v>
      </c>
      <c r="G6" s="5">
        <f>(((A6*60)*('Gearbox V4S'!$B$10/'Gearbox V4S'!$C$10)*('Gearbox V4S'!$B$3/'Gearbox V4S'!$C$3)*'Gearbox V4S'!$B$5*PI())/1000)*('Gearbox V4S'!$B$4/'Gearbox V4S'!$C$4)</f>
        <v>77.786174654932452</v>
      </c>
      <c r="H6" s="5">
        <f>(((A6*60)*('Gearbox V4S'!$B$11/'Gearbox V4S'!$C$11)*('Gearbox V4S'!$B$3/'Gearbox V4S'!$C$3)*'Gearbox V4S'!$B$5*PI())/1000)*('Gearbox V4S'!$B$4/'Gearbox V4S'!$C$4)</f>
        <v>94.840897440238507</v>
      </c>
      <c r="I6" s="5">
        <f>(((A6*60)*('Gearbox V4S'!$B$12/'Gearbox V4S'!$C$12)*('Gearbox V4S'!$B$3/'Gearbox V4S'!$C$3)*'Gearbox V4S'!$B$5*PI())/1000)*('Gearbox V4S'!$B$4/'Gearbox V4S'!$C$4)</f>
        <v>108.09990448369287</v>
      </c>
      <c r="J6" s="5">
        <f>(((A6*60)*('Gearbox V4S'!$B$13/'Gearbox V4S'!$C$13)*('Gearbox V4S'!$B$3/'Gearbox V4S'!$C$3)*'Gearbox V4S'!$B$5*PI())/1000)*('Gearbox V4S'!$B$4/'Gearbox V4S'!$C$4)</f>
        <v>120.79735358177746</v>
      </c>
      <c r="K6" s="5">
        <f>(((A6*60)*('Gearbox V4S'!$B$14/'Gearbox V4S'!$C$14)*('Gearbox V4S'!$B$3/'Gearbox V4S'!$C$3)*'Gearbox V4S'!$B$5*PI())/1000)*('Gearbox V4S'!$B$4/'Gearbox V4S'!$C$4)</f>
        <v>131.77893118012085</v>
      </c>
      <c r="M6" s="5">
        <f t="shared" si="1"/>
        <v>3317.6804485652174</v>
      </c>
      <c r="N6" s="5">
        <f t="shared" si="2"/>
        <v>2588.407037270696</v>
      </c>
      <c r="O6" s="5">
        <f t="shared" si="3"/>
        <v>2122.9478770597375</v>
      </c>
      <c r="P6" s="5">
        <f t="shared" si="4"/>
        <v>1862.5574448085436</v>
      </c>
      <c r="Q6" s="5">
        <f t="shared" si="5"/>
        <v>1666.7772588485543</v>
      </c>
      <c r="R6" s="5">
        <f t="shared" si="6"/>
        <v>1527.8791539445081</v>
      </c>
    </row>
    <row r="7" spans="1:18" x14ac:dyDescent="0.3">
      <c r="A7">
        <f t="shared" si="7"/>
        <v>6500</v>
      </c>
      <c r="B7">
        <v>84</v>
      </c>
      <c r="C7">
        <v>67</v>
      </c>
      <c r="D7" s="1">
        <f t="shared" si="0"/>
        <v>62.639821029082775</v>
      </c>
      <c r="F7" s="5">
        <f>(((A7*60)*('Gearbox V4S'!$B$9/'Gearbox V4S'!$C$9)*('Gearbox V4S'!$B$3/'Gearbox V4S'!$C$3)*'Gearbox V4S'!$B$5*PI())/1000)*('Gearbox V4S'!$B$4/'Gearbox V4S'!$C$4)</f>
        <v>65.744971147976955</v>
      </c>
      <c r="G7" s="5">
        <f>(((A7*60)*('Gearbox V4S'!$B$10/'Gearbox V4S'!$C$10)*('Gearbox V4S'!$B$3/'Gearbox V4S'!$C$3)*'Gearbox V4S'!$B$5*PI())/1000)*('Gearbox V4S'!$B$4/'Gearbox V4S'!$C$4)</f>
        <v>84.268355876176813</v>
      </c>
      <c r="H7" s="5">
        <f>(((A7*60)*('Gearbox V4S'!$B$11/'Gearbox V4S'!$C$11)*('Gearbox V4S'!$B$3/'Gearbox V4S'!$C$3)*'Gearbox V4S'!$B$5*PI())/1000)*('Gearbox V4S'!$B$4/'Gearbox V4S'!$C$4)</f>
        <v>102.74430556025838</v>
      </c>
      <c r="I7" s="5">
        <f>(((A7*60)*('Gearbox V4S'!$B$12/'Gearbox V4S'!$C$12)*('Gearbox V4S'!$B$3/'Gearbox V4S'!$C$3)*'Gearbox V4S'!$B$5*PI())/1000)*('Gearbox V4S'!$B$4/'Gearbox V4S'!$C$4)</f>
        <v>117.10822985733395</v>
      </c>
      <c r="J7" s="5">
        <f>(((A7*60)*('Gearbox V4S'!$B$13/'Gearbox V4S'!$C$13)*('Gearbox V4S'!$B$3/'Gearbox V4S'!$C$3)*'Gearbox V4S'!$B$5*PI())/1000)*('Gearbox V4S'!$B$4/'Gearbox V4S'!$C$4)</f>
        <v>130.86379971359227</v>
      </c>
      <c r="K7" s="5">
        <f>(((A7*60)*('Gearbox V4S'!$B$14/'Gearbox V4S'!$C$14)*('Gearbox V4S'!$B$3/'Gearbox V4S'!$C$3)*'Gearbox V4S'!$B$5*PI())/1000)*('Gearbox V4S'!$B$4/'Gearbox V4S'!$C$4)</f>
        <v>142.76050877846427</v>
      </c>
      <c r="M7" s="5">
        <f t="shared" si="1"/>
        <v>3429.9711714397336</v>
      </c>
      <c r="N7" s="5">
        <f t="shared" si="2"/>
        <v>2676.014660070628</v>
      </c>
      <c r="O7" s="5">
        <f t="shared" si="3"/>
        <v>2194.8014975140673</v>
      </c>
      <c r="P7" s="5">
        <f t="shared" si="4"/>
        <v>1925.5978506328331</v>
      </c>
      <c r="Q7" s="5">
        <f t="shared" si="5"/>
        <v>1723.1912583788128</v>
      </c>
      <c r="R7" s="5">
        <f t="shared" si="6"/>
        <v>1579.5919868472456</v>
      </c>
    </row>
    <row r="8" spans="1:18" x14ac:dyDescent="0.3">
      <c r="A8">
        <f t="shared" si="7"/>
        <v>7000</v>
      </c>
      <c r="B8">
        <v>95</v>
      </c>
      <c r="C8">
        <v>72</v>
      </c>
      <c r="D8" s="1">
        <f t="shared" si="0"/>
        <v>70.842654735272191</v>
      </c>
      <c r="F8" s="5">
        <f>(((A8*60)*('Gearbox V4S'!$B$9/'Gearbox V4S'!$C$9)*('Gearbox V4S'!$B$3/'Gearbox V4S'!$C$3)*'Gearbox V4S'!$B$5*PI())/1000)*('Gearbox V4S'!$B$4/'Gearbox V4S'!$C$4)</f>
        <v>70.802276620898269</v>
      </c>
      <c r="G8" s="5">
        <f>(((A8*60)*('Gearbox V4S'!$B$10/'Gearbox V4S'!$C$10)*('Gearbox V4S'!$B$3/'Gearbox V4S'!$C$3)*'Gearbox V4S'!$B$5*PI())/1000)*('Gearbox V4S'!$B$4/'Gearbox V4S'!$C$4)</f>
        <v>90.750537097421173</v>
      </c>
      <c r="H8" s="5">
        <f>(((A8*60)*('Gearbox V4S'!$B$11/'Gearbox V4S'!$C$11)*('Gearbox V4S'!$B$3/'Gearbox V4S'!$C$3)*'Gearbox V4S'!$B$5*PI())/1000)*('Gearbox V4S'!$B$4/'Gearbox V4S'!$C$4)</f>
        <v>110.64771368027824</v>
      </c>
      <c r="I8" s="5">
        <f>(((A8*60)*('Gearbox V4S'!$B$12/'Gearbox V4S'!$C$12)*('Gearbox V4S'!$B$3/'Gearbox V4S'!$C$3)*'Gearbox V4S'!$B$5*PI())/1000)*('Gearbox V4S'!$B$4/'Gearbox V4S'!$C$4)</f>
        <v>126.11655523097504</v>
      </c>
      <c r="J8" s="5">
        <f>(((A8*60)*('Gearbox V4S'!$B$13/'Gearbox V4S'!$C$13)*('Gearbox V4S'!$B$3/'Gearbox V4S'!$C$3)*'Gearbox V4S'!$B$5*PI())/1000)*('Gearbox V4S'!$B$4/'Gearbox V4S'!$C$4)</f>
        <v>140.93024584540703</v>
      </c>
      <c r="K8" s="5">
        <f>(((A8*60)*('Gearbox V4S'!$B$14/'Gearbox V4S'!$C$14)*('Gearbox V4S'!$B$3/'Gearbox V4S'!$C$3)*'Gearbox V4S'!$B$5*PI())/1000)*('Gearbox V4S'!$B$4/'Gearbox V4S'!$C$4)</f>
        <v>153.74208637680766</v>
      </c>
      <c r="M8" s="5">
        <f t="shared" si="1"/>
        <v>3602.0530584422372</v>
      </c>
      <c r="N8" s="5">
        <f t="shared" si="2"/>
        <v>2810.2704976081859</v>
      </c>
      <c r="O8" s="5">
        <f t="shared" si="3"/>
        <v>2304.9148379505727</v>
      </c>
      <c r="P8" s="5">
        <f t="shared" si="4"/>
        <v>2022.2052257921332</v>
      </c>
      <c r="Q8" s="5">
        <f t="shared" si="5"/>
        <v>1809.6438810355737</v>
      </c>
      <c r="R8" s="5">
        <f t="shared" si="6"/>
        <v>1658.8402242826091</v>
      </c>
    </row>
    <row r="9" spans="1:18" x14ac:dyDescent="0.3">
      <c r="A9">
        <f t="shared" si="7"/>
        <v>7500</v>
      </c>
      <c r="B9">
        <v>108</v>
      </c>
      <c r="C9">
        <v>75</v>
      </c>
      <c r="D9" s="1">
        <f t="shared" si="0"/>
        <v>80.53691275167786</v>
      </c>
      <c r="F9" s="5">
        <f>(((A9*60)*('Gearbox V4S'!$B$9/'Gearbox V4S'!$C$9)*('Gearbox V4S'!$B$3/'Gearbox V4S'!$C$3)*'Gearbox V4S'!$B$5*PI())/1000)*('Gearbox V4S'!$B$4/'Gearbox V4S'!$C$4)</f>
        <v>75.859582093819569</v>
      </c>
      <c r="G9" s="5">
        <f>(((A9*60)*('Gearbox V4S'!$B$10/'Gearbox V4S'!$C$10)*('Gearbox V4S'!$B$3/'Gearbox V4S'!$C$3)*'Gearbox V4S'!$B$5*PI())/1000)*('Gearbox V4S'!$B$4/'Gearbox V4S'!$C$4)</f>
        <v>97.232718318665562</v>
      </c>
      <c r="H9" s="5">
        <f>(((A9*60)*('Gearbox V4S'!$B$11/'Gearbox V4S'!$C$11)*('Gearbox V4S'!$B$3/'Gearbox V4S'!$C$3)*'Gearbox V4S'!$B$5*PI())/1000)*('Gearbox V4S'!$B$4/'Gearbox V4S'!$C$4)</f>
        <v>118.55112180029813</v>
      </c>
      <c r="I9" s="5">
        <f>(((A9*60)*('Gearbox V4S'!$B$12/'Gearbox V4S'!$C$12)*('Gearbox V4S'!$B$3/'Gearbox V4S'!$C$3)*'Gearbox V4S'!$B$5*PI())/1000)*('Gearbox V4S'!$B$4/'Gearbox V4S'!$C$4)</f>
        <v>135.1248806046161</v>
      </c>
      <c r="J9" s="5">
        <f>(((A9*60)*('Gearbox V4S'!$B$13/'Gearbox V4S'!$C$13)*('Gearbox V4S'!$B$3/'Gearbox V4S'!$C$3)*'Gearbox V4S'!$B$5*PI())/1000)*('Gearbox V4S'!$B$4/'Gearbox V4S'!$C$4)</f>
        <v>150.99669197722181</v>
      </c>
      <c r="K9" s="5">
        <f>(((A9*60)*('Gearbox V4S'!$B$14/'Gearbox V4S'!$C$14)*('Gearbox V4S'!$B$3/'Gearbox V4S'!$C$3)*'Gearbox V4S'!$B$5*PI())/1000)*('Gearbox V4S'!$B$4/'Gearbox V4S'!$C$4)</f>
        <v>164.72366397515108</v>
      </c>
      <c r="M9" s="5">
        <f t="shared" si="1"/>
        <v>3821.967876747131</v>
      </c>
      <c r="N9" s="5">
        <f t="shared" si="2"/>
        <v>2981.8449069358421</v>
      </c>
      <c r="O9" s="5">
        <f t="shared" si="3"/>
        <v>2445.6359543728177</v>
      </c>
      <c r="P9" s="5">
        <f t="shared" si="4"/>
        <v>2145.6661764194423</v>
      </c>
      <c r="Q9" s="5">
        <f t="shared" si="5"/>
        <v>1920.1274021935346</v>
      </c>
      <c r="R9" s="5">
        <f t="shared" si="6"/>
        <v>1760.1167853440736</v>
      </c>
    </row>
    <row r="10" spans="1:18" x14ac:dyDescent="0.3">
      <c r="A10">
        <f t="shared" si="7"/>
        <v>8000</v>
      </c>
      <c r="B10">
        <v>118</v>
      </c>
      <c r="C10">
        <v>78</v>
      </c>
      <c r="D10" s="1">
        <f t="shared" si="0"/>
        <v>87.994034302759133</v>
      </c>
      <c r="F10" s="5">
        <f>(((A10*60)*('Gearbox V4S'!$B$9/'Gearbox V4S'!$C$9)*('Gearbox V4S'!$B$3/'Gearbox V4S'!$C$3)*'Gearbox V4S'!$B$5*PI())/1000)*('Gearbox V4S'!$B$4/'Gearbox V4S'!$C$4)</f>
        <v>80.916887566740854</v>
      </c>
      <c r="G10" s="5">
        <f>(((A10*60)*('Gearbox V4S'!$B$10/'Gearbox V4S'!$C$10)*('Gearbox V4S'!$B$3/'Gearbox V4S'!$C$3)*'Gearbox V4S'!$B$5*PI())/1000)*('Gearbox V4S'!$B$4/'Gearbox V4S'!$C$4)</f>
        <v>103.71489953990994</v>
      </c>
      <c r="H10" s="5">
        <f>(((A10*60)*('Gearbox V4S'!$B$11/'Gearbox V4S'!$C$11)*('Gearbox V4S'!$B$3/'Gearbox V4S'!$C$3)*'Gearbox V4S'!$B$5*PI())/1000)*('Gearbox V4S'!$B$4/'Gearbox V4S'!$C$4)</f>
        <v>126.45452992031802</v>
      </c>
      <c r="I10" s="5">
        <f>(((A10*60)*('Gearbox V4S'!$B$12/'Gearbox V4S'!$C$12)*('Gearbox V4S'!$B$3/'Gearbox V4S'!$C$3)*'Gearbox V4S'!$B$5*PI())/1000)*('Gearbox V4S'!$B$4/'Gearbox V4S'!$C$4)</f>
        <v>144.13320597825719</v>
      </c>
      <c r="J10" s="5">
        <f>(((A10*60)*('Gearbox V4S'!$B$13/'Gearbox V4S'!$C$13)*('Gearbox V4S'!$B$3/'Gearbox V4S'!$C$3)*'Gearbox V4S'!$B$5*PI())/1000)*('Gearbox V4S'!$B$4/'Gearbox V4S'!$C$4)</f>
        <v>161.0631381090366</v>
      </c>
      <c r="K10" s="5">
        <f>(((A10*60)*('Gearbox V4S'!$B$14/'Gearbox V4S'!$C$14)*('Gearbox V4S'!$B$3/'Gearbox V4S'!$C$3)*'Gearbox V4S'!$B$5*PI())/1000)*('Gearbox V4S'!$B$4/'Gearbox V4S'!$C$4)</f>
        <v>175.70524157349448</v>
      </c>
      <c r="M10" s="5">
        <f t="shared" si="1"/>
        <v>3914.8629293069575</v>
      </c>
      <c r="N10" s="5">
        <f t="shared" si="2"/>
        <v>3054.3203039794216</v>
      </c>
      <c r="O10" s="5">
        <f t="shared" si="3"/>
        <v>2505.0784949304898</v>
      </c>
      <c r="P10" s="5">
        <f t="shared" si="4"/>
        <v>2197.8177848740811</v>
      </c>
      <c r="Q10" s="5">
        <f t="shared" si="5"/>
        <v>1966.7971654412943</v>
      </c>
      <c r="R10" s="5">
        <f t="shared" si="6"/>
        <v>1802.8974016545196</v>
      </c>
    </row>
    <row r="11" spans="1:18" x14ac:dyDescent="0.3">
      <c r="A11">
        <f t="shared" si="7"/>
        <v>8500</v>
      </c>
      <c r="B11">
        <v>123</v>
      </c>
      <c r="C11">
        <v>76</v>
      </c>
      <c r="D11" s="1">
        <f t="shared" si="0"/>
        <v>91.722595078299776</v>
      </c>
      <c r="F11" s="5">
        <f>(((A11*60)*('Gearbox V4S'!$B$9/'Gearbox V4S'!$C$9)*('Gearbox V4S'!$B$3/'Gearbox V4S'!$C$3)*'Gearbox V4S'!$B$5*PI())/1000)*('Gearbox V4S'!$B$4/'Gearbox V4S'!$C$4)</f>
        <v>85.974193039662168</v>
      </c>
      <c r="G11" s="5">
        <f>(((A11*60)*('Gearbox V4S'!$B$10/'Gearbox V4S'!$C$10)*('Gearbox V4S'!$B$3/'Gearbox V4S'!$C$3)*'Gearbox V4S'!$B$5*PI())/1000)*('Gearbox V4S'!$B$4/'Gearbox V4S'!$C$4)</f>
        <v>110.19708076115431</v>
      </c>
      <c r="H11" s="5">
        <f>(((A11*60)*('Gearbox V4S'!$B$11/'Gearbox V4S'!$C$11)*('Gearbox V4S'!$B$3/'Gearbox V4S'!$C$3)*'Gearbox V4S'!$B$5*PI())/1000)*('Gearbox V4S'!$B$4/'Gearbox V4S'!$C$4)</f>
        <v>134.35793804033787</v>
      </c>
      <c r="I11" s="5">
        <f>(((A11*60)*('Gearbox V4S'!$B$12/'Gearbox V4S'!$C$12)*('Gearbox V4S'!$B$3/'Gearbox V4S'!$C$3)*'Gearbox V4S'!$B$5*PI())/1000)*('Gearbox V4S'!$B$4/'Gearbox V4S'!$C$4)</f>
        <v>153.14153135189824</v>
      </c>
      <c r="J11" s="5">
        <f>(((A11*60)*('Gearbox V4S'!$B$13/'Gearbox V4S'!$C$13)*('Gearbox V4S'!$B$3/'Gearbox V4S'!$C$3)*'Gearbox V4S'!$B$5*PI())/1000)*('Gearbox V4S'!$B$4/'Gearbox V4S'!$C$4)</f>
        <v>171.12958424085136</v>
      </c>
      <c r="K11" s="5">
        <f>(((A11*60)*('Gearbox V4S'!$B$14/'Gearbox V4S'!$C$14)*('Gearbox V4S'!$B$3/'Gearbox V4S'!$C$3)*'Gearbox V4S'!$B$5*PI())/1000)*('Gearbox V4S'!$B$4/'Gearbox V4S'!$C$4)</f>
        <v>186.68681917183787</v>
      </c>
      <c r="M11" s="5">
        <f t="shared" si="1"/>
        <v>3840.7030133978528</v>
      </c>
      <c r="N11" s="5">
        <f t="shared" si="2"/>
        <v>2996.4617937345474</v>
      </c>
      <c r="O11" s="5">
        <f t="shared" si="3"/>
        <v>2457.6243659138613</v>
      </c>
      <c r="P11" s="5">
        <f t="shared" si="4"/>
        <v>2156.1841478724791</v>
      </c>
      <c r="Q11" s="5">
        <f t="shared" si="5"/>
        <v>1929.5397914199743</v>
      </c>
      <c r="R11" s="5">
        <f t="shared" si="6"/>
        <v>1768.7448088016429</v>
      </c>
    </row>
    <row r="12" spans="1:18" x14ac:dyDescent="0.3">
      <c r="A12">
        <f t="shared" si="7"/>
        <v>9000</v>
      </c>
      <c r="B12">
        <v>138</v>
      </c>
      <c r="C12">
        <v>80</v>
      </c>
      <c r="D12" s="1">
        <f t="shared" si="0"/>
        <v>102.90827740492171</v>
      </c>
      <c r="F12" s="5">
        <f>(((A12*60)*('Gearbox V4S'!$B$9/'Gearbox V4S'!$C$9)*('Gearbox V4S'!$B$3/'Gearbox V4S'!$C$3)*'Gearbox V4S'!$B$5*PI())/1000)*('Gearbox V4S'!$B$4/'Gearbox V4S'!$C$4)</f>
        <v>91.031498512583482</v>
      </c>
      <c r="G12" s="5">
        <f>(((A12*60)*('Gearbox V4S'!$B$10/'Gearbox V4S'!$C$10)*('Gearbox V4S'!$B$3/'Gearbox V4S'!$C$3)*'Gearbox V4S'!$B$5*PI())/1000)*('Gearbox V4S'!$B$4/'Gearbox V4S'!$C$4)</f>
        <v>116.67926198239867</v>
      </c>
      <c r="H12" s="5">
        <f>(((A12*60)*('Gearbox V4S'!$B$11/'Gearbox V4S'!$C$11)*('Gearbox V4S'!$B$3/'Gearbox V4S'!$C$3)*'Gearbox V4S'!$B$5*PI())/1000)*('Gearbox V4S'!$B$4/'Gearbox V4S'!$C$4)</f>
        <v>142.26134616035776</v>
      </c>
      <c r="I12" s="5">
        <f>(((A12*60)*('Gearbox V4S'!$B$12/'Gearbox V4S'!$C$12)*('Gearbox V4S'!$B$3/'Gearbox V4S'!$C$3)*'Gearbox V4S'!$B$5*PI())/1000)*('Gearbox V4S'!$B$4/'Gearbox V4S'!$C$4)</f>
        <v>162.14985672553934</v>
      </c>
      <c r="J12" s="5">
        <f>(((A12*60)*('Gearbox V4S'!$B$13/'Gearbox V4S'!$C$13)*('Gearbox V4S'!$B$3/'Gearbox V4S'!$C$3)*'Gearbox V4S'!$B$5*PI())/1000)*('Gearbox V4S'!$B$4/'Gearbox V4S'!$C$4)</f>
        <v>181.19603037266617</v>
      </c>
      <c r="K12" s="5">
        <f>(((A12*60)*('Gearbox V4S'!$B$14/'Gearbox V4S'!$C$14)*('Gearbox V4S'!$B$3/'Gearbox V4S'!$C$3)*'Gearbox V4S'!$B$5*PI())/1000)*('Gearbox V4S'!$B$4/'Gearbox V4S'!$C$4)</f>
        <v>197.66839677018126</v>
      </c>
      <c r="M12" s="5">
        <f t="shared" si="1"/>
        <v>4069.6880169066685</v>
      </c>
      <c r="N12" s="5">
        <f t="shared" si="2"/>
        <v>3175.1126323853882</v>
      </c>
      <c r="O12" s="5">
        <f t="shared" si="3"/>
        <v>2604.1493958599449</v>
      </c>
      <c r="P12" s="5">
        <f t="shared" si="4"/>
        <v>2284.73713229848</v>
      </c>
      <c r="Q12" s="5">
        <f t="shared" si="5"/>
        <v>2044.5801041875604</v>
      </c>
      <c r="R12" s="5">
        <f t="shared" si="6"/>
        <v>1874.1984288385972</v>
      </c>
    </row>
    <row r="13" spans="1:18" x14ac:dyDescent="0.3">
      <c r="A13">
        <f t="shared" si="7"/>
        <v>9500</v>
      </c>
      <c r="B13">
        <v>149</v>
      </c>
      <c r="C13">
        <v>82</v>
      </c>
      <c r="D13" s="1">
        <f t="shared" si="0"/>
        <v>111.11111111111111</v>
      </c>
      <c r="F13" s="5">
        <f>(((A13*60)*('Gearbox V4S'!$B$9/'Gearbox V4S'!$C$9)*('Gearbox V4S'!$B$3/'Gearbox V4S'!$C$3)*'Gearbox V4S'!$B$5*PI())/1000)*('Gearbox V4S'!$B$4/'Gearbox V4S'!$C$4)</f>
        <v>96.088803985504796</v>
      </c>
      <c r="G13" s="5">
        <f>(((A13*60)*('Gearbox V4S'!$B$10/'Gearbox V4S'!$C$10)*('Gearbox V4S'!$B$3/'Gearbox V4S'!$C$3)*'Gearbox V4S'!$B$5*PI())/1000)*('Gearbox V4S'!$B$4/'Gearbox V4S'!$C$4)</f>
        <v>123.16144320364306</v>
      </c>
      <c r="H13" s="5">
        <f>(((A13*60)*('Gearbox V4S'!$B$11/'Gearbox V4S'!$C$11)*('Gearbox V4S'!$B$3/'Gearbox V4S'!$C$3)*'Gearbox V4S'!$B$5*PI())/1000)*('Gearbox V4S'!$B$4/'Gearbox V4S'!$C$4)</f>
        <v>150.16475428037765</v>
      </c>
      <c r="I13" s="5">
        <f>(((A13*60)*('Gearbox V4S'!$B$12/'Gearbox V4S'!$C$12)*('Gearbox V4S'!$B$3/'Gearbox V4S'!$C$3)*'Gearbox V4S'!$B$5*PI())/1000)*('Gearbox V4S'!$B$4/'Gearbox V4S'!$C$4)</f>
        <v>171.15818209918041</v>
      </c>
      <c r="J13" s="5">
        <f>(((A13*60)*('Gearbox V4S'!$B$13/'Gearbox V4S'!$C$13)*('Gearbox V4S'!$B$3/'Gearbox V4S'!$C$3)*'Gearbox V4S'!$B$5*PI())/1000)*('Gearbox V4S'!$B$4/'Gearbox V4S'!$C$4)</f>
        <v>191.2624765044809</v>
      </c>
      <c r="K13" s="5">
        <f>(((A13*60)*('Gearbox V4S'!$B$14/'Gearbox V4S'!$C$14)*('Gearbox V4S'!$B$3/'Gearbox V4S'!$C$3)*'Gearbox V4S'!$B$5*PI())/1000)*('Gearbox V4S'!$B$4/'Gearbox V4S'!$C$4)</f>
        <v>208.64997436852465</v>
      </c>
      <c r="M13" s="5">
        <f t="shared" si="1"/>
        <v>4162.8158891470948</v>
      </c>
      <c r="N13" s="5">
        <f t="shared" si="2"/>
        <v>3247.7696720280733</v>
      </c>
      <c r="O13" s="5">
        <f t="shared" si="3"/>
        <v>2663.7409152160071</v>
      </c>
      <c r="P13" s="5">
        <f t="shared" si="4"/>
        <v>2337.0194465387199</v>
      </c>
      <c r="Q13" s="5">
        <f t="shared" si="5"/>
        <v>2091.3668342605029</v>
      </c>
      <c r="R13" s="5">
        <f t="shared" si="6"/>
        <v>1917.0862647387939</v>
      </c>
    </row>
    <row r="14" spans="1:18" x14ac:dyDescent="0.3">
      <c r="A14">
        <f t="shared" si="7"/>
        <v>10000</v>
      </c>
      <c r="B14">
        <v>156</v>
      </c>
      <c r="C14">
        <v>81</v>
      </c>
      <c r="D14" s="1">
        <f t="shared" si="0"/>
        <v>116.33109619686802</v>
      </c>
      <c r="F14" s="5">
        <f>(((A14*60)*('Gearbox V4S'!$B$9/'Gearbox V4S'!$C$9)*('Gearbox V4S'!$B$3/'Gearbox V4S'!$C$3)*'Gearbox V4S'!$B$5*PI())/1000)*('Gearbox V4S'!$B$4/'Gearbox V4S'!$C$4)</f>
        <v>101.1461094584261</v>
      </c>
      <c r="G14" s="5">
        <f>(((A14*60)*('Gearbox V4S'!$B$10/'Gearbox V4S'!$C$10)*('Gearbox V4S'!$B$3/'Gearbox V4S'!$C$3)*'Gearbox V4S'!$B$5*PI())/1000)*('Gearbox V4S'!$B$4/'Gearbox V4S'!$C$4)</f>
        <v>129.64362442488741</v>
      </c>
      <c r="H14" s="5">
        <f>(((A14*60)*('Gearbox V4S'!$B$11/'Gearbox V4S'!$C$11)*('Gearbox V4S'!$B$3/'Gearbox V4S'!$C$3)*'Gearbox V4S'!$B$5*PI())/1000)*('Gearbox V4S'!$B$4/'Gearbox V4S'!$C$4)</f>
        <v>158.06816240039751</v>
      </c>
      <c r="I14" s="5">
        <f>(((A14*60)*('Gearbox V4S'!$B$12/'Gearbox V4S'!$C$12)*('Gearbox V4S'!$B$3/'Gearbox V4S'!$C$3)*'Gearbox V4S'!$B$5*PI())/1000)*('Gearbox V4S'!$B$4/'Gearbox V4S'!$C$4)</f>
        <v>180.16650747282148</v>
      </c>
      <c r="J14" s="5">
        <f>(((A14*60)*('Gearbox V4S'!$B$13/'Gearbox V4S'!$C$13)*('Gearbox V4S'!$B$3/'Gearbox V4S'!$C$3)*'Gearbox V4S'!$B$5*PI())/1000)*('Gearbox V4S'!$B$4/'Gearbox V4S'!$C$4)</f>
        <v>201.32892263629572</v>
      </c>
      <c r="K14" s="5">
        <f>(((A14*60)*('Gearbox V4S'!$B$14/'Gearbox V4S'!$C$14)*('Gearbox V4S'!$B$3/'Gearbox V4S'!$C$3)*'Gearbox V4S'!$B$5*PI())/1000)*('Gearbox V4S'!$B$4/'Gearbox V4S'!$C$4)</f>
        <v>219.63155196686807</v>
      </c>
      <c r="M14" s="5">
        <f t="shared" si="1"/>
        <v>4140.4651998093923</v>
      </c>
      <c r="N14" s="5">
        <f t="shared" si="2"/>
        <v>3230.3319825138296</v>
      </c>
      <c r="O14" s="5">
        <f t="shared" si="3"/>
        <v>2649.4389505705531</v>
      </c>
      <c r="P14" s="5">
        <f t="shared" si="4"/>
        <v>2324.4716911210626</v>
      </c>
      <c r="Q14" s="5">
        <f t="shared" si="5"/>
        <v>2080.1380190429963</v>
      </c>
      <c r="R14" s="5">
        <f t="shared" si="6"/>
        <v>1906.7931841227467</v>
      </c>
    </row>
    <row r="15" spans="1:18" x14ac:dyDescent="0.3">
      <c r="A15">
        <f t="shared" si="7"/>
        <v>10500</v>
      </c>
      <c r="B15">
        <v>164</v>
      </c>
      <c r="C15">
        <v>81</v>
      </c>
      <c r="D15" s="1">
        <f t="shared" si="0"/>
        <v>122.29679343773304</v>
      </c>
      <c r="F15" s="5">
        <f>(((A15*60)*('Gearbox V4S'!$B$9/'Gearbox V4S'!$C$9)*('Gearbox V4S'!$B$3/'Gearbox V4S'!$C$3)*'Gearbox V4S'!$B$5*PI())/1000)*('Gearbox V4S'!$B$4/'Gearbox V4S'!$C$4)</f>
        <v>106.2034149313474</v>
      </c>
      <c r="G15" s="5">
        <f>(((A15*60)*('Gearbox V4S'!$B$10/'Gearbox V4S'!$C$10)*('Gearbox V4S'!$B$3/'Gearbox V4S'!$C$3)*'Gearbox V4S'!$B$5*PI())/1000)*('Gearbox V4S'!$B$4/'Gearbox V4S'!$C$4)</f>
        <v>136.12580564613179</v>
      </c>
      <c r="H15" s="5">
        <f>(((A15*60)*('Gearbox V4S'!$B$11/'Gearbox V4S'!$C$11)*('Gearbox V4S'!$B$3/'Gearbox V4S'!$C$3)*'Gearbox V4S'!$B$5*PI())/1000)*('Gearbox V4S'!$B$4/'Gearbox V4S'!$C$4)</f>
        <v>165.9715705204174</v>
      </c>
      <c r="I15" s="5">
        <f>(((A15*60)*('Gearbox V4S'!$B$12/'Gearbox V4S'!$C$12)*('Gearbox V4S'!$B$3/'Gearbox V4S'!$C$3)*'Gearbox V4S'!$B$5*PI())/1000)*('Gearbox V4S'!$B$4/'Gearbox V4S'!$C$4)</f>
        <v>189.17483284646255</v>
      </c>
      <c r="J15" s="5">
        <f>(((A15*60)*('Gearbox V4S'!$B$13/'Gearbox V4S'!$C$13)*('Gearbox V4S'!$B$3/'Gearbox V4S'!$C$3)*'Gearbox V4S'!$B$5*PI())/1000)*('Gearbox V4S'!$B$4/'Gearbox V4S'!$C$4)</f>
        <v>211.3953687681105</v>
      </c>
      <c r="K15" s="5">
        <f>(((A15*60)*('Gearbox V4S'!$B$14/'Gearbox V4S'!$C$14)*('Gearbox V4S'!$B$3/'Gearbox V4S'!$C$3)*'Gearbox V4S'!$B$5*PI())/1000)*('Gearbox V4S'!$B$4/'Gearbox V4S'!$C$4)</f>
        <v>230.61312956521152</v>
      </c>
      <c r="M15" s="5">
        <f t="shared" si="1"/>
        <v>4145.520712873873</v>
      </c>
      <c r="N15" s="5">
        <f t="shared" si="2"/>
        <v>3234.2762218087173</v>
      </c>
      <c r="O15" s="5">
        <f t="shared" si="3"/>
        <v>2652.673918764167</v>
      </c>
      <c r="P15" s="5">
        <f t="shared" si="4"/>
        <v>2327.3098738941039</v>
      </c>
      <c r="Q15" s="5">
        <f t="shared" si="5"/>
        <v>2082.6778701040989</v>
      </c>
      <c r="R15" s="5">
        <f t="shared" si="6"/>
        <v>1909.1213809287569</v>
      </c>
    </row>
    <row r="16" spans="1:18" x14ac:dyDescent="0.3">
      <c r="A16">
        <f t="shared" si="7"/>
        <v>11000</v>
      </c>
      <c r="B16">
        <v>168</v>
      </c>
      <c r="C16">
        <v>80</v>
      </c>
      <c r="D16" s="1">
        <f t="shared" si="0"/>
        <v>125.27964205816555</v>
      </c>
      <c r="F16" s="5">
        <f>(((A16*60)*('Gearbox V4S'!$B$9/'Gearbox V4S'!$C$9)*('Gearbox V4S'!$B$3/'Gearbox V4S'!$C$3)*'Gearbox V4S'!$B$5*PI())/1000)*('Gearbox V4S'!$B$4/'Gearbox V4S'!$C$4)</f>
        <v>111.26072040426871</v>
      </c>
      <c r="G16" s="5">
        <f>(((A16*60)*('Gearbox V4S'!$B$10/'Gearbox V4S'!$C$10)*('Gearbox V4S'!$B$3/'Gearbox V4S'!$C$3)*'Gearbox V4S'!$B$5*PI())/1000)*('Gearbox V4S'!$B$4/'Gearbox V4S'!$C$4)</f>
        <v>142.60798686737616</v>
      </c>
      <c r="H16" s="5">
        <f>(((A16*60)*('Gearbox V4S'!$B$11/'Gearbox V4S'!$C$11)*('Gearbox V4S'!$B$3/'Gearbox V4S'!$C$3)*'Gearbox V4S'!$B$5*PI())/1000)*('Gearbox V4S'!$B$4/'Gearbox V4S'!$C$4)</f>
        <v>173.87497864043723</v>
      </c>
      <c r="I16" s="5">
        <f>(((A16*60)*('Gearbox V4S'!$B$12/'Gearbox V4S'!$C$12)*('Gearbox V4S'!$B$3/'Gearbox V4S'!$C$3)*'Gearbox V4S'!$B$5*PI())/1000)*('Gearbox V4S'!$B$4/'Gearbox V4S'!$C$4)</f>
        <v>198.18315822010362</v>
      </c>
      <c r="J16" s="5">
        <f>(((A16*60)*('Gearbox V4S'!$B$13/'Gearbox V4S'!$C$13)*('Gearbox V4S'!$B$3/'Gearbox V4S'!$C$3)*'Gearbox V4S'!$B$5*PI())/1000)*('Gearbox V4S'!$B$4/'Gearbox V4S'!$C$4)</f>
        <v>221.46181489992529</v>
      </c>
      <c r="K16" s="5">
        <f>(((A16*60)*('Gearbox V4S'!$B$14/'Gearbox V4S'!$C$14)*('Gearbox V4S'!$B$3/'Gearbox V4S'!$C$3)*'Gearbox V4S'!$B$5*PI())/1000)*('Gearbox V4S'!$B$4/'Gearbox V4S'!$C$4)</f>
        <v>241.59470716355492</v>
      </c>
      <c r="M16" s="5">
        <f t="shared" si="1"/>
        <v>4053.6022935196847</v>
      </c>
      <c r="N16" s="5">
        <f t="shared" si="2"/>
        <v>3162.5627800834695</v>
      </c>
      <c r="O16" s="5">
        <f t="shared" si="3"/>
        <v>2593.8563152438978</v>
      </c>
      <c r="P16" s="5">
        <f t="shared" si="4"/>
        <v>2275.7065507478933</v>
      </c>
      <c r="Q16" s="5">
        <f t="shared" si="5"/>
        <v>2036.4987599022343</v>
      </c>
      <c r="R16" s="5">
        <f t="shared" si="6"/>
        <v>1866.7905299103811</v>
      </c>
    </row>
    <row r="17" spans="1:18" x14ac:dyDescent="0.3">
      <c r="A17">
        <f t="shared" si="7"/>
        <v>11500</v>
      </c>
      <c r="B17">
        <v>180</v>
      </c>
      <c r="C17">
        <v>82</v>
      </c>
      <c r="D17" s="1">
        <f t="shared" si="0"/>
        <v>134.2281879194631</v>
      </c>
      <c r="F17" s="5">
        <f>(((A17*60)*('Gearbox V4S'!$B$9/'Gearbox V4S'!$C$9)*('Gearbox V4S'!$B$3/'Gearbox V4S'!$C$3)*'Gearbox V4S'!$B$5*PI())/1000)*('Gearbox V4S'!$B$4/'Gearbox V4S'!$C$4)</f>
        <v>116.31802587719001</v>
      </c>
      <c r="G17" s="5">
        <f>(((A17*60)*('Gearbox V4S'!$B$10/'Gearbox V4S'!$C$10)*('Gearbox V4S'!$B$3/'Gearbox V4S'!$C$3)*'Gearbox V4S'!$B$5*PI())/1000)*('Gearbox V4S'!$B$4/'Gearbox V4S'!$C$4)</f>
        <v>149.09016808862052</v>
      </c>
      <c r="H17" s="5">
        <f>(((A17*60)*('Gearbox V4S'!$B$11/'Gearbox V4S'!$C$11)*('Gearbox V4S'!$B$3/'Gearbox V4S'!$C$3)*'Gearbox V4S'!$B$5*PI())/1000)*('Gearbox V4S'!$B$4/'Gearbox V4S'!$C$4)</f>
        <v>181.7783867604571</v>
      </c>
      <c r="I17" s="5">
        <f>(((A17*60)*('Gearbox V4S'!$B$12/'Gearbox V4S'!$C$12)*('Gearbox V4S'!$B$3/'Gearbox V4S'!$C$3)*'Gearbox V4S'!$B$5*PI())/1000)*('Gearbox V4S'!$B$4/'Gearbox V4S'!$C$4)</f>
        <v>207.19148359374472</v>
      </c>
      <c r="J17" s="5">
        <f>(((A17*60)*('Gearbox V4S'!$B$13/'Gearbox V4S'!$C$13)*('Gearbox V4S'!$B$3/'Gearbox V4S'!$C$3)*'Gearbox V4S'!$B$5*PI())/1000)*('Gearbox V4S'!$B$4/'Gearbox V4S'!$C$4)</f>
        <v>231.52826103174004</v>
      </c>
      <c r="K17" s="5">
        <f>(((A17*60)*('Gearbox V4S'!$B$14/'Gearbox V4S'!$C$14)*('Gearbox V4S'!$B$3/'Gearbox V4S'!$C$3)*'Gearbox V4S'!$B$5*PI())/1000)*('Gearbox V4S'!$B$4/'Gearbox V4S'!$C$4)</f>
        <v>252.57628476189828</v>
      </c>
      <c r="M17" s="5">
        <f t="shared" si="1"/>
        <v>4154.3129095077511</v>
      </c>
      <c r="N17" s="5">
        <f t="shared" si="2"/>
        <v>3241.1357684085247</v>
      </c>
      <c r="O17" s="5">
        <f t="shared" si="3"/>
        <v>2658.2999504052373</v>
      </c>
      <c r="P17" s="5">
        <f t="shared" si="4"/>
        <v>2332.2458439341758</v>
      </c>
      <c r="Q17" s="5">
        <f t="shared" si="5"/>
        <v>2087.0950023842779</v>
      </c>
      <c r="R17" s="5">
        <f t="shared" si="6"/>
        <v>1913.170418852254</v>
      </c>
    </row>
    <row r="18" spans="1:18" x14ac:dyDescent="0.3">
      <c r="A18">
        <f t="shared" si="7"/>
        <v>12000</v>
      </c>
      <c r="B18">
        <v>188</v>
      </c>
      <c r="C18">
        <v>82</v>
      </c>
      <c r="D18" s="1">
        <f t="shared" si="0"/>
        <v>140.19388516032811</v>
      </c>
      <c r="F18" s="5">
        <f>(((A18*60)*('Gearbox V4S'!$B$9/'Gearbox V4S'!$C$9)*('Gearbox V4S'!$B$3/'Gearbox V4S'!$C$3)*'Gearbox V4S'!$B$5*PI())/1000)*('Gearbox V4S'!$B$4/'Gearbox V4S'!$C$4)</f>
        <v>121.37533135011132</v>
      </c>
      <c r="G18" s="5">
        <f>(((A18*60)*('Gearbox V4S'!$B$10/'Gearbox V4S'!$C$10)*('Gearbox V4S'!$B$3/'Gearbox V4S'!$C$3)*'Gearbox V4S'!$B$5*PI())/1000)*('Gearbox V4S'!$B$4/'Gearbox V4S'!$C$4)</f>
        <v>155.5723493098649</v>
      </c>
      <c r="H18" s="5">
        <f>(((A18*60)*('Gearbox V4S'!$B$11/'Gearbox V4S'!$C$11)*('Gearbox V4S'!$B$3/'Gearbox V4S'!$C$3)*'Gearbox V4S'!$B$5*PI())/1000)*('Gearbox V4S'!$B$4/'Gearbox V4S'!$C$4)</f>
        <v>189.68179488047701</v>
      </c>
      <c r="I18" s="5">
        <f>(((A18*60)*('Gearbox V4S'!$B$12/'Gearbox V4S'!$C$12)*('Gearbox V4S'!$B$3/'Gearbox V4S'!$C$3)*'Gearbox V4S'!$B$5*PI())/1000)*('Gearbox V4S'!$B$4/'Gearbox V4S'!$C$4)</f>
        <v>216.19980896738574</v>
      </c>
      <c r="J18" s="5">
        <f>(((A18*60)*('Gearbox V4S'!$B$13/'Gearbox V4S'!$C$13)*('Gearbox V4S'!$B$3/'Gearbox V4S'!$C$3)*'Gearbox V4S'!$B$5*PI())/1000)*('Gearbox V4S'!$B$4/'Gearbox V4S'!$C$4)</f>
        <v>241.59470716355492</v>
      </c>
      <c r="K18" s="5">
        <f>(((A18*60)*('Gearbox V4S'!$B$14/'Gearbox V4S'!$C$14)*('Gearbox V4S'!$B$3/'Gearbox V4S'!$C$3)*'Gearbox V4S'!$B$5*PI())/1000)*('Gearbox V4S'!$B$4/'Gearbox V4S'!$C$4)</f>
        <v>263.5578623602417</v>
      </c>
      <c r="M18" s="5">
        <f t="shared" si="1"/>
        <v>4158.1594955350729</v>
      </c>
      <c r="N18" s="5">
        <f t="shared" si="2"/>
        <v>3244.1368200459397</v>
      </c>
      <c r="O18" s="5">
        <f t="shared" si="3"/>
        <v>2660.7613392482044</v>
      </c>
      <c r="P18" s="5">
        <f t="shared" si="4"/>
        <v>2334.4053308267085</v>
      </c>
      <c r="Q18" s="5">
        <f t="shared" si="5"/>
        <v>2089.0274977568552</v>
      </c>
      <c r="R18" s="5">
        <f t="shared" si="6"/>
        <v>1914.9418729437839</v>
      </c>
    </row>
    <row r="19" spans="1:18" x14ac:dyDescent="0.3">
      <c r="A19">
        <f t="shared" si="7"/>
        <v>12500</v>
      </c>
      <c r="B19">
        <v>189</v>
      </c>
      <c r="C19">
        <v>79</v>
      </c>
      <c r="D19" s="1">
        <f t="shared" si="0"/>
        <v>140.93959731543623</v>
      </c>
      <c r="F19" s="5">
        <f>(((A19*60)*('Gearbox V4S'!$B$9/'Gearbox V4S'!$C$9)*('Gearbox V4S'!$B$3/'Gearbox V4S'!$C$3)*'Gearbox V4S'!$B$5*PI())/1000)*('Gearbox V4S'!$B$4/'Gearbox V4S'!$C$4)</f>
        <v>126.43263682303262</v>
      </c>
      <c r="G19" s="5">
        <f>(((A19*60)*('Gearbox V4S'!$B$10/'Gearbox V4S'!$C$10)*('Gearbox V4S'!$B$3/'Gearbox V4S'!$C$3)*'Gearbox V4S'!$B$5*PI())/1000)*('Gearbox V4S'!$B$4/'Gearbox V4S'!$C$4)</f>
        <v>162.05453053110926</v>
      </c>
      <c r="H19" s="5">
        <f>(((A19*60)*('Gearbox V4S'!$B$11/'Gearbox V4S'!$C$11)*('Gearbox V4S'!$B$3/'Gearbox V4S'!$C$3)*'Gearbox V4S'!$B$5*PI())/1000)*('Gearbox V4S'!$B$4/'Gearbox V4S'!$C$4)</f>
        <v>197.58520300049685</v>
      </c>
      <c r="I19" s="5">
        <f>(((A19*60)*('Gearbox V4S'!$B$12/'Gearbox V4S'!$C$12)*('Gearbox V4S'!$B$3/'Gearbox V4S'!$C$3)*'Gearbox V4S'!$B$5*PI())/1000)*('Gearbox V4S'!$B$4/'Gearbox V4S'!$C$4)</f>
        <v>225.20813434102686</v>
      </c>
      <c r="J19" s="5">
        <f>(((A19*60)*('Gearbox V4S'!$B$13/'Gearbox V4S'!$C$13)*('Gearbox V4S'!$B$3/'Gearbox V4S'!$C$3)*'Gearbox V4S'!$B$5*PI())/1000)*('Gearbox V4S'!$B$4/'Gearbox V4S'!$C$4)</f>
        <v>251.66115329536967</v>
      </c>
      <c r="K19" s="5">
        <f>(((A19*60)*('Gearbox V4S'!$B$14/'Gearbox V4S'!$C$14)*('Gearbox V4S'!$B$3/'Gearbox V4S'!$C$3)*'Gearbox V4S'!$B$5*PI())/1000)*('Gearbox V4S'!$B$4/'Gearbox V4S'!$C$4)</f>
        <v>274.53943995858509</v>
      </c>
      <c r="M19" s="5">
        <f t="shared" si="1"/>
        <v>4013.066270584487</v>
      </c>
      <c r="N19" s="5">
        <f t="shared" si="2"/>
        <v>3130.9371522826341</v>
      </c>
      <c r="O19" s="5">
        <f t="shared" si="3"/>
        <v>2567.9177520914586</v>
      </c>
      <c r="P19" s="5">
        <f t="shared" si="4"/>
        <v>2252.9494852404137</v>
      </c>
      <c r="Q19" s="5">
        <f t="shared" si="5"/>
        <v>2016.1337723032116</v>
      </c>
      <c r="R19" s="5">
        <f t="shared" si="6"/>
        <v>1848.1226246112772</v>
      </c>
    </row>
    <row r="20" spans="1:18" x14ac:dyDescent="0.3">
      <c r="A20">
        <f>A19+500</f>
        <v>13000</v>
      </c>
      <c r="B20">
        <v>196</v>
      </c>
      <c r="C20">
        <v>78</v>
      </c>
      <c r="D20" s="1">
        <f t="shared" si="0"/>
        <v>146.15958240119315</v>
      </c>
      <c r="F20" s="5">
        <f>(((A20*60)*('Gearbox V4S'!$B$9/'Gearbox V4S'!$C$9)*('Gearbox V4S'!$B$3/'Gearbox V4S'!$C$3)*'Gearbox V4S'!$B$5*PI())/1000)*('Gearbox V4S'!$B$4/'Gearbox V4S'!$C$4)</f>
        <v>131.48994229595391</v>
      </c>
      <c r="G20" s="5">
        <f>(((A20*60)*('Gearbox V4S'!$B$10/'Gearbox V4S'!$C$10)*('Gearbox V4S'!$B$3/'Gearbox V4S'!$C$3)*'Gearbox V4S'!$B$5*PI())/1000)*('Gearbox V4S'!$B$4/'Gearbox V4S'!$C$4)</f>
        <v>168.53671175235363</v>
      </c>
      <c r="H20" s="5">
        <f>(((A20*60)*('Gearbox V4S'!$B$11/'Gearbox V4S'!$C$11)*('Gearbox V4S'!$B$3/'Gearbox V4S'!$C$3)*'Gearbox V4S'!$B$5*PI())/1000)*('Gearbox V4S'!$B$4/'Gearbox V4S'!$C$4)</f>
        <v>205.48861112051677</v>
      </c>
      <c r="I20" s="5">
        <f>(((A20*60)*('Gearbox V4S'!$B$12/'Gearbox V4S'!$C$12)*('Gearbox V4S'!$B$3/'Gearbox V4S'!$C$3)*'Gearbox V4S'!$B$5*PI())/1000)*('Gearbox V4S'!$B$4/'Gearbox V4S'!$C$4)</f>
        <v>234.21645971466791</v>
      </c>
      <c r="J20" s="5">
        <f>(((A20*60)*('Gearbox V4S'!$B$13/'Gearbox V4S'!$C$13)*('Gearbox V4S'!$B$3/'Gearbox V4S'!$C$3)*'Gearbox V4S'!$B$5*PI())/1000)*('Gearbox V4S'!$B$4/'Gearbox V4S'!$C$4)</f>
        <v>261.72759942718454</v>
      </c>
      <c r="K20" s="5">
        <f>(((A20*60)*('Gearbox V4S'!$B$14/'Gearbox V4S'!$C$14)*('Gearbox V4S'!$B$3/'Gearbox V4S'!$C$3)*'Gearbox V4S'!$B$5*PI())/1000)*('Gearbox V4S'!$B$4/'Gearbox V4S'!$C$4)</f>
        <v>285.52101755692854</v>
      </c>
      <c r="M20" s="5">
        <f t="shared" si="1"/>
        <v>4001.6330333463561</v>
      </c>
      <c r="N20" s="5">
        <f t="shared" si="2"/>
        <v>3122.0171034157329</v>
      </c>
      <c r="O20" s="5">
        <f t="shared" si="3"/>
        <v>2560.6017470997449</v>
      </c>
      <c r="P20" s="5">
        <f t="shared" si="4"/>
        <v>2246.5308257383053</v>
      </c>
      <c r="Q20" s="5">
        <f t="shared" si="5"/>
        <v>2010.3898014419485</v>
      </c>
      <c r="R20" s="5">
        <f t="shared" si="6"/>
        <v>1842.8573179884531</v>
      </c>
    </row>
    <row r="21" spans="1:18" x14ac:dyDescent="0.3">
      <c r="A21">
        <f t="shared" si="7"/>
        <v>13500</v>
      </c>
      <c r="B21">
        <v>194</v>
      </c>
      <c r="C21">
        <v>75</v>
      </c>
      <c r="D21" s="1">
        <f t="shared" si="0"/>
        <v>144.66815809097687</v>
      </c>
      <c r="F21" s="5">
        <f>(((A21*60)*('Gearbox V4S'!$B$9/'Gearbox V4S'!$C$9)*('Gearbox V4S'!$B$3/'Gearbox V4S'!$C$3)*'Gearbox V4S'!$B$5*PI())/1000)*('Gearbox V4S'!$B$4/'Gearbox V4S'!$C$4)</f>
        <v>136.5472477688752</v>
      </c>
      <c r="G21" s="5">
        <f>(((A21*60)*('Gearbox V4S'!$B$10/'Gearbox V4S'!$C$10)*('Gearbox V4S'!$B$3/'Gearbox V4S'!$C$3)*'Gearbox V4S'!$B$5*PI())/1000)*('Gearbox V4S'!$B$4/'Gearbox V4S'!$C$4)</f>
        <v>175.01889297359801</v>
      </c>
      <c r="H21" s="5">
        <f>(((A21*60)*('Gearbox V4S'!$B$11/'Gearbox V4S'!$C$11)*('Gearbox V4S'!$B$3/'Gearbox V4S'!$C$3)*'Gearbox V4S'!$B$5*PI())/1000)*('Gearbox V4S'!$B$4/'Gearbox V4S'!$C$4)</f>
        <v>213.3920192405366</v>
      </c>
      <c r="I21" s="5">
        <f>(((A21*60)*('Gearbox V4S'!$B$12/'Gearbox V4S'!$C$12)*('Gearbox V4S'!$B$3/'Gearbox V4S'!$C$3)*'Gearbox V4S'!$B$5*PI())/1000)*('Gearbox V4S'!$B$4/'Gearbox V4S'!$C$4)</f>
        <v>243.22478508830901</v>
      </c>
      <c r="J21" s="5">
        <f>(((A21*60)*('Gearbox V4S'!$B$13/'Gearbox V4S'!$C$13)*('Gearbox V4S'!$B$3/'Gearbox V4S'!$C$3)*'Gearbox V4S'!$B$5*PI())/1000)*('Gearbox V4S'!$B$4/'Gearbox V4S'!$C$4)</f>
        <v>271.79404555899924</v>
      </c>
      <c r="K21" s="5">
        <f>(((A21*60)*('Gearbox V4S'!$B$14/'Gearbox V4S'!$C$14)*('Gearbox V4S'!$B$3/'Gearbox V4S'!$C$3)*'Gearbox V4S'!$B$5*PI())/1000)*('Gearbox V4S'!$B$4/'Gearbox V4S'!$C$4)</f>
        <v>296.50259515527188</v>
      </c>
      <c r="M21" s="5">
        <f t="shared" si="1"/>
        <v>3814.1037453134959</v>
      </c>
      <c r="N21" s="5">
        <f t="shared" si="2"/>
        <v>2975.7094235882373</v>
      </c>
      <c r="O21" s="5">
        <f t="shared" si="3"/>
        <v>2440.6037816271951</v>
      </c>
      <c r="P21" s="5">
        <f t="shared" si="4"/>
        <v>2141.251225439155</v>
      </c>
      <c r="Q21" s="5">
        <f t="shared" si="5"/>
        <v>1916.1765227651533</v>
      </c>
      <c r="R21" s="5">
        <f t="shared" si="6"/>
        <v>1756.4951458680573</v>
      </c>
    </row>
    <row r="22" spans="1:18" x14ac:dyDescent="0.3">
      <c r="A22">
        <f t="shared" si="7"/>
        <v>14000</v>
      </c>
      <c r="B22">
        <v>187</v>
      </c>
      <c r="C22">
        <v>71</v>
      </c>
      <c r="D22" s="1">
        <f t="shared" si="0"/>
        <v>139.44817300521999</v>
      </c>
      <c r="F22" s="5">
        <f>(((A22*60)*('Gearbox V4S'!$B$9/'Gearbox V4S'!$C$9)*('Gearbox V4S'!$B$3/'Gearbox V4S'!$C$3)*'Gearbox V4S'!$B$5*PI())/1000)*('Gearbox V4S'!$B$4/'Gearbox V4S'!$C$4)</f>
        <v>141.60455324179654</v>
      </c>
      <c r="G22" s="5">
        <f>(((A22*60)*('Gearbox V4S'!$B$10/'Gearbox V4S'!$C$10)*('Gearbox V4S'!$B$3/'Gearbox V4S'!$C$3)*'Gearbox V4S'!$B$5*PI())/1000)*('Gearbox V4S'!$B$4/'Gearbox V4S'!$C$4)</f>
        <v>181.50107419484235</v>
      </c>
      <c r="H22" s="5">
        <f>(((A22*60)*('Gearbox V4S'!$B$11/'Gearbox V4S'!$C$11)*('Gearbox V4S'!$B$3/'Gearbox V4S'!$C$3)*'Gearbox V4S'!$B$5*PI())/1000)*('Gearbox V4S'!$B$4/'Gearbox V4S'!$C$4)</f>
        <v>221.29542736055649</v>
      </c>
      <c r="I22" s="5">
        <f>(((A22*60)*('Gearbox V4S'!$B$12/'Gearbox V4S'!$C$12)*('Gearbox V4S'!$B$3/'Gearbox V4S'!$C$3)*'Gearbox V4S'!$B$5*PI())/1000)*('Gearbox V4S'!$B$4/'Gearbox V4S'!$C$4)</f>
        <v>252.23311046195008</v>
      </c>
      <c r="J22" s="5">
        <f>(((A22*60)*('Gearbox V4S'!$B$13/'Gearbox V4S'!$C$13)*('Gearbox V4S'!$B$3/'Gearbox V4S'!$C$3)*'Gearbox V4S'!$B$5*PI())/1000)*('Gearbox V4S'!$B$4/'Gearbox V4S'!$C$4)</f>
        <v>281.86049169081406</v>
      </c>
      <c r="K22" s="5">
        <f>(((A22*60)*('Gearbox V4S'!$B$14/'Gearbox V4S'!$C$14)*('Gearbox V4S'!$B$3/'Gearbox V4S'!$C$3)*'Gearbox V4S'!$B$5*PI())/1000)*('Gearbox V4S'!$B$4/'Gearbox V4S'!$C$4)</f>
        <v>307.48417275361533</v>
      </c>
      <c r="M22" s="5">
        <f t="shared" si="1"/>
        <v>3545.1785364668326</v>
      </c>
      <c r="N22" s="5">
        <f t="shared" si="2"/>
        <v>2765.8978055406878</v>
      </c>
      <c r="O22" s="5">
        <f t="shared" si="3"/>
        <v>2268.5214457724055</v>
      </c>
      <c r="P22" s="5">
        <f t="shared" si="4"/>
        <v>1990.2756695954149</v>
      </c>
      <c r="Q22" s="5">
        <f t="shared" si="5"/>
        <v>1781.0705565981698</v>
      </c>
      <c r="R22" s="5">
        <f>(D22*1000)/(K22/3.6)</f>
        <v>1632.6480102149887</v>
      </c>
    </row>
    <row r="23" spans="1:18" x14ac:dyDescent="0.3">
      <c r="A23">
        <v>14300</v>
      </c>
      <c r="B23">
        <v>183</v>
      </c>
      <c r="C23">
        <v>67</v>
      </c>
      <c r="D23" s="1">
        <f t="shared" si="0"/>
        <v>136.46532438478746</v>
      </c>
      <c r="F23" s="5">
        <f>(((A23*60)*('Gearbox V4S'!$B$9/'Gearbox V4S'!$C$9)*('Gearbox V4S'!$B$3/'Gearbox V4S'!$C$3)*'Gearbox V4S'!$B$5*PI())/1000)*('Gearbox V4S'!$B$4/'Gearbox V4S'!$C$4)</f>
        <v>144.63893652554933</v>
      </c>
      <c r="G23" s="5">
        <f>(((A23*60)*('Gearbox V4S'!$B$10/'Gearbox V4S'!$C$10)*('Gearbox V4S'!$B$3/'Gearbox V4S'!$C$3)*'Gearbox V4S'!$B$5*PI())/1000)*('Gearbox V4S'!$B$4/'Gearbox V4S'!$C$4)</f>
        <v>185.39038292758897</v>
      </c>
      <c r="H23" s="5">
        <f>(((A23*60)*('Gearbox V4S'!$B$11/'Gearbox V4S'!$C$11)*('Gearbox V4S'!$B$3/'Gearbox V4S'!$C$3)*'Gearbox V4S'!$B$5*PI())/1000)*('Gearbox V4S'!$B$4/'Gearbox V4S'!$C$4)</f>
        <v>226.03747223256846</v>
      </c>
      <c r="I23" s="5">
        <f>(((A23*60)*('Gearbox V4S'!$B$12/'Gearbox V4S'!$C$12)*('Gearbox V4S'!$B$3/'Gearbox V4S'!$C$3)*'Gearbox V4S'!$B$5*PI())/1000)*('Gearbox V4S'!$B$4/'Gearbox V4S'!$C$4)</f>
        <v>257.63810568613468</v>
      </c>
      <c r="J23" s="5">
        <f>(((A23*60)*('Gearbox V4S'!$B$13/'Gearbox V4S'!$C$13)*('Gearbox V4S'!$B$3/'Gearbox V4S'!$C$3)*'Gearbox V4S'!$B$5*PI())/1000)*('Gearbox V4S'!$B$4/'Gearbox V4S'!$C$4)</f>
        <v>287.9003593699029</v>
      </c>
      <c r="K23" s="5">
        <f>(((A23*60)*('Gearbox V4S'!$B$14/'Gearbox V4S'!$C$14)*('Gearbox V4S'!$B$3/'Gearbox V4S'!$C$3)*'Gearbox V4S'!$B$5*PI())/1000)*('Gearbox V4S'!$B$4/'Gearbox V4S'!$C$4)</f>
        <v>314.07311931262137</v>
      </c>
      <c r="M23" s="5">
        <f t="shared" si="1"/>
        <v>3396.5623613283069</v>
      </c>
      <c r="N23" s="5">
        <f t="shared" si="2"/>
        <v>2649.9495822127974</v>
      </c>
      <c r="O23" s="5">
        <f t="shared" si="3"/>
        <v>2173.4235608499689</v>
      </c>
      <c r="P23" s="5">
        <f t="shared" si="4"/>
        <v>1906.842027412383</v>
      </c>
      <c r="Q23" s="5">
        <f t="shared" si="5"/>
        <v>1706.4069279400587</v>
      </c>
      <c r="R23" s="5">
        <f>(D23*1000)/(K23/3.6)</f>
        <v>1564.2063506117204</v>
      </c>
    </row>
    <row r="24" spans="1:18" x14ac:dyDescent="0.3">
      <c r="K24" s="5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F3A9E5-598B-4DF4-BE6D-88052E3A949D}">
  <dimension ref="A1"/>
  <sheetViews>
    <sheetView topLeftCell="A4" workbookViewId="0">
      <selection activeCell="V17" sqref="V17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E19387-E320-41A2-B091-A8EA87F55B35}">
  <dimension ref="A1"/>
  <sheetViews>
    <sheetView zoomScale="55" zoomScaleNormal="55" workbookViewId="0">
      <selection activeCell="AQ45" sqref="AQ45"/>
    </sheetView>
  </sheetViews>
  <sheetFormatPr defaultRowHeight="14.4" x14ac:dyDescent="0.3"/>
  <sheetData/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EF0C5F-0AF7-43A5-A3DB-40A3F20B917E}">
  <dimension ref="A1:R6"/>
  <sheetViews>
    <sheetView workbookViewId="0">
      <selection activeCell="F7" sqref="F7"/>
    </sheetView>
  </sheetViews>
  <sheetFormatPr defaultRowHeight="14.4" x14ac:dyDescent="0.3"/>
  <cols>
    <col min="1" max="1" width="20.109375" customWidth="1"/>
    <col min="2" max="2" width="29.33203125" customWidth="1"/>
    <col min="3" max="3" width="27.33203125" customWidth="1"/>
    <col min="4" max="4" width="28.6640625" customWidth="1"/>
    <col min="5" max="5" width="23.5546875" customWidth="1"/>
    <col min="6" max="6" width="32.44140625" customWidth="1"/>
    <col min="7" max="7" width="27.44140625" customWidth="1"/>
    <col min="8" max="8" width="35.33203125" customWidth="1"/>
    <col min="9" max="9" width="32.109375" customWidth="1"/>
  </cols>
  <sheetData>
    <row r="1" spans="1:18" x14ac:dyDescent="0.3">
      <c r="A1" s="2" t="s">
        <v>45</v>
      </c>
      <c r="B1" s="2" t="s">
        <v>46</v>
      </c>
      <c r="C1" s="2" t="s">
        <v>59</v>
      </c>
      <c r="D1" s="2" t="s">
        <v>48</v>
      </c>
      <c r="E1" s="2" t="s">
        <v>49</v>
      </c>
      <c r="F1" s="2" t="s">
        <v>50</v>
      </c>
      <c r="G1" s="2" t="s">
        <v>51</v>
      </c>
      <c r="H1" s="2" t="s">
        <v>52</v>
      </c>
      <c r="J1" s="2"/>
      <c r="K1" s="2"/>
      <c r="L1" s="2"/>
      <c r="M1" s="2"/>
      <c r="N1" s="2"/>
      <c r="O1" s="2"/>
      <c r="P1" s="2"/>
      <c r="Q1" s="2"/>
      <c r="R1" s="2"/>
    </row>
    <row r="2" spans="1:18" x14ac:dyDescent="0.3">
      <c r="A2" s="1">
        <f>'Shift Point Data V4S'!K23</f>
        <v>314.07311931262137</v>
      </c>
      <c r="B2">
        <f>A2/3.6</f>
        <v>87.242533142394819</v>
      </c>
      <c r="C2">
        <v>195</v>
      </c>
      <c r="D2">
        <v>75</v>
      </c>
      <c r="E2">
        <v>0.37752082999999997</v>
      </c>
      <c r="F2">
        <v>0.42776182000000001</v>
      </c>
      <c r="G2">
        <v>0.75</v>
      </c>
      <c r="H2">
        <v>1.167</v>
      </c>
    </row>
    <row r="5" spans="1:18" x14ac:dyDescent="0.3">
      <c r="A5" s="2" t="s">
        <v>53</v>
      </c>
      <c r="B5" s="2" t="s">
        <v>54</v>
      </c>
      <c r="C5" s="2" t="s">
        <v>55</v>
      </c>
      <c r="D5" s="2" t="s">
        <v>56</v>
      </c>
      <c r="E5" s="2" t="s">
        <v>57</v>
      </c>
      <c r="F5" s="2" t="s">
        <v>58</v>
      </c>
      <c r="G5" s="2" t="s">
        <v>47</v>
      </c>
    </row>
    <row r="6" spans="1:18" x14ac:dyDescent="0.3">
      <c r="A6">
        <f>0.02*C2*9.81</f>
        <v>38.259</v>
      </c>
      <c r="B6">
        <f>0.02*(C2+D2)*9.81</f>
        <v>52.974000000000004</v>
      </c>
      <c r="C6" s="1">
        <f>0.5*H2*G2*E2*B2*B2</f>
        <v>1257.4756300023246</v>
      </c>
      <c r="D6" s="1">
        <f>0.5*H2*G2*F2*B2*B2</f>
        <v>1424.8222120497062</v>
      </c>
      <c r="E6" s="1">
        <f>A6+C6</f>
        <v>1295.7346300023246</v>
      </c>
      <c r="F6" s="1">
        <f>B6+D6</f>
        <v>1477.7962120497061</v>
      </c>
      <c r="G6" s="5">
        <f>'Shift Point Data V4S'!R23</f>
        <v>1564.2063506117204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91B451D30E41240A96500EC6D397FB6" ma:contentTypeVersion="5" ma:contentTypeDescription="Create a new document." ma:contentTypeScope="" ma:versionID="1624626688fd140e8d6bd3573d4053fb">
  <xsd:schema xmlns:xsd="http://www.w3.org/2001/XMLSchema" xmlns:xs="http://www.w3.org/2001/XMLSchema" xmlns:p="http://schemas.microsoft.com/office/2006/metadata/properties" xmlns:ns3="be49ff73-cec0-4379-9da8-63ff3cc411bb" targetNamespace="http://schemas.microsoft.com/office/2006/metadata/properties" ma:root="true" ma:fieldsID="fd259195ded265caa0431eaae1b8c452" ns3:_="">
    <xsd:import namespace="be49ff73-cec0-4379-9da8-63ff3cc411bb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GenerationTime" minOccurs="0"/>
                <xsd:element ref="ns3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e49ff73-cec0-4379-9da8-63ff3cc411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7AC62595-67AC-4DD3-B955-538805DB5EC0}">
  <ds:schemaRefs>
    <ds:schemaRef ds:uri="http://schemas.microsoft.com/office/2006/metadata/properties"/>
    <ds:schemaRef ds:uri="http://schemas.openxmlformats.org/package/2006/metadata/core-properties"/>
    <ds:schemaRef ds:uri="http://purl.org/dc/terms/"/>
    <ds:schemaRef ds:uri="http://purl.org/dc/elements/1.1/"/>
    <ds:schemaRef ds:uri="be49ff73-cec0-4379-9da8-63ff3cc411bb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www.w3.org/XML/1998/namespace"/>
  </ds:schemaRefs>
</ds:datastoreItem>
</file>

<file path=customXml/itemProps2.xml><?xml version="1.0" encoding="utf-8"?>
<ds:datastoreItem xmlns:ds="http://schemas.openxmlformats.org/officeDocument/2006/customXml" ds:itemID="{35058164-F874-433D-B96D-E6F08B39546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3DB1927-F831-4527-AE27-3DCABE6E7A6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e49ff73-cec0-4379-9da8-63ff3cc411b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Centre of Gravity</vt:lpstr>
      <vt:lpstr>Gearbox V4S</vt:lpstr>
      <vt:lpstr>Shift Point Data V4S</vt:lpstr>
      <vt:lpstr>Power Torque Curve V4S</vt:lpstr>
      <vt:lpstr>Shift Point Chart V4S</vt:lpstr>
      <vt:lpstr>Power Speed Requirements V4S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Aidan Maclean King (2107344)</dc:creator>
  <cp:lastModifiedBy>Aidan King</cp:lastModifiedBy>
  <dcterms:created xsi:type="dcterms:W3CDTF">2021-11-09T09:42:20Z</dcterms:created>
  <dcterms:modified xsi:type="dcterms:W3CDTF">2021-12-09T13:57:04Z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0x010100891B451D30E41240A96500EC6D397FB6</vt:lpwstr>
  </property>
</Properties>
</file>