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106621_student_uwtsd_ac_uk/Documents/Level 4/Motorcycle Technology/"/>
    </mc:Choice>
  </mc:AlternateContent>
  <xr:revisionPtr revIDLastSave="745" documentId="13_ncr:1_{9432F793-1A6A-4D53-8312-A324F1F65A98}" xr6:coauthVersionLast="47" xr6:coauthVersionMax="47" xr10:uidLastSave="{3AB6A1CE-E75E-49CE-BE1B-32550C0AF732}"/>
  <bookViews>
    <workbookView xWindow="-120" yWindow="-120" windowWidth="29040" windowHeight="15840" firstSheet="1" activeTab="2" xr2:uid="{1C2F5779-4BF3-4492-B243-047E2085EF1F}"/>
  </bookViews>
  <sheets>
    <sheet name="Equivalent Mass" sheetId="1" r:id="rId1"/>
    <sheet name="CoG" sheetId="2" r:id="rId2"/>
    <sheet name="Gearing Calculator" sheetId="3" r:id="rId3"/>
    <sheet name="Driving Force v Road Speed" sheetId="10" r:id="rId4"/>
    <sheet name="Road Speed" sheetId="5" r:id="rId5"/>
    <sheet name="Powercurve" sheetId="8" r:id="rId6"/>
    <sheet name="Resistance to Motion" sheetId="11" r:id="rId7"/>
    <sheet name="notes" sheetId="9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2" i="3"/>
  <c r="E2" i="11"/>
  <c r="K13" i="11"/>
  <c r="B8" i="11"/>
  <c r="E8" i="11" s="1"/>
  <c r="L3" i="11"/>
  <c r="L4" i="11"/>
  <c r="L5" i="11"/>
  <c r="L6" i="11"/>
  <c r="L7" i="11"/>
  <c r="L8" i="11"/>
  <c r="L9" i="11"/>
  <c r="L10" i="11"/>
  <c r="L11" i="11"/>
  <c r="L12" i="11"/>
  <c r="L13" i="11"/>
  <c r="L2" i="11"/>
  <c r="L27" i="2"/>
  <c r="B5" i="11"/>
  <c r="H20" i="9"/>
  <c r="J17" i="9"/>
  <c r="L18" i="9" s="1"/>
  <c r="N18" i="9" s="1"/>
  <c r="N19" i="9" s="1"/>
  <c r="G23" i="9"/>
  <c r="D5" i="5"/>
  <c r="B8" i="2"/>
  <c r="I5" i="2" s="1"/>
  <c r="E26" i="3"/>
  <c r="E22" i="3"/>
  <c r="F22" i="3" s="1"/>
  <c r="E25" i="3"/>
  <c r="F25" i="3" s="1"/>
  <c r="E24" i="3"/>
  <c r="F24" i="3" s="1"/>
  <c r="E23" i="3"/>
  <c r="F23" i="3" s="1"/>
  <c r="I26" i="2"/>
  <c r="S26" i="2"/>
  <c r="S15" i="2"/>
  <c r="S5" i="2"/>
  <c r="I15" i="2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4" i="5"/>
  <c r="B27" i="2"/>
  <c r="L30" i="2"/>
  <c r="L29" i="2"/>
  <c r="P28" i="2"/>
  <c r="L28" i="2"/>
  <c r="S25" i="2"/>
  <c r="B30" i="2"/>
  <c r="B29" i="2"/>
  <c r="F28" i="2"/>
  <c r="B28" i="2"/>
  <c r="I25" i="2"/>
  <c r="B18" i="3"/>
  <c r="I4" i="2"/>
  <c r="L5" i="5"/>
  <c r="S5" i="5" s="1"/>
  <c r="L6" i="5"/>
  <c r="S6" i="5" s="1"/>
  <c r="L7" i="5"/>
  <c r="S7" i="5" s="1"/>
  <c r="L8" i="5"/>
  <c r="S8" i="5" s="1"/>
  <c r="L9" i="5"/>
  <c r="S9" i="5" s="1"/>
  <c r="L10" i="5"/>
  <c r="S10" i="5" s="1"/>
  <c r="L11" i="5"/>
  <c r="S11" i="5" s="1"/>
  <c r="L12" i="5"/>
  <c r="S12" i="5" s="1"/>
  <c r="L13" i="5"/>
  <c r="S13" i="5" s="1"/>
  <c r="L14" i="5"/>
  <c r="S14" i="5" s="1"/>
  <c r="L15" i="5"/>
  <c r="S15" i="5" s="1"/>
  <c r="L16" i="5"/>
  <c r="S16" i="5" s="1"/>
  <c r="L17" i="5"/>
  <c r="S17" i="5" s="1"/>
  <c r="L18" i="5"/>
  <c r="S18" i="5" s="1"/>
  <c r="L19" i="5"/>
  <c r="S19" i="5" s="1"/>
  <c r="L20" i="5"/>
  <c r="S20" i="5" s="1"/>
  <c r="L21" i="5"/>
  <c r="S21" i="5" s="1"/>
  <c r="L22" i="5"/>
  <c r="S22" i="5" s="1"/>
  <c r="L4" i="5"/>
  <c r="S4" i="5" s="1"/>
  <c r="K4" i="5"/>
  <c r="R4" i="5" s="1"/>
  <c r="K5" i="5"/>
  <c r="R5" i="5" s="1"/>
  <c r="K6" i="5"/>
  <c r="R6" i="5" s="1"/>
  <c r="K7" i="5"/>
  <c r="R7" i="5" s="1"/>
  <c r="K8" i="5"/>
  <c r="R8" i="5" s="1"/>
  <c r="K9" i="5"/>
  <c r="R9" i="5" s="1"/>
  <c r="K10" i="5"/>
  <c r="R10" i="5" s="1"/>
  <c r="K11" i="5"/>
  <c r="R11" i="5" s="1"/>
  <c r="K12" i="5"/>
  <c r="R12" i="5" s="1"/>
  <c r="K13" i="5"/>
  <c r="R13" i="5" s="1"/>
  <c r="K14" i="5"/>
  <c r="R14" i="5" s="1"/>
  <c r="K15" i="5"/>
  <c r="R15" i="5" s="1"/>
  <c r="K16" i="5"/>
  <c r="R16" i="5" s="1"/>
  <c r="K17" i="5"/>
  <c r="R17" i="5" s="1"/>
  <c r="K18" i="5"/>
  <c r="R18" i="5" s="1"/>
  <c r="K19" i="5"/>
  <c r="R19" i="5" s="1"/>
  <c r="K20" i="5"/>
  <c r="R20" i="5" s="1"/>
  <c r="K21" i="5"/>
  <c r="R21" i="5" s="1"/>
  <c r="K22" i="5"/>
  <c r="R22" i="5" s="1"/>
  <c r="J4" i="5"/>
  <c r="Q4" i="5" s="1"/>
  <c r="J5" i="5"/>
  <c r="Q5" i="5" s="1"/>
  <c r="J6" i="5"/>
  <c r="Q6" i="5" s="1"/>
  <c r="J7" i="5"/>
  <c r="Q7" i="5" s="1"/>
  <c r="J8" i="5"/>
  <c r="Q8" i="5" s="1"/>
  <c r="J9" i="5"/>
  <c r="Q9" i="5" s="1"/>
  <c r="J10" i="5"/>
  <c r="Q10" i="5" s="1"/>
  <c r="J11" i="5"/>
  <c r="Q11" i="5" s="1"/>
  <c r="J12" i="5"/>
  <c r="Q12" i="5" s="1"/>
  <c r="J13" i="5"/>
  <c r="Q13" i="5" s="1"/>
  <c r="J14" i="5"/>
  <c r="Q14" i="5" s="1"/>
  <c r="J15" i="5"/>
  <c r="Q15" i="5" s="1"/>
  <c r="J16" i="5"/>
  <c r="Q16" i="5" s="1"/>
  <c r="J17" i="5"/>
  <c r="Q17" i="5" s="1"/>
  <c r="J18" i="5"/>
  <c r="Q18" i="5" s="1"/>
  <c r="J19" i="5"/>
  <c r="Q19" i="5" s="1"/>
  <c r="J20" i="5"/>
  <c r="Q20" i="5" s="1"/>
  <c r="J21" i="5"/>
  <c r="Q21" i="5" s="1"/>
  <c r="J22" i="5"/>
  <c r="Q22" i="5" s="1"/>
  <c r="I4" i="5"/>
  <c r="P4" i="5" s="1"/>
  <c r="I5" i="5"/>
  <c r="P5" i="5" s="1"/>
  <c r="I6" i="5"/>
  <c r="P6" i="5" s="1"/>
  <c r="I7" i="5"/>
  <c r="P7" i="5" s="1"/>
  <c r="I8" i="5"/>
  <c r="P8" i="5" s="1"/>
  <c r="I9" i="5"/>
  <c r="P9" i="5" s="1"/>
  <c r="I10" i="5"/>
  <c r="P10" i="5" s="1"/>
  <c r="I11" i="5"/>
  <c r="P11" i="5" s="1"/>
  <c r="I12" i="5"/>
  <c r="P12" i="5" s="1"/>
  <c r="I13" i="5"/>
  <c r="P13" i="5" s="1"/>
  <c r="I14" i="5"/>
  <c r="P14" i="5" s="1"/>
  <c r="I15" i="5"/>
  <c r="P15" i="5" s="1"/>
  <c r="I16" i="5"/>
  <c r="P16" i="5" s="1"/>
  <c r="I17" i="5"/>
  <c r="P17" i="5" s="1"/>
  <c r="I18" i="5"/>
  <c r="P18" i="5" s="1"/>
  <c r="I19" i="5"/>
  <c r="P19" i="5" s="1"/>
  <c r="I20" i="5"/>
  <c r="P20" i="5" s="1"/>
  <c r="I21" i="5"/>
  <c r="P21" i="5" s="1"/>
  <c r="I22" i="5"/>
  <c r="P22" i="5" s="1"/>
  <c r="H4" i="5"/>
  <c r="O4" i="5" s="1"/>
  <c r="H5" i="5"/>
  <c r="O5" i="5" s="1"/>
  <c r="H6" i="5"/>
  <c r="O6" i="5" s="1"/>
  <c r="H7" i="5"/>
  <c r="O7" i="5" s="1"/>
  <c r="H8" i="5"/>
  <c r="O8" i="5" s="1"/>
  <c r="H9" i="5"/>
  <c r="O9" i="5" s="1"/>
  <c r="H10" i="5"/>
  <c r="O10" i="5" s="1"/>
  <c r="H11" i="5"/>
  <c r="O11" i="5" s="1"/>
  <c r="H12" i="5"/>
  <c r="O12" i="5" s="1"/>
  <c r="H13" i="5"/>
  <c r="O13" i="5" s="1"/>
  <c r="H14" i="5"/>
  <c r="O14" i="5" s="1"/>
  <c r="H15" i="5"/>
  <c r="O15" i="5" s="1"/>
  <c r="H16" i="5"/>
  <c r="O16" i="5" s="1"/>
  <c r="H17" i="5"/>
  <c r="O17" i="5" s="1"/>
  <c r="H18" i="5"/>
  <c r="O18" i="5" s="1"/>
  <c r="H19" i="5"/>
  <c r="O19" i="5" s="1"/>
  <c r="H20" i="5"/>
  <c r="O20" i="5" s="1"/>
  <c r="H21" i="5"/>
  <c r="O21" i="5" s="1"/>
  <c r="H22" i="5"/>
  <c r="O22" i="5" s="1"/>
  <c r="G4" i="5"/>
  <c r="N4" i="5" s="1"/>
  <c r="G5" i="5"/>
  <c r="N5" i="5" s="1"/>
  <c r="G6" i="5"/>
  <c r="N6" i="5" s="1"/>
  <c r="G7" i="5"/>
  <c r="N7" i="5" s="1"/>
  <c r="G8" i="5"/>
  <c r="N8" i="5" s="1"/>
  <c r="G9" i="5"/>
  <c r="N9" i="5" s="1"/>
  <c r="G10" i="5"/>
  <c r="N10" i="5" s="1"/>
  <c r="G11" i="5"/>
  <c r="N11" i="5" s="1"/>
  <c r="G12" i="5"/>
  <c r="N12" i="5" s="1"/>
  <c r="G13" i="5"/>
  <c r="N13" i="5" s="1"/>
  <c r="G14" i="5"/>
  <c r="N14" i="5" s="1"/>
  <c r="G15" i="5"/>
  <c r="N15" i="5" s="1"/>
  <c r="G16" i="5"/>
  <c r="N16" i="5" s="1"/>
  <c r="G17" i="5"/>
  <c r="N17" i="5" s="1"/>
  <c r="G18" i="5"/>
  <c r="N18" i="5" s="1"/>
  <c r="G19" i="5"/>
  <c r="N19" i="5" s="1"/>
  <c r="G20" i="5"/>
  <c r="N20" i="5" s="1"/>
  <c r="G21" i="5"/>
  <c r="N21" i="5" s="1"/>
  <c r="G22" i="5"/>
  <c r="N22" i="5" s="1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4" i="5"/>
  <c r="L19" i="2"/>
  <c r="B19" i="2"/>
  <c r="S18" i="2"/>
  <c r="L18" i="2"/>
  <c r="B18" i="2"/>
  <c r="S17" i="2"/>
  <c r="P17" i="2"/>
  <c r="L17" i="2" s="1"/>
  <c r="F17" i="2"/>
  <c r="B17" i="2"/>
  <c r="L16" i="2"/>
  <c r="B16" i="2"/>
  <c r="I18" i="2" s="1"/>
  <c r="S14" i="2"/>
  <c r="L9" i="2"/>
  <c r="B9" i="2"/>
  <c r="L8" i="2"/>
  <c r="P7" i="2"/>
  <c r="L7" i="2"/>
  <c r="F7" i="2"/>
  <c r="B7" i="2"/>
  <c r="L6" i="2"/>
  <c r="S8" i="2" s="1"/>
  <c r="B6" i="2"/>
  <c r="I7" i="2" s="1"/>
  <c r="C2" i="1"/>
  <c r="E2" i="1" s="1"/>
  <c r="E3" i="1" s="1"/>
  <c r="E4" i="1" s="1"/>
  <c r="C11" i="1"/>
  <c r="E11" i="1" s="1"/>
  <c r="E12" i="1" s="1"/>
  <c r="E13" i="1" s="1"/>
  <c r="C17" i="1"/>
  <c r="E17" i="1" s="1"/>
  <c r="E18" i="1" s="1"/>
  <c r="E19" i="1" s="1"/>
  <c r="C23" i="1"/>
  <c r="E23" i="1" s="1"/>
  <c r="E24" i="1" s="1"/>
  <c r="E25" i="1" s="1"/>
  <c r="H4" i="1"/>
  <c r="H17" i="1" s="1"/>
  <c r="H18" i="1" s="1"/>
  <c r="H19" i="1" s="1"/>
  <c r="H15" i="1"/>
  <c r="L4" i="1"/>
  <c r="L15" i="1"/>
  <c r="L17" i="1"/>
  <c r="L18" i="1" s="1"/>
  <c r="L19" i="1" s="1"/>
  <c r="N2" i="11" l="1"/>
  <c r="N4" i="11"/>
  <c r="N5" i="11"/>
  <c r="N12" i="11"/>
  <c r="N8" i="11"/>
  <c r="G2" i="11"/>
  <c r="N3" i="11"/>
  <c r="N11" i="11"/>
  <c r="N13" i="11"/>
  <c r="N6" i="11"/>
  <c r="N7" i="11"/>
  <c r="N9" i="11"/>
  <c r="N10" i="11"/>
  <c r="I2" i="11"/>
  <c r="I3" i="11" s="1"/>
  <c r="S29" i="2"/>
  <c r="S28" i="2"/>
  <c r="I29" i="2"/>
  <c r="I28" i="2"/>
  <c r="I14" i="2"/>
  <c r="D23" i="3"/>
  <c r="D24" i="3"/>
  <c r="D25" i="3"/>
  <c r="D26" i="3"/>
  <c r="F26" i="3" s="1"/>
  <c r="S4" i="2"/>
  <c r="I8" i="2"/>
  <c r="I17" i="2"/>
  <c r="S7" i="2"/>
</calcChain>
</file>

<file path=xl/sharedStrings.xml><?xml version="1.0" encoding="utf-8"?>
<sst xmlns="http://schemas.openxmlformats.org/spreadsheetml/2006/main" count="369" uniqueCount="192">
  <si>
    <t>Gold SV</t>
  </si>
  <si>
    <t>I</t>
  </si>
  <si>
    <t>SV Gold (Wet)</t>
  </si>
  <si>
    <t>SV Black (Dry)</t>
  </si>
  <si>
    <t>mass</t>
  </si>
  <si>
    <t>Mass of Wheel and Spindle</t>
  </si>
  <si>
    <t>radius of spindle</t>
  </si>
  <si>
    <t>Em</t>
  </si>
  <si>
    <t>Mass of Spindle</t>
  </si>
  <si>
    <t>m*</t>
  </si>
  <si>
    <t>Mass of Wheel (m)</t>
  </si>
  <si>
    <t>s</t>
  </si>
  <si>
    <t>t</t>
  </si>
  <si>
    <t>Radius of Spindle (r)</t>
  </si>
  <si>
    <t>Height of Roll (h)</t>
  </si>
  <si>
    <t>Distance of Roll (s)</t>
  </si>
  <si>
    <t>Rolling Tyre Radius</t>
  </si>
  <si>
    <t>Black SV</t>
  </si>
  <si>
    <t>m</t>
  </si>
  <si>
    <t>Time Taken</t>
  </si>
  <si>
    <t>r</t>
  </si>
  <si>
    <t>Roll 1</t>
  </si>
  <si>
    <t>h</t>
  </si>
  <si>
    <t>Roll 2</t>
  </si>
  <si>
    <t>Roll 3</t>
  </si>
  <si>
    <t>Average Time (t)</t>
  </si>
  <si>
    <t>MX</t>
  </si>
  <si>
    <t>Inertia</t>
  </si>
  <si>
    <t>Equivalent Mass</t>
  </si>
  <si>
    <t>Effective Mass (m*)</t>
  </si>
  <si>
    <t>RS250</t>
  </si>
  <si>
    <t>CoG</t>
  </si>
  <si>
    <t>Ducati Panigale (Without Rider)</t>
  </si>
  <si>
    <t>Ducati Panigale (With Rider)</t>
  </si>
  <si>
    <t>Wr</t>
  </si>
  <si>
    <t>X CoG</t>
  </si>
  <si>
    <t>Wf</t>
  </si>
  <si>
    <t>Fwr</t>
  </si>
  <si>
    <t>Y CoG</t>
  </si>
  <si>
    <t>HUH</t>
  </si>
  <si>
    <t>Wt</t>
  </si>
  <si>
    <t>Rwr</t>
  </si>
  <si>
    <t>Rav</t>
  </si>
  <si>
    <t>% Load F</t>
  </si>
  <si>
    <t>Θ</t>
  </si>
  <si>
    <t>% Load R</t>
  </si>
  <si>
    <t>Wb</t>
  </si>
  <si>
    <t>Wheelbase</t>
  </si>
  <si>
    <t xml:space="preserve"> </t>
  </si>
  <si>
    <t>Wr-Lifted</t>
  </si>
  <si>
    <t>Elevation</t>
  </si>
  <si>
    <t>Bucci Pit Bike (Without Rider)</t>
  </si>
  <si>
    <t>Bucci Pit Bike (With Rider)</t>
  </si>
  <si>
    <t>Kawasaki Ninja 400 (Without Rider)</t>
  </si>
  <si>
    <t>Kawasaki Ninja 400 (With Rider)</t>
  </si>
  <si>
    <t>Supersport 400 Kawasaki Ninja 2021</t>
  </si>
  <si>
    <t>Gear Ratios</t>
  </si>
  <si>
    <t>Primary Reduction Ratio</t>
  </si>
  <si>
    <t>(71/32)</t>
  </si>
  <si>
    <t>Tyres</t>
  </si>
  <si>
    <t>To Doooo</t>
  </si>
  <si>
    <t>Width</t>
  </si>
  <si>
    <t>Profile</t>
  </si>
  <si>
    <t>Size</t>
  </si>
  <si>
    <t>Drop down box rpm</t>
  </si>
  <si>
    <t>1st Gear</t>
  </si>
  <si>
    <t>(41/14)</t>
  </si>
  <si>
    <t>Front</t>
  </si>
  <si>
    <t>Dist sprocket swing arm calculation?</t>
  </si>
  <si>
    <t>2nd Gear</t>
  </si>
  <si>
    <t>(37/18)</t>
  </si>
  <si>
    <t>Rear</t>
  </si>
  <si>
    <t>3rd Gear</t>
  </si>
  <si>
    <t>(34/21)</t>
  </si>
  <si>
    <t>4th Gear</t>
  </si>
  <si>
    <t>(32/24)</t>
  </si>
  <si>
    <t>5th Gear</t>
  </si>
  <si>
    <t>(30/26)</t>
  </si>
  <si>
    <t>6th Gear</t>
  </si>
  <si>
    <t>(28/27)</t>
  </si>
  <si>
    <t>Final Reduction Ratio</t>
  </si>
  <si>
    <t>Primary</t>
  </si>
  <si>
    <t>Chain sizes</t>
  </si>
  <si>
    <t>Final</t>
  </si>
  <si>
    <t>5/8"</t>
  </si>
  <si>
    <t xml:space="preserve">Wheel Diameter </t>
  </si>
  <si>
    <t>RPM</t>
  </si>
  <si>
    <t>Ratios</t>
  </si>
  <si>
    <t>Wheel Speed</t>
  </si>
  <si>
    <t>RPM Falls to</t>
  </si>
  <si>
    <t>RPM Falls by</t>
  </si>
  <si>
    <t>Chain Length</t>
  </si>
  <si>
    <t>Chain Size</t>
  </si>
  <si>
    <t>Front Sprocket</t>
  </si>
  <si>
    <t>Rear Sprocket</t>
  </si>
  <si>
    <t>Chain</t>
  </si>
  <si>
    <t>Distance between front sprocket and swing arm</t>
  </si>
  <si>
    <t>Swing arm length</t>
  </si>
  <si>
    <t>Find power curve for next week</t>
  </si>
  <si>
    <t>Road Speed</t>
  </si>
  <si>
    <t>(km/h)</t>
  </si>
  <si>
    <t>Driving Force</t>
  </si>
  <si>
    <t>(Nm)</t>
  </si>
  <si>
    <t>lb-ft</t>
  </si>
  <si>
    <t>Power (hp)</t>
  </si>
  <si>
    <t>Torque (nm)</t>
  </si>
  <si>
    <t>Power (kw)</t>
  </si>
  <si>
    <t>1st gear</t>
  </si>
  <si>
    <t>2nd gear</t>
  </si>
  <si>
    <t>3rd gear</t>
  </si>
  <si>
    <t>4th gear</t>
  </si>
  <si>
    <t>5th gear</t>
  </si>
  <si>
    <t>6th gear</t>
  </si>
  <si>
    <t>1st</t>
  </si>
  <si>
    <t>2nd</t>
  </si>
  <si>
    <t>3rd</t>
  </si>
  <si>
    <t>4th</t>
  </si>
  <si>
    <t>5th</t>
  </si>
  <si>
    <t>6th</t>
  </si>
  <si>
    <t>x</t>
  </si>
  <si>
    <t>y</t>
  </si>
  <si>
    <t xml:space="preserve"> Factors </t>
  </si>
  <si>
    <t>air resistance</t>
  </si>
  <si>
    <t>Section 2</t>
  </si>
  <si>
    <t>Section 1</t>
  </si>
  <si>
    <t>rolling resistance</t>
  </si>
  <si>
    <t>Sketch in Solidworks</t>
  </si>
  <si>
    <t xml:space="preserve">HP </t>
  </si>
  <si>
    <t>closed sketch</t>
  </si>
  <si>
    <t>Road speed v Driving force</t>
  </si>
  <si>
    <t xml:space="preserve">theoretical </t>
  </si>
  <si>
    <t>Work out frontal area</t>
  </si>
  <si>
    <t>front photo</t>
  </si>
  <si>
    <t>Talk about calculations®</t>
  </si>
  <si>
    <t>Work out CoEffient of drag</t>
  </si>
  <si>
    <t>standard unit for coeffient of drag</t>
  </si>
  <si>
    <t>all measurements diagram</t>
  </si>
  <si>
    <t>Section 3</t>
  </si>
  <si>
    <t>Section 4</t>
  </si>
  <si>
    <t>Talk about rake,trail</t>
  </si>
  <si>
    <t>moto 3</t>
  </si>
  <si>
    <t>swing arm length</t>
  </si>
  <si>
    <t>Ducati wsbk</t>
  </si>
  <si>
    <t>how it would affect the handling</t>
  </si>
  <si>
    <t>see section 1*</t>
  </si>
  <si>
    <t xml:space="preserve">There differences </t>
  </si>
  <si>
    <t>Section 5</t>
  </si>
  <si>
    <t>Compare moto 3 to ninja</t>
  </si>
  <si>
    <t>Compare and contrast</t>
  </si>
  <si>
    <t>Ducati racebike to roadbike</t>
  </si>
  <si>
    <t>Points made in section 3</t>
  </si>
  <si>
    <t xml:space="preserve">Ninja </t>
  </si>
  <si>
    <t>Ducati</t>
  </si>
  <si>
    <t>Rake</t>
  </si>
  <si>
    <t>Trail</t>
  </si>
  <si>
    <t>Wheel Radius</t>
  </si>
  <si>
    <t>Triple Clamp offset</t>
  </si>
  <si>
    <t>degrees</t>
  </si>
  <si>
    <t>(1454&gt;?)</t>
  </si>
  <si>
    <t>Wheel Base</t>
  </si>
  <si>
    <t xml:space="preserve">Rolling Resistance </t>
  </si>
  <si>
    <r>
      <t>F</t>
    </r>
    <r>
      <rPr>
        <sz val="9"/>
        <color theme="1"/>
        <rFont val="Arial"/>
        <family val="2"/>
      </rPr>
      <t>W</t>
    </r>
    <r>
      <rPr>
        <sz val="16"/>
        <color theme="1"/>
        <rFont val="Arial"/>
        <family val="2"/>
      </rPr>
      <t xml:space="preserve"> = 0.02 x m x g </t>
    </r>
  </si>
  <si>
    <t>nm</t>
  </si>
  <si>
    <r>
      <t>F</t>
    </r>
    <r>
      <rPr>
        <sz val="9"/>
        <color theme="1"/>
        <rFont val="Arial"/>
        <family val="2"/>
      </rPr>
      <t>D</t>
    </r>
    <r>
      <rPr>
        <sz val="16"/>
        <color theme="1"/>
        <rFont val="Arial"/>
        <family val="2"/>
      </rPr>
      <t xml:space="preserve"> = ½ρ x C</t>
    </r>
    <r>
      <rPr>
        <sz val="9"/>
        <color theme="1"/>
        <rFont val="Arial"/>
        <family val="2"/>
      </rPr>
      <t xml:space="preserve">D x </t>
    </r>
    <r>
      <rPr>
        <sz val="16"/>
        <color theme="1"/>
        <rFont val="Arial"/>
        <family val="2"/>
      </rPr>
      <t>A x V^2</t>
    </r>
  </si>
  <si>
    <t>Aero Drag Force</t>
  </si>
  <si>
    <t>rho</t>
  </si>
  <si>
    <t>Cd</t>
  </si>
  <si>
    <t xml:space="preserve">A </t>
  </si>
  <si>
    <t>V</t>
  </si>
  <si>
    <t>m^2</t>
  </si>
  <si>
    <t>n</t>
  </si>
  <si>
    <t>Power needed</t>
  </si>
  <si>
    <t>Total Force needed</t>
  </si>
  <si>
    <t>w</t>
  </si>
  <si>
    <t>kw</t>
  </si>
  <si>
    <t>aero force</t>
  </si>
  <si>
    <t>top speed in m/s</t>
  </si>
  <si>
    <t>(find average)</t>
  </si>
  <si>
    <t xml:space="preserve">Total Rolling Resistance </t>
  </si>
  <si>
    <t>Total Aero Drag</t>
  </si>
  <si>
    <t>Total Power needed</t>
  </si>
  <si>
    <t>Mass</t>
  </si>
  <si>
    <t>Gravity</t>
  </si>
  <si>
    <t>(n)</t>
  </si>
  <si>
    <t>(w)</t>
  </si>
  <si>
    <t>(Kw)</t>
  </si>
  <si>
    <t>Ninja</t>
  </si>
  <si>
    <t>km/h</t>
  </si>
  <si>
    <t>m/s</t>
  </si>
  <si>
    <t>Resistance to Motion (n)</t>
  </si>
  <si>
    <t>mph</t>
  </si>
  <si>
    <t>(find average) italian dudes 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</si>
</sst>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#.##&quot;kg&quot;"/>
    <numFmt numFmtId="165" formatCode="##.##&quot;mm&quot;"/>
    <numFmt numFmtId="166" formatCode="#######.##&quot;kg.mm^2&quot;"/>
    <numFmt numFmtId="167" formatCode="##.##&quot;m&quot;"/>
    <numFmt numFmtId="168" formatCode="##.###&quot;m&quot;"/>
    <numFmt numFmtId="169" formatCode="##.##"/>
    <numFmt numFmtId="170" formatCode="##.##&quot;°&quot;"/>
    <numFmt numFmtId="171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6"/>
      <color theme="1"/>
      <name val="Arial"/>
      <family val="2"/>
    </font>
    <font>
      <sz val="9"/>
      <color theme="1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E7E6E6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8">
    <xf numFmtId="0" fontId="0" fillId="0" borderId="0" xfId="0"/>
    <xf numFmtId="2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47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0" xfId="0" applyFill="1"/>
    <xf numFmtId="0" fontId="2" fillId="0" borderId="0" xfId="0" applyFont="1"/>
    <xf numFmtId="0" fontId="0" fillId="4" borderId="1" xfId="0" applyFill="1" applyBorder="1"/>
    <xf numFmtId="164" fontId="0" fillId="4" borderId="1" xfId="0" applyNumberFormat="1" applyFill="1" applyBorder="1"/>
    <xf numFmtId="167" fontId="0" fillId="4" borderId="1" xfId="0" applyNumberFormat="1" applyFill="1" applyBorder="1"/>
    <xf numFmtId="0" fontId="0" fillId="3" borderId="0" xfId="0" applyFill="1"/>
    <xf numFmtId="168" fontId="0" fillId="4" borderId="1" xfId="0" applyNumberFormat="1" applyFill="1" applyBorder="1"/>
    <xf numFmtId="169" fontId="0" fillId="4" borderId="1" xfId="0" applyNumberFormat="1" applyFill="1" applyBorder="1"/>
    <xf numFmtId="170" fontId="0" fillId="4" borderId="1" xfId="0" applyNumberFormat="1" applyFill="1" applyBorder="1"/>
    <xf numFmtId="0" fontId="1" fillId="6" borderId="1" xfId="0" applyFont="1" applyFill="1" applyBorder="1"/>
    <xf numFmtId="0" fontId="0" fillId="6" borderId="1" xfId="0" applyFill="1" applyBorder="1"/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/>
    </xf>
    <xf numFmtId="0" fontId="0" fillId="7" borderId="0" xfId="0" applyFill="1"/>
    <xf numFmtId="0" fontId="0" fillId="0" borderId="0" xfId="0" quotePrefix="1"/>
    <xf numFmtId="0" fontId="1" fillId="8" borderId="1" xfId="0" applyFont="1" applyFill="1" applyBorder="1"/>
    <xf numFmtId="0" fontId="0" fillId="8" borderId="1" xfId="0" applyFill="1" applyBorder="1"/>
    <xf numFmtId="0" fontId="0" fillId="4" borderId="5" xfId="0" applyFill="1" applyBorder="1"/>
    <xf numFmtId="167" fontId="0" fillId="4" borderId="6" xfId="0" applyNumberFormat="1" applyFill="1" applyBorder="1"/>
    <xf numFmtId="0" fontId="0" fillId="8" borderId="6" xfId="0" applyFill="1" applyBorder="1"/>
    <xf numFmtId="169" fontId="0" fillId="4" borderId="6" xfId="0" applyNumberFormat="1" applyFill="1" applyBorder="1"/>
    <xf numFmtId="0" fontId="0" fillId="4" borderId="7" xfId="0" applyFill="1" applyBorder="1"/>
    <xf numFmtId="164" fontId="0" fillId="4" borderId="8" xfId="0" applyNumberFormat="1" applyFill="1" applyBorder="1"/>
    <xf numFmtId="0" fontId="1" fillId="8" borderId="8" xfId="0" applyFont="1" applyFill="1" applyBorder="1"/>
    <xf numFmtId="0" fontId="0" fillId="4" borderId="8" xfId="0" applyFill="1" applyBorder="1"/>
    <xf numFmtId="167" fontId="0" fillId="4" borderId="8" xfId="0" applyNumberFormat="1" applyFill="1" applyBorder="1"/>
    <xf numFmtId="0" fontId="0" fillId="8" borderId="8" xfId="0" applyFill="1" applyBorder="1"/>
    <xf numFmtId="0" fontId="0" fillId="8" borderId="9" xfId="0" applyFill="1" applyBorder="1"/>
    <xf numFmtId="0" fontId="0" fillId="4" borderId="12" xfId="0" applyFill="1" applyBorder="1"/>
    <xf numFmtId="0" fontId="0" fillId="3" borderId="1" xfId="0" applyFill="1" applyBorder="1"/>
    <xf numFmtId="0" fontId="1" fillId="3" borderId="1" xfId="0" applyFont="1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2" fontId="0" fillId="0" borderId="21" xfId="0" applyNumberFormat="1" applyBorder="1"/>
    <xf numFmtId="0" fontId="5" fillId="0" borderId="22" xfId="0" applyFont="1" applyBorder="1"/>
    <xf numFmtId="0" fontId="1" fillId="11" borderId="16" xfId="0" applyFont="1" applyFill="1" applyBorder="1"/>
    <xf numFmtId="0" fontId="0" fillId="0" borderId="23" xfId="0" applyBorder="1"/>
    <xf numFmtId="0" fontId="0" fillId="0" borderId="22" xfId="0" applyBorder="1"/>
    <xf numFmtId="0" fontId="0" fillId="16" borderId="18" xfId="0" applyFill="1" applyBorder="1"/>
    <xf numFmtId="0" fontId="0" fillId="16" borderId="19" xfId="0" applyFill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16" xfId="0" applyBorder="1"/>
    <xf numFmtId="0" fontId="0" fillId="14" borderId="24" xfId="0" applyFill="1" applyBorder="1"/>
    <xf numFmtId="0" fontId="0" fillId="14" borderId="25" xfId="0" applyFill="1" applyBorder="1"/>
    <xf numFmtId="0" fontId="0" fillId="14" borderId="26" xfId="0" applyFill="1" applyBorder="1"/>
    <xf numFmtId="0" fontId="0" fillId="14" borderId="29" xfId="0" applyFill="1" applyBorder="1"/>
    <xf numFmtId="0" fontId="0" fillId="14" borderId="27" xfId="0" applyFill="1" applyBorder="1"/>
    <xf numFmtId="0" fontId="0" fillId="14" borderId="28" xfId="0" applyFill="1" applyBorder="1"/>
    <xf numFmtId="0" fontId="0" fillId="12" borderId="29" xfId="0" applyFill="1" applyBorder="1"/>
    <xf numFmtId="0" fontId="0" fillId="12" borderId="27" xfId="0" applyFill="1" applyBorder="1"/>
    <xf numFmtId="0" fontId="0" fillId="12" borderId="28" xfId="0" applyFill="1" applyBorder="1"/>
    <xf numFmtId="0" fontId="0" fillId="0" borderId="29" xfId="0" applyBorder="1"/>
    <xf numFmtId="2" fontId="0" fillId="11" borderId="21" xfId="0" applyNumberFormat="1" applyFill="1" applyBorder="1"/>
    <xf numFmtId="0" fontId="0" fillId="0" borderId="17" xfId="0" applyBorder="1"/>
    <xf numFmtId="0" fontId="0" fillId="0" borderId="18" xfId="0" applyBorder="1"/>
    <xf numFmtId="0" fontId="0" fillId="0" borderId="30" xfId="0" applyBorder="1"/>
    <xf numFmtId="2" fontId="0" fillId="0" borderId="23" xfId="0" applyNumberFormat="1" applyBorder="1"/>
    <xf numFmtId="2" fontId="0" fillId="0" borderId="22" xfId="0" applyNumberFormat="1" applyBorder="1"/>
    <xf numFmtId="2" fontId="0" fillId="0" borderId="30" xfId="0" applyNumberFormat="1" applyBorder="1"/>
    <xf numFmtId="2" fontId="0" fillId="0" borderId="20" xfId="0" applyNumberFormat="1" applyBorder="1"/>
    <xf numFmtId="1" fontId="0" fillId="0" borderId="30" xfId="0" applyNumberFormat="1" applyBorder="1"/>
    <xf numFmtId="1" fontId="0" fillId="0" borderId="0" xfId="0" applyNumberFormat="1"/>
    <xf numFmtId="1" fontId="0" fillId="0" borderId="23" xfId="0" applyNumberFormat="1" applyBorder="1"/>
    <xf numFmtId="1" fontId="0" fillId="0" borderId="20" xfId="0" applyNumberFormat="1" applyBorder="1"/>
    <xf numFmtId="1" fontId="0" fillId="0" borderId="21" xfId="0" applyNumberFormat="1" applyBorder="1"/>
    <xf numFmtId="1" fontId="0" fillId="0" borderId="22" xfId="0" applyNumberFormat="1" applyBorder="1"/>
    <xf numFmtId="0" fontId="0" fillId="0" borderId="28" xfId="0" applyBorder="1"/>
    <xf numFmtId="0" fontId="0" fillId="17" borderId="0" xfId="0" applyFill="1"/>
    <xf numFmtId="167" fontId="0" fillId="18" borderId="6" xfId="0" applyNumberFormat="1" applyFill="1" applyBorder="1"/>
    <xf numFmtId="167" fontId="0" fillId="18" borderId="10" xfId="0" applyNumberFormat="1" applyFill="1" applyBorder="1"/>
    <xf numFmtId="167" fontId="0" fillId="18" borderId="1" xfId="0" applyNumberFormat="1" applyFill="1" applyBorder="1"/>
    <xf numFmtId="2" fontId="0" fillId="11" borderId="0" xfId="0" applyNumberFormat="1" applyFill="1"/>
    <xf numFmtId="0" fontId="0" fillId="16" borderId="17" xfId="0" applyFill="1" applyBorder="1"/>
    <xf numFmtId="0" fontId="0" fillId="15" borderId="30" xfId="0" applyFill="1" applyBorder="1"/>
    <xf numFmtId="0" fontId="0" fillId="15" borderId="20" xfId="0" applyFill="1" applyBorder="1"/>
    <xf numFmtId="2" fontId="0" fillId="14" borderId="0" xfId="0" applyNumberFormat="1" applyFill="1"/>
    <xf numFmtId="2" fontId="0" fillId="14" borderId="21" xfId="0" applyNumberFormat="1" applyFill="1" applyBorder="1"/>
    <xf numFmtId="2" fontId="0" fillId="9" borderId="23" xfId="0" applyNumberFormat="1" applyFill="1" applyBorder="1"/>
    <xf numFmtId="2" fontId="0" fillId="9" borderId="22" xfId="0" applyNumberFormat="1" applyFill="1" applyBorder="1"/>
    <xf numFmtId="0" fontId="0" fillId="0" borderId="31" xfId="0" applyBorder="1"/>
    <xf numFmtId="0" fontId="0" fillId="19" borderId="0" xfId="0" applyFill="1"/>
    <xf numFmtId="0" fontId="0" fillId="0" borderId="13" xfId="0" applyBorder="1"/>
    <xf numFmtId="0" fontId="0" fillId="0" borderId="14" xfId="0" applyBorder="1"/>
    <xf numFmtId="0" fontId="1" fillId="0" borderId="0" xfId="0" applyFont="1"/>
    <xf numFmtId="0" fontId="7" fillId="10" borderId="0" xfId="0" applyFont="1" applyFill="1"/>
    <xf numFmtId="0" fontId="0" fillId="20" borderId="1" xfId="0" applyFill="1" applyBorder="1"/>
    <xf numFmtId="0" fontId="0" fillId="20" borderId="2" xfId="0" applyFill="1" applyBorder="1"/>
    <xf numFmtId="0" fontId="0" fillId="20" borderId="3" xfId="0" applyFill="1" applyBorder="1"/>
    <xf numFmtId="0" fontId="0" fillId="20" borderId="4" xfId="0" applyFill="1" applyBorder="1"/>
    <xf numFmtId="0" fontId="0" fillId="20" borderId="5" xfId="0" applyFill="1" applyBorder="1"/>
    <xf numFmtId="0" fontId="0" fillId="20" borderId="6" xfId="0" applyFill="1" applyBorder="1"/>
    <xf numFmtId="0" fontId="0" fillId="20" borderId="7" xfId="0" applyFill="1" applyBorder="1"/>
    <xf numFmtId="0" fontId="0" fillId="20" borderId="8" xfId="0" applyFill="1" applyBorder="1"/>
    <xf numFmtId="0" fontId="0" fillId="20" borderId="9" xfId="0" applyFill="1" applyBorder="1"/>
    <xf numFmtId="0" fontId="0" fillId="20" borderId="33" xfId="0" applyFill="1" applyBorder="1"/>
    <xf numFmtId="0" fontId="0" fillId="20" borderId="34" xfId="0" applyFill="1" applyBorder="1"/>
    <xf numFmtId="0" fontId="0" fillId="20" borderId="35" xfId="0" applyFill="1" applyBorder="1"/>
    <xf numFmtId="0" fontId="0" fillId="20" borderId="36" xfId="0" applyFill="1" applyBorder="1"/>
    <xf numFmtId="0" fontId="0" fillId="20" borderId="37" xfId="0" applyFill="1" applyBorder="1"/>
    <xf numFmtId="0" fontId="0" fillId="20" borderId="38" xfId="0" applyFill="1" applyBorder="1"/>
    <xf numFmtId="0" fontId="0" fillId="20" borderId="39" xfId="0" applyFill="1" applyBorder="1"/>
    <xf numFmtId="0" fontId="0" fillId="20" borderId="40" xfId="0" applyFill="1" applyBorder="1"/>
    <xf numFmtId="0" fontId="0" fillId="20" borderId="41" xfId="0" applyFill="1" applyBorder="1"/>
    <xf numFmtId="0" fontId="7" fillId="9" borderId="32" xfId="0" applyFont="1" applyFill="1" applyBorder="1"/>
    <xf numFmtId="0" fontId="8" fillId="0" borderId="0" xfId="0" applyFont="1"/>
    <xf numFmtId="0" fontId="0" fillId="0" borderId="0" xfId="0" applyAlignment="1">
      <alignment horizontal="right"/>
    </xf>
    <xf numFmtId="171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0" borderId="4" xfId="0" applyBorder="1"/>
    <xf numFmtId="0" fontId="0" fillId="3" borderId="0" xfId="0" applyFill="1" applyAlignment="1">
      <alignment horizontal="center"/>
    </xf>
    <xf numFmtId="0" fontId="0" fillId="3" borderId="20" xfId="0" applyFill="1" applyBorder="1"/>
    <xf numFmtId="0" fontId="0" fillId="3" borderId="2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9" borderId="13" xfId="0" applyFont="1" applyFill="1" applyBorder="1" applyAlignment="1">
      <alignment horizontal="center"/>
    </xf>
    <xf numFmtId="0" fontId="6" fillId="9" borderId="14" xfId="0" applyFont="1" applyFill="1" applyBorder="1" applyAlignment="1">
      <alignment horizontal="center"/>
    </xf>
    <xf numFmtId="0" fontId="6" fillId="9" borderId="15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6" fillId="10" borderId="10" xfId="0" applyFont="1" applyFill="1" applyBorder="1" applyAlignment="1">
      <alignment horizontal="center"/>
    </xf>
    <xf numFmtId="0" fontId="6" fillId="10" borderId="11" xfId="0" applyFont="1" applyFill="1" applyBorder="1" applyAlignment="1">
      <alignment horizontal="center"/>
    </xf>
    <xf numFmtId="0" fontId="6" fillId="10" borderId="1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0" fillId="13" borderId="1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972775461890791E-2"/>
          <c:y val="2.4930747922437674E-2"/>
          <c:w val="0.89826257011991151"/>
          <c:h val="0.84652823521713527"/>
        </c:manualLayout>
      </c:layout>
      <c:scatterChart>
        <c:scatterStyle val="lineMarker"/>
        <c:varyColors val="0"/>
        <c:ser>
          <c:idx val="0"/>
          <c:order val="0"/>
          <c:tx>
            <c:strRef>
              <c:f>'Road Speed'!$N$3</c:f>
              <c:strCache>
                <c:ptCount val="1"/>
                <c:pt idx="0">
                  <c:v>1st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'Road Speed'!$G$4:$G$22</c:f>
              <c:numCache>
                <c:formatCode>0.00</c:formatCode>
                <c:ptCount val="19"/>
                <c:pt idx="0">
                  <c:v>18.180751800453795</c:v>
                </c:pt>
                <c:pt idx="1">
                  <c:v>21.210877100529434</c:v>
                </c:pt>
                <c:pt idx="2">
                  <c:v>24.241002400605058</c:v>
                </c:pt>
                <c:pt idx="3">
                  <c:v>27.271127700680701</c:v>
                </c:pt>
                <c:pt idx="4">
                  <c:v>30.301253000756329</c:v>
                </c:pt>
                <c:pt idx="5">
                  <c:v>33.331378300831965</c:v>
                </c:pt>
                <c:pt idx="6">
                  <c:v>36.361503600907589</c:v>
                </c:pt>
                <c:pt idx="7">
                  <c:v>39.391628900983228</c:v>
                </c:pt>
                <c:pt idx="8">
                  <c:v>42.421754201058867</c:v>
                </c:pt>
                <c:pt idx="9">
                  <c:v>45.451879501134485</c:v>
                </c:pt>
                <c:pt idx="10">
                  <c:v>48.482004801210117</c:v>
                </c:pt>
                <c:pt idx="11">
                  <c:v>51.512130101285756</c:v>
                </c:pt>
                <c:pt idx="12">
                  <c:v>54.542255401361402</c:v>
                </c:pt>
                <c:pt idx="13">
                  <c:v>57.572380701437027</c:v>
                </c:pt>
                <c:pt idx="14">
                  <c:v>60.602506001512658</c:v>
                </c:pt>
                <c:pt idx="15">
                  <c:v>63.63263130158829</c:v>
                </c:pt>
                <c:pt idx="16">
                  <c:v>66.662756601663929</c:v>
                </c:pt>
                <c:pt idx="17">
                  <c:v>72.723007201815179</c:v>
                </c:pt>
                <c:pt idx="18">
                  <c:v>75.753132501890818</c:v>
                </c:pt>
              </c:numCache>
            </c:numRef>
          </c:xVal>
          <c:yVal>
            <c:numRef>
              <c:f>'Road Speed'!$N$4:$N$22</c:f>
              <c:numCache>
                <c:formatCode>0</c:formatCode>
                <c:ptCount val="19"/>
                <c:pt idx="0">
                  <c:v>1476.5726024228516</c:v>
                </c:pt>
                <c:pt idx="1">
                  <c:v>1518.7603910635037</c:v>
                </c:pt>
                <c:pt idx="2">
                  <c:v>1439.6582873622801</c:v>
                </c:pt>
                <c:pt idx="3">
                  <c:v>1673.4489494125642</c:v>
                </c:pt>
                <c:pt idx="4">
                  <c:v>1771.8871229074214</c:v>
                </c:pt>
                <c:pt idx="5">
                  <c:v>1771.8871229074211</c:v>
                </c:pt>
                <c:pt idx="6">
                  <c:v>1771.8871229074216</c:v>
                </c:pt>
                <c:pt idx="7">
                  <c:v>1771.8871229074214</c:v>
                </c:pt>
                <c:pt idx="8">
                  <c:v>1898.45048882938</c:v>
                </c:pt>
                <c:pt idx="9">
                  <c:v>2008.1387392950778</c:v>
                </c:pt>
                <c:pt idx="10">
                  <c:v>1993.3730132708495</c:v>
                </c:pt>
                <c:pt idx="11">
                  <c:v>2084.573085773437</c:v>
                </c:pt>
                <c:pt idx="12">
                  <c:v>2017.9825566445627</c:v>
                </c:pt>
                <c:pt idx="13">
                  <c:v>1958.4015568976763</c:v>
                </c:pt>
                <c:pt idx="14">
                  <c:v>1949.0758351981633</c:v>
                </c:pt>
                <c:pt idx="15">
                  <c:v>1814.0749115480742</c:v>
                </c:pt>
                <c:pt idx="16">
                  <c:v>1691.346799138902</c:v>
                </c:pt>
                <c:pt idx="17">
                  <c:v>1513.4869174834228</c:v>
                </c:pt>
                <c:pt idx="18">
                  <c:v>1275.7587284933436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C3A-4C25-9671-A70259933A17}"/>
            </c:ext>
          </c:extLst>
        </c:ser>
        <c:ser>
          <c:idx val="1"/>
          <c:order val="1"/>
          <c:tx>
            <c:v>2nd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'Road Speed'!$H$4:$H$22</c:f>
              <c:numCache>
                <c:formatCode>0.00</c:formatCode>
                <c:ptCount val="19"/>
                <c:pt idx="0">
                  <c:v>25.902306619179353</c:v>
                </c:pt>
                <c:pt idx="1">
                  <c:v>30.219357722375907</c:v>
                </c:pt>
                <c:pt idx="2">
                  <c:v>34.536408825572458</c:v>
                </c:pt>
                <c:pt idx="3">
                  <c:v>38.85345992876902</c:v>
                </c:pt>
                <c:pt idx="4">
                  <c:v>43.170511031965582</c:v>
                </c:pt>
                <c:pt idx="5">
                  <c:v>47.487562135162129</c:v>
                </c:pt>
                <c:pt idx="6">
                  <c:v>51.804613238358705</c:v>
                </c:pt>
                <c:pt idx="7">
                  <c:v>56.12166434155526</c:v>
                </c:pt>
                <c:pt idx="8">
                  <c:v>60.438715444751814</c:v>
                </c:pt>
                <c:pt idx="9">
                  <c:v>64.755766547948369</c:v>
                </c:pt>
                <c:pt idx="10">
                  <c:v>69.072817651144916</c:v>
                </c:pt>
                <c:pt idx="11">
                  <c:v>73.389868754341492</c:v>
                </c:pt>
                <c:pt idx="12">
                  <c:v>77.70691985753804</c:v>
                </c:pt>
                <c:pt idx="13">
                  <c:v>82.023970960734601</c:v>
                </c:pt>
                <c:pt idx="14">
                  <c:v>86.341022063931163</c:v>
                </c:pt>
                <c:pt idx="15">
                  <c:v>90.658073167127725</c:v>
                </c:pt>
                <c:pt idx="16">
                  <c:v>94.975124270324258</c:v>
                </c:pt>
                <c:pt idx="17">
                  <c:v>103.60922647671741</c:v>
                </c:pt>
                <c:pt idx="18">
                  <c:v>107.92627757991396</c:v>
                </c:pt>
              </c:numCache>
            </c:numRef>
          </c:xVal>
          <c:yVal>
            <c:numRef>
              <c:f>'Road Speed'!$O$4:$O$22</c:f>
              <c:numCache>
                <c:formatCode>0</c:formatCode>
                <c:ptCount val="19"/>
                <c:pt idx="0">
                  <c:v>1036.4019079336542</c:v>
                </c:pt>
                <c:pt idx="1">
                  <c:v>1066.0133910174729</c:v>
                </c:pt>
                <c:pt idx="2">
                  <c:v>1010.4918602353131</c:v>
                </c:pt>
                <c:pt idx="3">
                  <c:v>1174.5888289914749</c:v>
                </c:pt>
                <c:pt idx="4">
                  <c:v>1243.6822895203852</c:v>
                </c:pt>
                <c:pt idx="5">
                  <c:v>1243.6822895203854</c:v>
                </c:pt>
                <c:pt idx="6">
                  <c:v>1243.682289520385</c:v>
                </c:pt>
                <c:pt idx="7">
                  <c:v>1243.682289520385</c:v>
                </c:pt>
                <c:pt idx="8">
                  <c:v>1332.5167387718413</c:v>
                </c:pt>
                <c:pt idx="9">
                  <c:v>1409.5065947897699</c:v>
                </c:pt>
                <c:pt idx="10">
                  <c:v>1399.1425757104334</c:v>
                </c:pt>
                <c:pt idx="11">
                  <c:v>1463.1556347298649</c:v>
                </c:pt>
                <c:pt idx="12">
                  <c:v>1416.4159408426608</c:v>
                </c:pt>
                <c:pt idx="13">
                  <c:v>1374.5962147330574</c:v>
                </c:pt>
                <c:pt idx="14">
                  <c:v>1368.0505184724236</c:v>
                </c:pt>
                <c:pt idx="15">
                  <c:v>1273.2937726042039</c:v>
                </c:pt>
                <c:pt idx="16">
                  <c:v>1187.1512763603678</c:v>
                </c:pt>
                <c:pt idx="17">
                  <c:v>1062.3119556319955</c:v>
                </c:pt>
                <c:pt idx="18">
                  <c:v>895.45124845467728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3A-4C25-9671-A70259933A17}"/>
            </c:ext>
          </c:extLst>
        </c:ser>
        <c:ser>
          <c:idx val="2"/>
          <c:order val="2"/>
          <c:tx>
            <c:v>3rd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'Road Speed'!$I$4:$I$22</c:f>
              <c:numCache>
                <c:formatCode>0.00</c:formatCode>
                <c:ptCount val="19"/>
                <c:pt idx="0">
                  <c:v>32.885771639056131</c:v>
                </c:pt>
                <c:pt idx="1">
                  <c:v>38.366733578898817</c:v>
                </c:pt>
                <c:pt idx="2">
                  <c:v>43.847695518741503</c:v>
                </c:pt>
                <c:pt idx="3">
                  <c:v>49.328657458584196</c:v>
                </c:pt>
                <c:pt idx="4">
                  <c:v>54.809619398426882</c:v>
                </c:pt>
                <c:pt idx="5">
                  <c:v>60.290581338269568</c:v>
                </c:pt>
                <c:pt idx="6">
                  <c:v>65.771543278112262</c:v>
                </c:pt>
                <c:pt idx="7">
                  <c:v>71.252505217954948</c:v>
                </c:pt>
                <c:pt idx="8">
                  <c:v>76.733467157797634</c:v>
                </c:pt>
                <c:pt idx="9">
                  <c:v>82.214429097640348</c:v>
                </c:pt>
                <c:pt idx="10">
                  <c:v>87.695391037483006</c:v>
                </c:pt>
                <c:pt idx="11">
                  <c:v>93.176352977325706</c:v>
                </c:pt>
                <c:pt idx="12">
                  <c:v>98.657314917168392</c:v>
                </c:pt>
                <c:pt idx="13">
                  <c:v>104.13827685701111</c:v>
                </c:pt>
                <c:pt idx="14">
                  <c:v>109.61923879685376</c:v>
                </c:pt>
                <c:pt idx="15">
                  <c:v>115.10020073669648</c:v>
                </c:pt>
                <c:pt idx="16">
                  <c:v>120.58116267653914</c:v>
                </c:pt>
                <c:pt idx="17">
                  <c:v>131.54308655622452</c:v>
                </c:pt>
                <c:pt idx="18">
                  <c:v>137.02404849606722</c:v>
                </c:pt>
              </c:numCache>
            </c:numRef>
          </c:xVal>
          <c:yVal>
            <c:numRef>
              <c:f>'Road Speed'!$P$4:$P$22</c:f>
              <c:numCache>
                <c:formatCode>0</c:formatCode>
                <c:ptCount val="19"/>
                <c:pt idx="0">
                  <c:v>816.31656068905613</c:v>
                </c:pt>
                <c:pt idx="1">
                  <c:v>839.63989099445769</c:v>
                </c:pt>
                <c:pt idx="2">
                  <c:v>795.90864667182962</c:v>
                </c:pt>
                <c:pt idx="3">
                  <c:v>925.15876878093002</c:v>
                </c:pt>
                <c:pt idx="4">
                  <c:v>979.57987282686724</c:v>
                </c:pt>
                <c:pt idx="5">
                  <c:v>979.57987282686724</c:v>
                </c:pt>
                <c:pt idx="6">
                  <c:v>979.57987282686713</c:v>
                </c:pt>
                <c:pt idx="7">
                  <c:v>979.57987282686724</c:v>
                </c:pt>
                <c:pt idx="8">
                  <c:v>1049.5498637430724</c:v>
                </c:pt>
                <c:pt idx="9">
                  <c:v>1110.1905225371156</c:v>
                </c:pt>
                <c:pt idx="10">
                  <c:v>1102.0273569302256</c:v>
                </c:pt>
                <c:pt idx="11">
                  <c:v>1152.446909208079</c:v>
                </c:pt>
                <c:pt idx="12">
                  <c:v>1115.6326329417097</c:v>
                </c:pt>
                <c:pt idx="13">
                  <c:v>1082.6935436507476</c:v>
                </c:pt>
                <c:pt idx="14">
                  <c:v>1077.537860109554</c:v>
                </c:pt>
                <c:pt idx="15">
                  <c:v>1002.9032031322686</c:v>
                </c:pt>
                <c:pt idx="16">
                  <c:v>935.05351497110053</c:v>
                </c:pt>
                <c:pt idx="17">
                  <c:v>836.72447470628242</c:v>
                </c:pt>
                <c:pt idx="18">
                  <c:v>705.2975084353443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C3A-4C25-9671-A70259933A17}"/>
            </c:ext>
          </c:extLst>
        </c:ser>
        <c:ser>
          <c:idx val="3"/>
          <c:order val="3"/>
          <c:tx>
            <c:v>4th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'Road Speed'!$J$4:$J$22</c:f>
              <c:numCache>
                <c:formatCode>0.00</c:formatCode>
                <c:ptCount val="19"/>
                <c:pt idx="0">
                  <c:v>39.932722704568157</c:v>
                </c:pt>
                <c:pt idx="1">
                  <c:v>46.588176488662853</c:v>
                </c:pt>
                <c:pt idx="2">
                  <c:v>53.243630272757542</c:v>
                </c:pt>
                <c:pt idx="3">
                  <c:v>59.899084056852246</c:v>
                </c:pt>
                <c:pt idx="4">
                  <c:v>66.554537840946921</c:v>
                </c:pt>
                <c:pt idx="5">
                  <c:v>73.209991625041624</c:v>
                </c:pt>
                <c:pt idx="6">
                  <c:v>79.865445409136314</c:v>
                </c:pt>
                <c:pt idx="7">
                  <c:v>86.520899193231003</c:v>
                </c:pt>
                <c:pt idx="8">
                  <c:v>93.176352977325706</c:v>
                </c:pt>
                <c:pt idx="9">
                  <c:v>99.83180676142041</c:v>
                </c:pt>
                <c:pt idx="10">
                  <c:v>106.48726054551508</c:v>
                </c:pt>
                <c:pt idx="11">
                  <c:v>113.14271432960979</c:v>
                </c:pt>
                <c:pt idx="12">
                  <c:v>119.79816811370449</c:v>
                </c:pt>
                <c:pt idx="13">
                  <c:v>126.45362189779915</c:v>
                </c:pt>
                <c:pt idx="14">
                  <c:v>133.10907568189384</c:v>
                </c:pt>
                <c:pt idx="15">
                  <c:v>139.76452946598855</c:v>
                </c:pt>
                <c:pt idx="16">
                  <c:v>146.41998325008325</c:v>
                </c:pt>
                <c:pt idx="17">
                  <c:v>159.73089081827263</c:v>
                </c:pt>
                <c:pt idx="18">
                  <c:v>166.38634460236733</c:v>
                </c:pt>
              </c:numCache>
            </c:numRef>
          </c:xVal>
          <c:yVal>
            <c:numRef>
              <c:f>'Road Speed'!$Q$4:$Q$22</c:f>
              <c:numCache>
                <c:formatCode>0</c:formatCode>
                <c:ptCount val="19"/>
                <c:pt idx="0">
                  <c:v>672.26069703804615</c:v>
                </c:pt>
                <c:pt idx="1">
                  <c:v>691.46814552484727</c:v>
                </c:pt>
                <c:pt idx="2">
                  <c:v>655.454179612095</c:v>
                </c:pt>
                <c:pt idx="3">
                  <c:v>761.89545664311868</c:v>
                </c:pt>
                <c:pt idx="4">
                  <c:v>806.71283644565551</c:v>
                </c:pt>
                <c:pt idx="5">
                  <c:v>806.7128364456554</c:v>
                </c:pt>
                <c:pt idx="6">
                  <c:v>806.71283644565528</c:v>
                </c:pt>
                <c:pt idx="7">
                  <c:v>806.7128364456554</c:v>
                </c:pt>
                <c:pt idx="8">
                  <c:v>864.33518190605935</c:v>
                </c:pt>
                <c:pt idx="9">
                  <c:v>914.27454797174244</c:v>
                </c:pt>
                <c:pt idx="10">
                  <c:v>907.55194100136225</c:v>
                </c:pt>
                <c:pt idx="11">
                  <c:v>949.07392523018279</c:v>
                </c:pt>
                <c:pt idx="12">
                  <c:v>918.75628595199612</c:v>
                </c:pt>
                <c:pt idx="13">
                  <c:v>891.62997712414551</c:v>
                </c:pt>
                <c:pt idx="14">
                  <c:v>887.38412009022113</c:v>
                </c:pt>
                <c:pt idx="15">
                  <c:v>825.92028493245664</c:v>
                </c:pt>
                <c:pt idx="16">
                  <c:v>770.04407115267099</c:v>
                </c:pt>
                <c:pt idx="17">
                  <c:v>689.06721446399729</c:v>
                </c:pt>
                <c:pt idx="18">
                  <c:v>580.83324224087187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3A-4C25-9671-A70259933A17}"/>
            </c:ext>
          </c:extLst>
        </c:ser>
        <c:ser>
          <c:idx val="4"/>
          <c:order val="4"/>
          <c:tx>
            <c:v>5th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'Road Speed'!$K$4:$K$22</c:f>
              <c:numCache>
                <c:formatCode>0.00</c:formatCode>
                <c:ptCount val="19"/>
                <c:pt idx="0">
                  <c:v>46.14447956972321</c:v>
                </c:pt>
                <c:pt idx="1">
                  <c:v>53.835226164677067</c:v>
                </c:pt>
                <c:pt idx="2">
                  <c:v>61.525972759630939</c:v>
                </c:pt>
                <c:pt idx="3">
                  <c:v>69.216719354584811</c:v>
                </c:pt>
                <c:pt idx="4">
                  <c:v>76.907465949538675</c:v>
                </c:pt>
                <c:pt idx="5">
                  <c:v>84.59821254449254</c:v>
                </c:pt>
                <c:pt idx="6">
                  <c:v>92.288959139446419</c:v>
                </c:pt>
                <c:pt idx="7">
                  <c:v>99.97970573440027</c:v>
                </c:pt>
                <c:pt idx="8">
                  <c:v>107.67045232935413</c:v>
                </c:pt>
                <c:pt idx="9">
                  <c:v>115.361198924308</c:v>
                </c:pt>
                <c:pt idx="10">
                  <c:v>123.05194551926188</c:v>
                </c:pt>
                <c:pt idx="11">
                  <c:v>130.74269211421577</c:v>
                </c:pt>
                <c:pt idx="12">
                  <c:v>138.43343870916962</c:v>
                </c:pt>
                <c:pt idx="13">
                  <c:v>146.1241853041235</c:v>
                </c:pt>
                <c:pt idx="14">
                  <c:v>153.81493189907735</c:v>
                </c:pt>
                <c:pt idx="15">
                  <c:v>161.50567849403123</c:v>
                </c:pt>
                <c:pt idx="16">
                  <c:v>169.19642508898508</c:v>
                </c:pt>
                <c:pt idx="17">
                  <c:v>184.57791827889284</c:v>
                </c:pt>
                <c:pt idx="18">
                  <c:v>192.26866487384669</c:v>
                </c:pt>
              </c:numCache>
            </c:numRef>
          </c:xVal>
          <c:yVal>
            <c:numRef>
              <c:f>'Road Speed'!$R$4:$R$22</c:f>
              <c:numCache>
                <c:formatCode>0</c:formatCode>
                <c:ptCount val="19"/>
                <c:pt idx="0">
                  <c:v>581.76406474446298</c:v>
                </c:pt>
                <c:pt idx="1">
                  <c:v>598.38589516573336</c:v>
                </c:pt>
                <c:pt idx="2">
                  <c:v>567.21996312585145</c:v>
                </c:pt>
                <c:pt idx="3">
                  <c:v>659.33260671039136</c:v>
                </c:pt>
                <c:pt idx="4">
                  <c:v>698.11687769335572</c:v>
                </c:pt>
                <c:pt idx="5">
                  <c:v>698.1168776933556</c:v>
                </c:pt>
                <c:pt idx="6">
                  <c:v>698.11687769335549</c:v>
                </c:pt>
                <c:pt idx="7">
                  <c:v>698.1168776933556</c:v>
                </c:pt>
                <c:pt idx="8">
                  <c:v>747.98236895716684</c:v>
                </c:pt>
                <c:pt idx="9">
                  <c:v>791.19912805246963</c:v>
                </c:pt>
                <c:pt idx="10">
                  <c:v>785.38148740502504</c:v>
                </c:pt>
                <c:pt idx="11">
                  <c:v>821.3139737568888</c:v>
                </c:pt>
                <c:pt idx="12">
                  <c:v>795.0775551507661</c:v>
                </c:pt>
                <c:pt idx="13">
                  <c:v>771.60286481897197</c:v>
                </c:pt>
                <c:pt idx="14">
                  <c:v>767.92856546269127</c:v>
                </c:pt>
                <c:pt idx="15">
                  <c:v>714.73870811462598</c:v>
                </c:pt>
                <c:pt idx="16">
                  <c:v>666.38429234365765</c:v>
                </c:pt>
                <c:pt idx="17">
                  <c:v>596.30816636307452</c:v>
                </c:pt>
                <c:pt idx="18">
                  <c:v>502.64415193921604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C3A-4C25-9671-A70259933A17}"/>
            </c:ext>
          </c:extLst>
        </c:ser>
        <c:ser>
          <c:idx val="5"/>
          <c:order val="5"/>
          <c:tx>
            <c:v>6th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'Road Speed'!$L$4:$L$22</c:f>
              <c:numCache>
                <c:formatCode>0.00</c:formatCode>
                <c:ptCount val="19"/>
                <c:pt idx="0">
                  <c:v>51.342072048730493</c:v>
                </c:pt>
                <c:pt idx="1">
                  <c:v>59.899084056852246</c:v>
                </c:pt>
                <c:pt idx="2">
                  <c:v>68.456096064973991</c:v>
                </c:pt>
                <c:pt idx="3">
                  <c:v>77.013108073095736</c:v>
                </c:pt>
                <c:pt idx="4">
                  <c:v>85.570120081217496</c:v>
                </c:pt>
                <c:pt idx="5">
                  <c:v>94.127132089339241</c:v>
                </c:pt>
                <c:pt idx="6">
                  <c:v>102.68414409746099</c:v>
                </c:pt>
                <c:pt idx="7">
                  <c:v>111.24115610558275</c:v>
                </c:pt>
                <c:pt idx="8">
                  <c:v>119.79816811370449</c:v>
                </c:pt>
                <c:pt idx="9">
                  <c:v>128.35518012182624</c:v>
                </c:pt>
                <c:pt idx="10">
                  <c:v>136.91219212994798</c:v>
                </c:pt>
                <c:pt idx="11">
                  <c:v>145.46920413806976</c:v>
                </c:pt>
                <c:pt idx="12">
                  <c:v>154.02621614619147</c:v>
                </c:pt>
                <c:pt idx="13">
                  <c:v>162.58322815431322</c:v>
                </c:pt>
                <c:pt idx="14">
                  <c:v>171.14024016243499</c:v>
                </c:pt>
                <c:pt idx="15">
                  <c:v>179.69725217055671</c:v>
                </c:pt>
                <c:pt idx="16">
                  <c:v>188.25426417867848</c:v>
                </c:pt>
                <c:pt idx="17">
                  <c:v>205.36828819492197</c:v>
                </c:pt>
                <c:pt idx="18">
                  <c:v>213.92530020304369</c:v>
                </c:pt>
              </c:numCache>
            </c:numRef>
          </c:xVal>
          <c:yVal>
            <c:numRef>
              <c:f>'Road Speed'!$S$4:$S$22</c:f>
              <c:numCache>
                <c:formatCode>0</c:formatCode>
                <c:ptCount val="19"/>
                <c:pt idx="0">
                  <c:v>522.8694310295914</c:v>
                </c:pt>
                <c:pt idx="1">
                  <c:v>537.80855763043667</c:v>
                </c:pt>
                <c:pt idx="2">
                  <c:v>509.7976952538516</c:v>
                </c:pt>
                <c:pt idx="3">
                  <c:v>592.58535516687027</c:v>
                </c:pt>
                <c:pt idx="4">
                  <c:v>627.44331723550965</c:v>
                </c:pt>
                <c:pt idx="5">
                  <c:v>627.44331723550965</c:v>
                </c:pt>
                <c:pt idx="6">
                  <c:v>627.44331723550965</c:v>
                </c:pt>
                <c:pt idx="7">
                  <c:v>627.44331723550954</c:v>
                </c:pt>
                <c:pt idx="8">
                  <c:v>672.26069703804603</c:v>
                </c:pt>
                <c:pt idx="9">
                  <c:v>711.10242620024417</c:v>
                </c:pt>
                <c:pt idx="10">
                  <c:v>705.87373188994832</c:v>
                </c:pt>
                <c:pt idx="11">
                  <c:v>738.16860851236424</c:v>
                </c:pt>
                <c:pt idx="12">
                  <c:v>714.58822240710833</c:v>
                </c:pt>
                <c:pt idx="13">
                  <c:v>693.48998220766862</c:v>
                </c:pt>
                <c:pt idx="14">
                  <c:v>690.18764895906065</c:v>
                </c:pt>
                <c:pt idx="15">
                  <c:v>642.38244383635526</c:v>
                </c:pt>
                <c:pt idx="16">
                  <c:v>598.92316645207734</c:v>
                </c:pt>
                <c:pt idx="17">
                  <c:v>535.94116680533114</c:v>
                </c:pt>
                <c:pt idx="18">
                  <c:v>451.759188409567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C3A-4C25-9671-A70259933A17}"/>
            </c:ext>
          </c:extLst>
        </c:ser>
        <c:ser>
          <c:idx val="6"/>
          <c:order val="6"/>
          <c:tx>
            <c:v>r2m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C1B0-4AEF-9689-23576A0DFD7E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C1B0-4AEF-9689-23576A0DFD7E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1B0-4AEF-9689-23576A0DFD7E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1B0-4AEF-9689-23576A0DFD7E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1B0-4AEF-9689-23576A0DFD7E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1B0-4AEF-9689-23576A0DFD7E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1B0-4AEF-9689-23576A0DFD7E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1B0-4AEF-9689-23576A0DFD7E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1B0-4AEF-9689-23576A0DFD7E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1B0-4AEF-9689-23576A0DFD7E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1B0-4AEF-9689-23576A0DFD7E}"/>
                </c:ext>
              </c:extLst>
            </c:dLbl>
            <c:dLbl>
              <c:idx val="11"/>
              <c:layout>
                <c:manualLayout>
                  <c:x val="4.0522875816993466E-2"/>
                  <c:y val="-8.0332409972299165E-2"/>
                </c:manualLayout>
              </c:layout>
              <c:tx>
                <c:rich>
                  <a:bodyPr/>
                  <a:lstStyle/>
                  <a:p>
                    <a:r>
                      <a:rPr lang="en-US" baseline="0"/>
                      <a:t>Resistance to Motion - </a:t>
                    </a:r>
                    <a:fld id="{69C5F5B7-DA81-44C8-AD2B-A9E2FCA105B2}" type="YVALUE">
                      <a:rPr lang="en-US" baseline="0"/>
                      <a:pPr/>
                      <a:t>[Y VALUE]</a:t>
                    </a:fld>
                    <a:r>
                      <a:rPr lang="en-US" baseline="0"/>
                      <a:t> (N)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C1B0-4AEF-9689-23576A0DFD7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'Road Speed'!$L$4:$L$22</c:f>
              <c:numCache>
                <c:formatCode>0.00</c:formatCode>
                <c:ptCount val="19"/>
                <c:pt idx="0">
                  <c:v>51.342072048730493</c:v>
                </c:pt>
                <c:pt idx="1">
                  <c:v>59.899084056852246</c:v>
                </c:pt>
                <c:pt idx="2">
                  <c:v>68.456096064973991</c:v>
                </c:pt>
                <c:pt idx="3">
                  <c:v>77.013108073095736</c:v>
                </c:pt>
                <c:pt idx="4">
                  <c:v>85.570120081217496</c:v>
                </c:pt>
                <c:pt idx="5">
                  <c:v>94.127132089339241</c:v>
                </c:pt>
                <c:pt idx="6">
                  <c:v>102.68414409746099</c:v>
                </c:pt>
                <c:pt idx="7">
                  <c:v>111.24115610558275</c:v>
                </c:pt>
                <c:pt idx="8">
                  <c:v>119.79816811370449</c:v>
                </c:pt>
                <c:pt idx="9">
                  <c:v>128.35518012182624</c:v>
                </c:pt>
                <c:pt idx="10">
                  <c:v>136.91219212994798</c:v>
                </c:pt>
                <c:pt idx="11">
                  <c:v>145.46920413806976</c:v>
                </c:pt>
                <c:pt idx="12">
                  <c:v>154.02621614619147</c:v>
                </c:pt>
                <c:pt idx="13">
                  <c:v>162.58322815431322</c:v>
                </c:pt>
                <c:pt idx="14">
                  <c:v>171.14024016243499</c:v>
                </c:pt>
                <c:pt idx="15">
                  <c:v>179.69725217055671</c:v>
                </c:pt>
                <c:pt idx="16">
                  <c:v>188.25426417867848</c:v>
                </c:pt>
                <c:pt idx="17">
                  <c:v>205.36828819492197</c:v>
                </c:pt>
                <c:pt idx="18">
                  <c:v>213.92530020304369</c:v>
                </c:pt>
              </c:numCache>
            </c:numRef>
          </c:xVal>
          <c:yVal>
            <c:numRef>
              <c:f>'Resistance to Motion'!$N$2:$N$13</c:f>
              <c:numCache>
                <c:formatCode>General</c:formatCode>
                <c:ptCount val="12"/>
                <c:pt idx="0">
                  <c:v>50.214112499999999</c:v>
                </c:pt>
                <c:pt idx="1">
                  <c:v>63.124049999999997</c:v>
                </c:pt>
                <c:pt idx="2">
                  <c:v>84.640612500000003</c:v>
                </c:pt>
                <c:pt idx="3">
                  <c:v>114.7638</c:v>
                </c:pt>
                <c:pt idx="4">
                  <c:v>153.49361250000001</c:v>
                </c:pt>
                <c:pt idx="5">
                  <c:v>200.83005</c:v>
                </c:pt>
                <c:pt idx="6">
                  <c:v>256.77311250000002</c:v>
                </c:pt>
                <c:pt idx="7">
                  <c:v>321.32279999999997</c:v>
                </c:pt>
                <c:pt idx="8">
                  <c:v>394.47911249999999</c:v>
                </c:pt>
                <c:pt idx="9">
                  <c:v>476.24205000000001</c:v>
                </c:pt>
                <c:pt idx="10">
                  <c:v>566.61161249999998</c:v>
                </c:pt>
                <c:pt idx="11" formatCode="0.00">
                  <c:v>653.76756880781261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B0-4AEF-9689-23576A0DFD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4434360"/>
        <c:axId val="604434688"/>
      </c:scatterChart>
      <c:valAx>
        <c:axId val="604434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Road</a:t>
                </a:r>
                <a:r>
                  <a:rPr lang="en-GB" baseline="0"/>
                  <a:t> 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4434688"/>
        <c:crosses val="autoZero"/>
        <c:crossBetween val="midCat"/>
        <c:majorUnit val="10"/>
        <c:minorUnit val="5"/>
      </c:valAx>
      <c:valAx>
        <c:axId val="604434688"/>
        <c:scaling>
          <c:orientation val="minMax"/>
          <c:max val="222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Force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4434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1"/>
          <c:tx>
            <c:v>KW</c:v>
          </c:tx>
          <c:spPr>
            <a:ln w="19050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'Road Speed'!$B$4:$B$22</c:f>
              <c:numCache>
                <c:formatCode>General</c:formatCode>
                <c:ptCount val="19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12000</c:v>
                </c:pt>
                <c:pt idx="18">
                  <c:v>12500</c:v>
                </c:pt>
              </c:numCache>
            </c:numRef>
          </c:xVal>
          <c:yVal>
            <c:numRef>
              <c:f>'Road Speed'!$E$4:$E$22</c:f>
              <c:numCache>
                <c:formatCode>0.00</c:formatCode>
                <c:ptCount val="19"/>
                <c:pt idx="0">
                  <c:v>7.4570000000000007</c:v>
                </c:pt>
                <c:pt idx="1">
                  <c:v>8.9483999999999995</c:v>
                </c:pt>
                <c:pt idx="2">
                  <c:v>9.6941000000000006</c:v>
                </c:pt>
                <c:pt idx="3">
                  <c:v>12.6769</c:v>
                </c:pt>
                <c:pt idx="4">
                  <c:v>14.914000000000001</c:v>
                </c:pt>
                <c:pt idx="5">
                  <c:v>16.4054</c:v>
                </c:pt>
                <c:pt idx="6">
                  <c:v>17.896799999999999</c:v>
                </c:pt>
                <c:pt idx="7">
                  <c:v>19.388200000000001</c:v>
                </c:pt>
                <c:pt idx="8">
                  <c:v>22.371000000000002</c:v>
                </c:pt>
                <c:pt idx="9">
                  <c:v>25.3538</c:v>
                </c:pt>
                <c:pt idx="10">
                  <c:v>26.845200000000002</c:v>
                </c:pt>
                <c:pt idx="11">
                  <c:v>29.828000000000003</c:v>
                </c:pt>
                <c:pt idx="12">
                  <c:v>30.573700000000002</c:v>
                </c:pt>
                <c:pt idx="13">
                  <c:v>31.319400000000002</c:v>
                </c:pt>
                <c:pt idx="14">
                  <c:v>32.8108</c:v>
                </c:pt>
                <c:pt idx="15">
                  <c:v>32.065100000000001</c:v>
                </c:pt>
                <c:pt idx="16">
                  <c:v>31.319400000000002</c:v>
                </c:pt>
                <c:pt idx="17">
                  <c:v>30.573700000000002</c:v>
                </c:pt>
                <c:pt idx="18">
                  <c:v>26.845200000000002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2C7-46C0-80F0-6F9978498C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491255"/>
        <c:axId val="206053207"/>
      </c:scatterChart>
      <c:scatterChart>
        <c:scatterStyle val="smooth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rgbClr val="00B05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'Road Speed'!$B$4:$B$22</c:f>
              <c:numCache>
                <c:formatCode>General</c:formatCode>
                <c:ptCount val="19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12000</c:v>
                </c:pt>
                <c:pt idx="18">
                  <c:v>12500</c:v>
                </c:pt>
              </c:numCache>
            </c:numRef>
          </c:xVal>
          <c:yVal>
            <c:numRef>
              <c:f>'Road Speed'!$D$4:$D$22</c:f>
              <c:numCache>
                <c:formatCode>0.00</c:formatCode>
                <c:ptCount val="19"/>
                <c:pt idx="0">
                  <c:v>21.693087200000001</c:v>
                </c:pt>
                <c:pt idx="1">
                  <c:v>21.015178225</c:v>
                </c:pt>
                <c:pt idx="2">
                  <c:v>22.370996175000002</c:v>
                </c:pt>
                <c:pt idx="3">
                  <c:v>25.76054105</c:v>
                </c:pt>
                <c:pt idx="4">
                  <c:v>29.8279949</c:v>
                </c:pt>
                <c:pt idx="5">
                  <c:v>29.150085925000003</c:v>
                </c:pt>
                <c:pt idx="6">
                  <c:v>28.472176950000001</c:v>
                </c:pt>
                <c:pt idx="7">
                  <c:v>29.8279949</c:v>
                </c:pt>
                <c:pt idx="8">
                  <c:v>30.505903875000001</c:v>
                </c:pt>
                <c:pt idx="9">
                  <c:v>31.183812850000002</c:v>
                </c:pt>
                <c:pt idx="10">
                  <c:v>33.89544875</c:v>
                </c:pt>
                <c:pt idx="11">
                  <c:v>33.89544875</c:v>
                </c:pt>
                <c:pt idx="12">
                  <c:v>33.217539774999999</c:v>
                </c:pt>
                <c:pt idx="13">
                  <c:v>31.861721825</c:v>
                </c:pt>
                <c:pt idx="14">
                  <c:v>31.183812850000002</c:v>
                </c:pt>
                <c:pt idx="15">
                  <c:v>29.8279949</c:v>
                </c:pt>
                <c:pt idx="16">
                  <c:v>28.472176950000001</c:v>
                </c:pt>
                <c:pt idx="17">
                  <c:v>21.693087200000001</c:v>
                </c:pt>
                <c:pt idx="18">
                  <c:v>20.337269250000002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2C7-46C0-80F0-6F9978498C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007888"/>
        <c:axId val="416668192"/>
      </c:scatterChart>
      <c:valAx>
        <c:axId val="399491255"/>
        <c:scaling>
          <c:orientation val="minMax"/>
          <c:max val="13000"/>
          <c:min val="27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53207"/>
        <c:crosses val="autoZero"/>
        <c:crossBetween val="midCat"/>
        <c:minorUnit val="1999"/>
      </c:valAx>
      <c:valAx>
        <c:axId val="206053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491255"/>
        <c:crosses val="autoZero"/>
        <c:crossBetween val="midCat"/>
      </c:valAx>
      <c:valAx>
        <c:axId val="4166681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007888"/>
        <c:crosses val="max"/>
        <c:crossBetween val="midCat"/>
      </c:valAx>
      <c:valAx>
        <c:axId val="1000078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166681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solidFill>
        <a:schemeClr val="tx1">
          <a:alpha val="87000"/>
        </a:schemeClr>
      </a:solidFill>
      <a:round/>
    </a:ln>
    <a:effectLst/>
  </c:spPr>
  <c:txPr>
    <a:bodyPr/>
    <a:lstStyle/>
    <a:p>
      <a:pPr>
        <a:defRPr b="1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320675</xdr:colOff>
      <xdr:row>10</xdr:row>
      <xdr:rowOff>117475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25471E1-FBE7-41EC-8243-35ED7EC29CFF}"/>
            </a:ext>
          </a:extLst>
        </xdr:cNvPr>
        <xdr:cNvSpPr txBox="1"/>
      </xdr:nvSpPr>
      <xdr:spPr>
        <a:xfrm>
          <a:off x="5495925" y="185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320675</xdr:colOff>
      <xdr:row>10</xdr:row>
      <xdr:rowOff>117475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831CD14-FBAB-47B5-8FC9-94F6EFFD6B82}"/>
            </a:ext>
          </a:extLst>
        </xdr:cNvPr>
        <xdr:cNvSpPr txBox="1"/>
      </xdr:nvSpPr>
      <xdr:spPr>
        <a:xfrm>
          <a:off x="5299075" y="205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0</xdr:row>
      <xdr:rowOff>161925</xdr:rowOff>
    </xdr:from>
    <xdr:to>
      <xdr:col>16</xdr:col>
      <xdr:colOff>552450</xdr:colOff>
      <xdr:row>24</xdr:row>
      <xdr:rowOff>174625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8D934E7-7173-4772-B9DA-9D0787CDF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288925</xdr:colOff>
      <xdr:row>23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E4D363A-EF2E-4AD4-AE1C-5A6A95EC4A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7FA3E-3673-4853-9F06-DCFB765E14AD}">
  <dimension ref="A1:M27"/>
  <sheetViews>
    <sheetView workbookViewId="0">
      <selection activeCell="H17" sqref="H17"/>
    </sheetView>
  </sheetViews>
  <sheetFormatPr defaultRowHeight="15" x14ac:dyDescent="0.25"/>
  <cols>
    <col min="2" max="2" width="17.140625" customWidth="1"/>
    <col min="7" max="7" width="23.7109375" customWidth="1"/>
    <col min="8" max="8" width="19.85546875" bestFit="1" customWidth="1"/>
    <col min="11" max="11" width="23.5703125" bestFit="1" customWidth="1"/>
    <col min="12" max="12" width="18.140625" bestFit="1" customWidth="1"/>
  </cols>
  <sheetData>
    <row r="1" spans="1:13" x14ac:dyDescent="0.25">
      <c r="A1" t="s">
        <v>0</v>
      </c>
      <c r="B1" t="s">
        <v>1</v>
      </c>
      <c r="G1" s="129" t="s">
        <v>2</v>
      </c>
      <c r="H1" s="130"/>
      <c r="I1" s="131"/>
      <c r="K1" s="129" t="s">
        <v>3</v>
      </c>
      <c r="L1" s="130"/>
      <c r="M1" s="131"/>
    </row>
    <row r="2" spans="1:13" x14ac:dyDescent="0.25">
      <c r="B2" t="s">
        <v>4</v>
      </c>
      <c r="C2">
        <f>12.35-0.55</f>
        <v>11.799999999999999</v>
      </c>
      <c r="D2" t="s">
        <v>1</v>
      </c>
      <c r="E2">
        <f>C2*(C3^2)*(((4905*C4*C6^2)/C5^2)-1)</f>
        <v>1159020.5898847249</v>
      </c>
      <c r="G2" s="7" t="s">
        <v>5</v>
      </c>
      <c r="H2" s="3">
        <v>12.35</v>
      </c>
      <c r="I2" s="8"/>
      <c r="K2" s="7" t="s">
        <v>5</v>
      </c>
      <c r="L2" s="3">
        <v>11.15</v>
      </c>
      <c r="M2" s="8"/>
    </row>
    <row r="3" spans="1:13" x14ac:dyDescent="0.25">
      <c r="B3" t="s">
        <v>6</v>
      </c>
      <c r="C3">
        <v>6</v>
      </c>
      <c r="D3" t="s">
        <v>7</v>
      </c>
      <c r="E3">
        <f>E2/(317^2)</f>
        <v>11.533805589514524</v>
      </c>
      <c r="F3" s="12"/>
      <c r="G3" s="7" t="s">
        <v>8</v>
      </c>
      <c r="H3" s="3">
        <v>0.55000000000000004</v>
      </c>
      <c r="I3" s="8"/>
      <c r="K3" s="7" t="s">
        <v>8</v>
      </c>
      <c r="L3" s="3">
        <v>0.55000000000000004</v>
      </c>
      <c r="M3" s="8"/>
    </row>
    <row r="4" spans="1:13" x14ac:dyDescent="0.25">
      <c r="C4">
        <v>143</v>
      </c>
      <c r="D4" t="s">
        <v>9</v>
      </c>
      <c r="E4" s="1">
        <f>E3+C2</f>
        <v>23.333805589514522</v>
      </c>
      <c r="G4" s="7" t="s">
        <v>10</v>
      </c>
      <c r="H4" s="3">
        <f>H2-H3</f>
        <v>11.799999999999999</v>
      </c>
      <c r="I4" s="8"/>
      <c r="K4" s="7" t="s">
        <v>10</v>
      </c>
      <c r="L4" s="3">
        <f>L2-L3</f>
        <v>10.6</v>
      </c>
      <c r="M4" s="8"/>
    </row>
    <row r="5" spans="1:13" x14ac:dyDescent="0.25">
      <c r="B5" t="s">
        <v>11</v>
      </c>
      <c r="C5">
        <v>1000</v>
      </c>
      <c r="G5" s="7"/>
      <c r="H5" s="2"/>
      <c r="I5" s="8"/>
      <c r="K5" s="7"/>
      <c r="L5" s="2"/>
      <c r="M5" s="8"/>
    </row>
    <row r="6" spans="1:13" x14ac:dyDescent="0.25">
      <c r="B6" t="s">
        <v>12</v>
      </c>
      <c r="C6">
        <v>62.38</v>
      </c>
      <c r="G6" s="7" t="s">
        <v>13</v>
      </c>
      <c r="H6" s="4">
        <v>6</v>
      </c>
      <c r="I6" s="8"/>
      <c r="K6" s="7" t="s">
        <v>13</v>
      </c>
      <c r="L6" s="4">
        <v>6</v>
      </c>
      <c r="M6" s="8"/>
    </row>
    <row r="7" spans="1:13" x14ac:dyDescent="0.25">
      <c r="G7" s="7" t="s">
        <v>14</v>
      </c>
      <c r="H7" s="4">
        <v>143</v>
      </c>
      <c r="I7" s="8"/>
      <c r="K7" s="7" t="s">
        <v>14</v>
      </c>
      <c r="L7" s="4">
        <v>143</v>
      </c>
      <c r="M7" s="8"/>
    </row>
    <row r="8" spans="1:13" x14ac:dyDescent="0.25">
      <c r="G8" s="7" t="s">
        <v>15</v>
      </c>
      <c r="H8" s="4">
        <v>1000</v>
      </c>
      <c r="I8" s="8"/>
      <c r="K8" s="7" t="s">
        <v>15</v>
      </c>
      <c r="L8" s="4">
        <v>1000</v>
      </c>
      <c r="M8" s="8"/>
    </row>
    <row r="9" spans="1:13" x14ac:dyDescent="0.25">
      <c r="G9" s="7" t="s">
        <v>16</v>
      </c>
      <c r="H9" s="4">
        <v>317</v>
      </c>
      <c r="I9" s="8"/>
      <c r="K9" s="7" t="s">
        <v>16</v>
      </c>
      <c r="L9" s="4">
        <v>315</v>
      </c>
      <c r="M9" s="8"/>
    </row>
    <row r="10" spans="1:13" x14ac:dyDescent="0.25">
      <c r="A10" t="s">
        <v>17</v>
      </c>
      <c r="B10" t="s">
        <v>1</v>
      </c>
      <c r="G10" s="7"/>
      <c r="H10" s="2"/>
      <c r="I10" s="8"/>
      <c r="K10" s="7"/>
      <c r="L10" s="2"/>
      <c r="M10" s="8"/>
    </row>
    <row r="11" spans="1:13" x14ac:dyDescent="0.25">
      <c r="B11" t="s">
        <v>18</v>
      </c>
      <c r="C11">
        <f>10.6-0.55</f>
        <v>10.049999999999999</v>
      </c>
      <c r="D11" t="s">
        <v>1</v>
      </c>
      <c r="E11">
        <f>C11*(C12^2)*(((4905*C13*C15^2)/C14^2)-1)</f>
        <v>3557155.4653363205</v>
      </c>
      <c r="G11" s="7" t="s">
        <v>19</v>
      </c>
      <c r="H11" s="2"/>
      <c r="I11" s="8"/>
      <c r="K11" s="7" t="s">
        <v>19</v>
      </c>
      <c r="L11" s="2"/>
      <c r="M11" s="8"/>
    </row>
    <row r="12" spans="1:13" x14ac:dyDescent="0.25">
      <c r="B12" t="s">
        <v>20</v>
      </c>
      <c r="C12">
        <v>6</v>
      </c>
      <c r="D12" t="s">
        <v>7</v>
      </c>
      <c r="E12">
        <f>E11/(317^2)</f>
        <v>35.39845620253282</v>
      </c>
      <c r="G12" s="7" t="s">
        <v>21</v>
      </c>
      <c r="H12" s="5">
        <v>7.303240740740741E-4</v>
      </c>
      <c r="I12" s="8"/>
      <c r="K12" s="7" t="s">
        <v>21</v>
      </c>
      <c r="L12" s="5">
        <v>6.7962962962962975E-4</v>
      </c>
      <c r="M12" s="8"/>
    </row>
    <row r="13" spans="1:13" x14ac:dyDescent="0.25">
      <c r="B13" t="s">
        <v>22</v>
      </c>
      <c r="C13">
        <v>143</v>
      </c>
      <c r="D13" t="s">
        <v>9</v>
      </c>
      <c r="E13" s="1">
        <f>E12+C11</f>
        <v>45.448456202532817</v>
      </c>
      <c r="G13" s="7" t="s">
        <v>23</v>
      </c>
      <c r="H13" s="5">
        <v>7.2534722222222228E-4</v>
      </c>
      <c r="I13" s="8"/>
      <c r="K13" s="7" t="s">
        <v>23</v>
      </c>
      <c r="L13" s="5">
        <v>6.9236111111111104E-4</v>
      </c>
      <c r="M13" s="8"/>
    </row>
    <row r="14" spans="1:13" x14ac:dyDescent="0.25">
      <c r="B14" t="s">
        <v>11</v>
      </c>
      <c r="C14">
        <v>1000</v>
      </c>
      <c r="G14" s="7" t="s">
        <v>24</v>
      </c>
      <c r="H14" s="5">
        <v>7.1064814814814819E-4</v>
      </c>
      <c r="I14" s="8"/>
      <c r="K14" s="7" t="s">
        <v>24</v>
      </c>
      <c r="L14" s="5">
        <v>6.7418981481481486E-4</v>
      </c>
      <c r="M14" s="8"/>
    </row>
    <row r="15" spans="1:13" x14ac:dyDescent="0.25">
      <c r="B15" t="s">
        <v>12</v>
      </c>
      <c r="C15">
        <v>118.4</v>
      </c>
      <c r="G15" s="7" t="s">
        <v>25</v>
      </c>
      <c r="H15" s="5">
        <f>SUM(H12:H14)/3</f>
        <v>7.2210648148148156E-4</v>
      </c>
      <c r="I15" s="8">
        <v>62.38</v>
      </c>
      <c r="K15" s="7" t="s">
        <v>25</v>
      </c>
      <c r="L15" s="5">
        <f>SUM(L12:L14)/3</f>
        <v>6.8206018518518529E-4</v>
      </c>
      <c r="M15" s="8">
        <v>58.9</v>
      </c>
    </row>
    <row r="16" spans="1:13" x14ac:dyDescent="0.25">
      <c r="A16" t="s">
        <v>26</v>
      </c>
      <c r="B16" t="s">
        <v>1</v>
      </c>
      <c r="G16" s="7"/>
      <c r="H16" s="2"/>
      <c r="I16" s="8"/>
      <c r="K16" s="7"/>
      <c r="L16" s="2"/>
      <c r="M16" s="8"/>
    </row>
    <row r="17" spans="1:13" x14ac:dyDescent="0.25">
      <c r="B17" t="s">
        <v>18</v>
      </c>
      <c r="C17">
        <f>10.6-0.55</f>
        <v>10.049999999999999</v>
      </c>
      <c r="D17" t="s">
        <v>1</v>
      </c>
      <c r="E17">
        <f>C17*(C18^2)*(((4905*C19*C21^2)/C20^2)-1)</f>
        <v>3557155.4653363205</v>
      </c>
      <c r="G17" s="7" t="s">
        <v>27</v>
      </c>
      <c r="H17" s="6">
        <f>H4*H6^2*(((4905*H7*I15^2)/H8^2)-1)</f>
        <v>1159020.5898847249</v>
      </c>
      <c r="I17" s="8"/>
      <c r="K17" s="7" t="s">
        <v>27</v>
      </c>
      <c r="L17" s="6">
        <f>L4*L6^2*(((4905*L7*M15^2)/L8^2)-1)</f>
        <v>928187.02370844001</v>
      </c>
      <c r="M17" s="8"/>
    </row>
    <row r="18" spans="1:13" x14ac:dyDescent="0.25">
      <c r="B18" t="s">
        <v>20</v>
      </c>
      <c r="C18">
        <v>6</v>
      </c>
      <c r="D18" t="s">
        <v>7</v>
      </c>
      <c r="E18">
        <f>E17/(317^2)</f>
        <v>35.39845620253282</v>
      </c>
      <c r="G18" s="7" t="s">
        <v>28</v>
      </c>
      <c r="H18" s="3">
        <f>H17/H9^2</f>
        <v>11.533805589514524</v>
      </c>
      <c r="I18" s="8"/>
      <c r="K18" s="7" t="s">
        <v>28</v>
      </c>
      <c r="L18" s="3">
        <f>L17/L9^2</f>
        <v>9.3543665780643988</v>
      </c>
      <c r="M18" s="8"/>
    </row>
    <row r="19" spans="1:13" ht="15.75" thickBot="1" x14ac:dyDescent="0.3">
      <c r="B19" t="s">
        <v>22</v>
      </c>
      <c r="C19">
        <v>143</v>
      </c>
      <c r="D19" t="s">
        <v>9</v>
      </c>
      <c r="E19" s="1">
        <f>E18+C17</f>
        <v>45.448456202532817</v>
      </c>
      <c r="G19" s="9" t="s">
        <v>29</v>
      </c>
      <c r="H19" s="10">
        <f>H18+H4</f>
        <v>23.333805589514522</v>
      </c>
      <c r="I19" s="11"/>
      <c r="K19" s="9" t="s">
        <v>29</v>
      </c>
      <c r="L19" s="10">
        <f>L18+L4</f>
        <v>19.954366578064398</v>
      </c>
      <c r="M19" s="11"/>
    </row>
    <row r="20" spans="1:13" x14ac:dyDescent="0.25">
      <c r="B20" t="s">
        <v>11</v>
      </c>
      <c r="C20">
        <v>1000</v>
      </c>
    </row>
    <row r="21" spans="1:13" x14ac:dyDescent="0.25">
      <c r="B21" t="s">
        <v>12</v>
      </c>
      <c r="C21">
        <v>118.4</v>
      </c>
    </row>
    <row r="22" spans="1:13" x14ac:dyDescent="0.25">
      <c r="A22" t="s">
        <v>30</v>
      </c>
      <c r="B22" t="s">
        <v>1</v>
      </c>
    </row>
    <row r="23" spans="1:13" x14ac:dyDescent="0.25">
      <c r="B23" t="s">
        <v>18</v>
      </c>
      <c r="C23">
        <f>10.6-0.55</f>
        <v>10.049999999999999</v>
      </c>
      <c r="D23" t="s">
        <v>1</v>
      </c>
      <c r="E23">
        <f>C23*(C24^2)*(((4905*C25*C27^2)/C26^2)-1)</f>
        <v>3557155.4653363205</v>
      </c>
    </row>
    <row r="24" spans="1:13" x14ac:dyDescent="0.25">
      <c r="B24" t="s">
        <v>20</v>
      </c>
      <c r="C24">
        <v>6</v>
      </c>
      <c r="D24" t="s">
        <v>7</v>
      </c>
      <c r="E24">
        <f>E23/(317^2)</f>
        <v>35.39845620253282</v>
      </c>
    </row>
    <row r="25" spans="1:13" x14ac:dyDescent="0.25">
      <c r="B25" t="s">
        <v>22</v>
      </c>
      <c r="C25">
        <v>143</v>
      </c>
      <c r="D25" t="s">
        <v>9</v>
      </c>
      <c r="E25" s="1">
        <f>E24+C23</f>
        <v>45.448456202532817</v>
      </c>
    </row>
    <row r="26" spans="1:13" x14ac:dyDescent="0.25">
      <c r="B26" t="s">
        <v>11</v>
      </c>
      <c r="C26">
        <v>1000</v>
      </c>
    </row>
    <row r="27" spans="1:13" x14ac:dyDescent="0.25">
      <c r="B27" t="s">
        <v>12</v>
      </c>
      <c r="C27">
        <v>118.4</v>
      </c>
    </row>
  </sheetData>
  <mergeCells count="2">
    <mergeCell ref="G1:I1"/>
    <mergeCell ref="K1:M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12756-7B37-4033-8823-54001A1616C1}">
  <dimension ref="A2:X31"/>
  <sheetViews>
    <sheetView topLeftCell="B2" workbookViewId="0">
      <selection activeCell="U37" sqref="U37"/>
    </sheetView>
  </sheetViews>
  <sheetFormatPr defaultRowHeight="15" x14ac:dyDescent="0.25"/>
  <cols>
    <col min="5" max="5" width="10.140625" bestFit="1" customWidth="1"/>
    <col min="15" max="15" width="10.140625" bestFit="1" customWidth="1"/>
    <col min="22" max="22" width="16.5703125" bestFit="1" customWidth="1"/>
  </cols>
  <sheetData>
    <row r="2" spans="1:24" ht="21.75" thickBot="1" x14ac:dyDescent="0.4">
      <c r="A2" s="13" t="s">
        <v>31</v>
      </c>
    </row>
    <row r="3" spans="1:24" ht="15.75" thickBot="1" x14ac:dyDescent="0.3">
      <c r="A3" s="132" t="s">
        <v>32</v>
      </c>
      <c r="B3" s="133"/>
      <c r="C3" s="133"/>
      <c r="D3" s="133"/>
      <c r="E3" s="133"/>
      <c r="F3" s="133"/>
      <c r="G3" s="133"/>
      <c r="H3" s="133"/>
      <c r="I3" s="134"/>
      <c r="K3" s="132" t="s">
        <v>33</v>
      </c>
      <c r="L3" s="133"/>
      <c r="M3" s="133"/>
      <c r="N3" s="133"/>
      <c r="O3" s="133"/>
      <c r="P3" s="133"/>
      <c r="Q3" s="133"/>
      <c r="R3" s="133"/>
      <c r="S3" s="134"/>
      <c r="V3" s="119" t="s">
        <v>152</v>
      </c>
    </row>
    <row r="4" spans="1:24" x14ac:dyDescent="0.25">
      <c r="A4" s="30" t="s">
        <v>34</v>
      </c>
      <c r="B4" s="15">
        <v>87.7</v>
      </c>
      <c r="C4" s="28"/>
      <c r="D4" s="28"/>
      <c r="E4" s="29"/>
      <c r="F4" s="29"/>
      <c r="G4" s="29"/>
      <c r="H4" s="14" t="s">
        <v>35</v>
      </c>
      <c r="I4" s="31">
        <f>(B4*F9)/B6</f>
        <v>0.68039058319957202</v>
      </c>
      <c r="K4" s="30" t="s">
        <v>34</v>
      </c>
      <c r="L4" s="15">
        <v>129.1</v>
      </c>
      <c r="M4" s="28"/>
      <c r="N4" s="28"/>
      <c r="O4" s="29"/>
      <c r="P4" s="29"/>
      <c r="Q4" s="29"/>
      <c r="R4" s="14" t="s">
        <v>35</v>
      </c>
      <c r="S4" s="31">
        <f>(L4*P9)/L6</f>
        <v>0.72039638252838167</v>
      </c>
      <c r="V4" s="102" t="s">
        <v>153</v>
      </c>
      <c r="W4" s="103">
        <v>25.5</v>
      </c>
      <c r="X4" s="104" t="s">
        <v>157</v>
      </c>
    </row>
    <row r="5" spans="1:24" x14ac:dyDescent="0.25">
      <c r="A5" s="30" t="s">
        <v>36</v>
      </c>
      <c r="B5" s="15">
        <v>99.2</v>
      </c>
      <c r="C5" s="28"/>
      <c r="D5" s="28"/>
      <c r="E5" s="14" t="s">
        <v>37</v>
      </c>
      <c r="F5" s="16">
        <v>0.31</v>
      </c>
      <c r="G5" s="29"/>
      <c r="H5" s="14" t="s">
        <v>38</v>
      </c>
      <c r="I5" s="85">
        <f>((F9*(B4-B10))/(B6*TAN(RADIANS(B8))))+F7</f>
        <v>0.53049767622574684</v>
      </c>
      <c r="J5" s="42" t="s">
        <v>39</v>
      </c>
      <c r="K5" s="41" t="s">
        <v>36</v>
      </c>
      <c r="L5" s="15">
        <v>130.75</v>
      </c>
      <c r="M5" s="28"/>
      <c r="N5" s="28"/>
      <c r="O5" s="14" t="s">
        <v>37</v>
      </c>
      <c r="P5" s="16">
        <v>0.31</v>
      </c>
      <c r="Q5" s="29"/>
      <c r="R5" s="14" t="s">
        <v>38</v>
      </c>
      <c r="S5" s="84">
        <f>((L4-L10)*L9)/(L6*TAN(RADIANS(13.56)))+L7</f>
        <v>0.64122048547409283</v>
      </c>
      <c r="V5" s="105" t="s">
        <v>154</v>
      </c>
      <c r="W5" s="101">
        <v>0.1</v>
      </c>
      <c r="X5" s="106" t="s">
        <v>18</v>
      </c>
    </row>
    <row r="6" spans="1:24" x14ac:dyDescent="0.25">
      <c r="A6" s="30" t="s">
        <v>40</v>
      </c>
      <c r="B6" s="15">
        <f>B4+B5</f>
        <v>186.9</v>
      </c>
      <c r="C6" s="28"/>
      <c r="D6" s="28"/>
      <c r="E6" s="14" t="s">
        <v>41</v>
      </c>
      <c r="F6" s="16">
        <v>0.32</v>
      </c>
      <c r="G6" s="29"/>
      <c r="H6" s="29"/>
      <c r="I6" s="32"/>
      <c r="K6" s="30" t="s">
        <v>40</v>
      </c>
      <c r="L6" s="15">
        <f>L4+L5</f>
        <v>259.85000000000002</v>
      </c>
      <c r="M6" s="28"/>
      <c r="N6" s="28"/>
      <c r="O6" s="14" t="s">
        <v>41</v>
      </c>
      <c r="P6" s="16">
        <v>0.32</v>
      </c>
      <c r="Q6" s="29"/>
      <c r="R6" s="29"/>
      <c r="S6" s="32"/>
      <c r="V6" s="105" t="s">
        <v>155</v>
      </c>
      <c r="W6" s="101">
        <v>0.31</v>
      </c>
      <c r="X6" s="106" t="s">
        <v>18</v>
      </c>
    </row>
    <row r="7" spans="1:24" x14ac:dyDescent="0.25">
      <c r="A7" s="30" t="s">
        <v>42</v>
      </c>
      <c r="B7" s="16">
        <f>F7</f>
        <v>0.315</v>
      </c>
      <c r="C7" s="28"/>
      <c r="D7" s="28"/>
      <c r="E7" s="14" t="s">
        <v>42</v>
      </c>
      <c r="F7" s="18">
        <f>(F6+F5)/2</f>
        <v>0.315</v>
      </c>
      <c r="G7" s="29"/>
      <c r="H7" s="14" t="s">
        <v>43</v>
      </c>
      <c r="I7" s="33">
        <f>B5/B6*100</f>
        <v>53.076511503477796</v>
      </c>
      <c r="K7" s="30" t="s">
        <v>42</v>
      </c>
      <c r="L7" s="16">
        <f>P7</f>
        <v>0.315</v>
      </c>
      <c r="M7" s="28"/>
      <c r="N7" s="28"/>
      <c r="O7" s="14" t="s">
        <v>42</v>
      </c>
      <c r="P7" s="18">
        <f>(P6+P5)/2</f>
        <v>0.315</v>
      </c>
      <c r="Q7" s="29"/>
      <c r="R7" s="14" t="s">
        <v>43</v>
      </c>
      <c r="S7" s="33">
        <f>L5/L6*100</f>
        <v>50.317490860111604</v>
      </c>
      <c r="V7" s="105" t="s">
        <v>156</v>
      </c>
      <c r="W7" s="101">
        <v>0.27739999999999998</v>
      </c>
      <c r="X7" s="106" t="s">
        <v>18</v>
      </c>
    </row>
    <row r="8" spans="1:24" ht="15.75" thickBot="1" x14ac:dyDescent="0.3">
      <c r="A8" s="30" t="s">
        <v>44</v>
      </c>
      <c r="B8" s="20">
        <f>ASIN(F10/F9)/3.14159265359*180</f>
        <v>13.561135135681392</v>
      </c>
      <c r="C8" s="28"/>
      <c r="D8" s="28"/>
      <c r="E8" s="29"/>
      <c r="F8" s="29"/>
      <c r="G8" s="29"/>
      <c r="H8" s="14" t="s">
        <v>45</v>
      </c>
      <c r="I8" s="33">
        <f>B4/B6*100</f>
        <v>46.923488496522204</v>
      </c>
      <c r="K8" s="30" t="s">
        <v>44</v>
      </c>
      <c r="L8" s="20">
        <f>ASIN(P10/P9)/3.14159265359*180</f>
        <v>13.561135135681392</v>
      </c>
      <c r="M8" s="28"/>
      <c r="N8" s="28"/>
      <c r="O8" s="29"/>
      <c r="P8" s="29"/>
      <c r="Q8" s="29"/>
      <c r="R8" s="14" t="s">
        <v>45</v>
      </c>
      <c r="S8" s="33">
        <f>L4/L6*100</f>
        <v>49.682509139888396</v>
      </c>
      <c r="V8" s="107" t="s">
        <v>159</v>
      </c>
      <c r="W8" s="108">
        <v>1437</v>
      </c>
      <c r="X8" s="109" t="s">
        <v>18</v>
      </c>
    </row>
    <row r="9" spans="1:24" x14ac:dyDescent="0.25">
      <c r="A9" s="30" t="s">
        <v>46</v>
      </c>
      <c r="B9" s="16">
        <f>F9</f>
        <v>1.45</v>
      </c>
      <c r="C9" s="28"/>
      <c r="D9" s="28"/>
      <c r="E9" s="14" t="s">
        <v>47</v>
      </c>
      <c r="F9" s="16">
        <v>1.45</v>
      </c>
      <c r="G9" s="29"/>
      <c r="H9" s="29"/>
      <c r="I9" s="32"/>
      <c r="J9" t="s">
        <v>48</v>
      </c>
      <c r="K9" s="30" t="s">
        <v>46</v>
      </c>
      <c r="L9" s="16">
        <f>P9</f>
        <v>1.45</v>
      </c>
      <c r="M9" s="28"/>
      <c r="N9" s="28"/>
      <c r="O9" s="14" t="s">
        <v>47</v>
      </c>
      <c r="P9" s="16">
        <v>1.45</v>
      </c>
      <c r="Q9" s="29"/>
      <c r="R9" s="29"/>
      <c r="S9" s="32"/>
      <c r="W9" t="s">
        <v>158</v>
      </c>
    </row>
    <row r="10" spans="1:24" ht="15.75" thickBot="1" x14ac:dyDescent="0.3">
      <c r="A10" s="34" t="s">
        <v>49</v>
      </c>
      <c r="B10" s="35">
        <v>81</v>
      </c>
      <c r="C10" s="36"/>
      <c r="D10" s="36"/>
      <c r="E10" s="37" t="s">
        <v>50</v>
      </c>
      <c r="F10" s="38">
        <v>0.34</v>
      </c>
      <c r="G10" s="39"/>
      <c r="H10" s="39"/>
      <c r="I10" s="40"/>
      <c r="K10" s="34" t="s">
        <v>49</v>
      </c>
      <c r="L10" s="35">
        <v>115</v>
      </c>
      <c r="M10" s="36"/>
      <c r="N10" s="36"/>
      <c r="O10" s="37" t="s">
        <v>50</v>
      </c>
      <c r="P10" s="38">
        <v>0.34</v>
      </c>
      <c r="Q10" s="39"/>
      <c r="R10" s="39"/>
      <c r="S10" s="40"/>
    </row>
    <row r="13" spans="1:24" x14ac:dyDescent="0.25">
      <c r="A13" s="135" t="s">
        <v>51</v>
      </c>
      <c r="B13" s="136"/>
      <c r="C13" s="136"/>
      <c r="D13" s="136"/>
      <c r="E13" s="136"/>
      <c r="F13" s="136"/>
      <c r="G13" s="136"/>
      <c r="H13" s="136"/>
      <c r="I13" s="137"/>
      <c r="K13" s="135" t="s">
        <v>52</v>
      </c>
      <c r="L13" s="136"/>
      <c r="M13" s="136"/>
      <c r="N13" s="136"/>
      <c r="O13" s="136"/>
      <c r="P13" s="136"/>
      <c r="Q13" s="136"/>
      <c r="R13" s="136"/>
      <c r="S13" s="137"/>
    </row>
    <row r="14" spans="1:24" x14ac:dyDescent="0.25">
      <c r="A14" s="14" t="s">
        <v>34</v>
      </c>
      <c r="B14" s="15">
        <v>35.35</v>
      </c>
      <c r="C14" s="21"/>
      <c r="D14" s="21"/>
      <c r="E14" s="22"/>
      <c r="F14" s="22"/>
      <c r="G14" s="22"/>
      <c r="H14" s="14" t="s">
        <v>35</v>
      </c>
      <c r="I14" s="16">
        <f>(B14*F19)/B16</f>
        <v>0.59121951219512192</v>
      </c>
      <c r="K14" s="14" t="s">
        <v>34</v>
      </c>
      <c r="L14" s="15">
        <v>76.3</v>
      </c>
      <c r="M14" s="21"/>
      <c r="N14" s="21"/>
      <c r="O14" s="22"/>
      <c r="P14" s="22"/>
      <c r="Q14" s="22"/>
      <c r="R14" s="14" t="s">
        <v>35</v>
      </c>
      <c r="S14" s="16">
        <f>(L14*P19)/L16</f>
        <v>0.67522123893805308</v>
      </c>
    </row>
    <row r="15" spans="1:24" x14ac:dyDescent="0.25">
      <c r="A15" s="14" t="s">
        <v>36</v>
      </c>
      <c r="B15" s="15">
        <v>36.4</v>
      </c>
      <c r="C15" s="21"/>
      <c r="D15" s="21"/>
      <c r="E15" s="14" t="s">
        <v>37</v>
      </c>
      <c r="F15" s="16">
        <v>0.24</v>
      </c>
      <c r="G15" s="22"/>
      <c r="H15" s="14" t="s">
        <v>38</v>
      </c>
      <c r="I15" s="86">
        <f>(F19*(B14-B20))/(B16*TAN(RADIANS(16.46)))+F17</f>
        <v>0.47208813288900453</v>
      </c>
      <c r="K15" s="14" t="s">
        <v>36</v>
      </c>
      <c r="L15" s="15">
        <v>59.3</v>
      </c>
      <c r="M15" s="21"/>
      <c r="N15" s="21"/>
      <c r="O15" s="14" t="s">
        <v>37</v>
      </c>
      <c r="P15" s="16">
        <v>0.24</v>
      </c>
      <c r="Q15" s="22"/>
      <c r="R15" s="14" t="s">
        <v>38</v>
      </c>
      <c r="S15" s="86">
        <f>((L14-L20)*L19)/(L16*TAN(RADIANS(13.56)))+L17</f>
        <v>0.8545867653860546</v>
      </c>
    </row>
    <row r="16" spans="1:24" x14ac:dyDescent="0.25">
      <c r="A16" s="14" t="s">
        <v>40</v>
      </c>
      <c r="B16" s="15">
        <f>B14+B15</f>
        <v>71.75</v>
      </c>
      <c r="C16" s="21"/>
      <c r="D16" s="21"/>
      <c r="E16" s="14" t="s">
        <v>41</v>
      </c>
      <c r="F16" s="16">
        <v>0.24</v>
      </c>
      <c r="G16" s="22"/>
      <c r="H16" s="22"/>
      <c r="I16" s="22"/>
      <c r="K16" s="14" t="s">
        <v>40</v>
      </c>
      <c r="L16" s="15">
        <f>L14+L15</f>
        <v>135.6</v>
      </c>
      <c r="M16" s="21"/>
      <c r="N16" s="21"/>
      <c r="O16" s="14" t="s">
        <v>41</v>
      </c>
      <c r="P16" s="16">
        <v>0.24</v>
      </c>
      <c r="Q16" s="22"/>
      <c r="R16" s="22"/>
      <c r="S16" s="22"/>
    </row>
    <row r="17" spans="1:24" x14ac:dyDescent="0.25">
      <c r="A17" s="14" t="s">
        <v>42</v>
      </c>
      <c r="B17" s="16">
        <f>F17</f>
        <v>0.24</v>
      </c>
      <c r="C17" s="21"/>
      <c r="D17" s="21"/>
      <c r="E17" s="14" t="s">
        <v>42</v>
      </c>
      <c r="F17" s="18">
        <f>(F16+F15)/2</f>
        <v>0.24</v>
      </c>
      <c r="G17" s="22"/>
      <c r="H17" s="14" t="s">
        <v>43</v>
      </c>
      <c r="I17" s="19">
        <f>B15/B16*100</f>
        <v>50.731707317073173</v>
      </c>
      <c r="K17" s="14" t="s">
        <v>42</v>
      </c>
      <c r="L17" s="16">
        <f>P17</f>
        <v>0.24</v>
      </c>
      <c r="M17" s="21"/>
      <c r="N17" s="21"/>
      <c r="O17" s="14" t="s">
        <v>42</v>
      </c>
      <c r="P17" s="18">
        <f>(P16+P15)/2</f>
        <v>0.24</v>
      </c>
      <c r="Q17" s="22"/>
      <c r="R17" s="14" t="s">
        <v>43</v>
      </c>
      <c r="S17" s="19">
        <f>L15/L16*100</f>
        <v>43.731563421828909</v>
      </c>
    </row>
    <row r="18" spans="1:24" x14ac:dyDescent="0.25">
      <c r="A18" s="14" t="s">
        <v>44</v>
      </c>
      <c r="B18" s="20">
        <f>ASIN(F20/F19)/3.14159265359*180</f>
        <v>16.459249628259141</v>
      </c>
      <c r="C18" s="21"/>
      <c r="D18" s="21"/>
      <c r="E18" s="22"/>
      <c r="F18" s="22"/>
      <c r="G18" s="22"/>
      <c r="H18" s="14" t="s">
        <v>45</v>
      </c>
      <c r="I18" s="19">
        <f>B14/B16*100</f>
        <v>49.268292682926827</v>
      </c>
      <c r="K18" s="14" t="s">
        <v>44</v>
      </c>
      <c r="L18" s="20">
        <f>ASIN(P20/P19)/3.14159265359*180</f>
        <v>16.459249628259141</v>
      </c>
      <c r="M18" s="21"/>
      <c r="N18" s="21"/>
      <c r="O18" s="22"/>
      <c r="P18" s="22"/>
      <c r="Q18" s="22"/>
      <c r="R18" s="14" t="s">
        <v>45</v>
      </c>
      <c r="S18" s="19">
        <f>L14/L16*100</f>
        <v>56.268436578171091</v>
      </c>
    </row>
    <row r="19" spans="1:24" x14ac:dyDescent="0.25">
      <c r="A19" s="14" t="s">
        <v>46</v>
      </c>
      <c r="B19" s="16">
        <f>F19</f>
        <v>1.2</v>
      </c>
      <c r="C19" s="21"/>
      <c r="D19" s="21"/>
      <c r="E19" s="14" t="s">
        <v>47</v>
      </c>
      <c r="F19" s="16">
        <v>1.2</v>
      </c>
      <c r="G19" s="22"/>
      <c r="H19" s="22"/>
      <c r="I19" s="22"/>
      <c r="K19" s="14" t="s">
        <v>46</v>
      </c>
      <c r="L19" s="16">
        <f>P19</f>
        <v>1.2</v>
      </c>
      <c r="M19" s="21"/>
      <c r="N19" s="21"/>
      <c r="O19" s="14" t="s">
        <v>47</v>
      </c>
      <c r="P19" s="16">
        <v>1.2</v>
      </c>
      <c r="Q19" s="22"/>
      <c r="R19" s="22"/>
      <c r="S19" s="22"/>
    </row>
    <row r="20" spans="1:24" x14ac:dyDescent="0.25">
      <c r="A20" s="14" t="s">
        <v>49</v>
      </c>
      <c r="B20" s="15">
        <v>31.25</v>
      </c>
      <c r="C20" s="21"/>
      <c r="D20" s="21"/>
      <c r="E20" s="14" t="s">
        <v>50</v>
      </c>
      <c r="F20" s="16">
        <v>0.34</v>
      </c>
      <c r="G20" s="22"/>
      <c r="H20" s="22"/>
      <c r="I20" s="22"/>
      <c r="K20" s="14" t="s">
        <v>49</v>
      </c>
      <c r="L20" s="15">
        <v>59.55</v>
      </c>
      <c r="M20" s="21"/>
      <c r="N20" s="21"/>
      <c r="O20" s="14" t="s">
        <v>50</v>
      </c>
      <c r="P20" s="16">
        <v>0.34</v>
      </c>
      <c r="Q20" s="22"/>
      <c r="R20" s="22"/>
      <c r="S20" s="22"/>
    </row>
    <row r="24" spans="1:24" ht="15.75" thickBot="1" x14ac:dyDescent="0.3">
      <c r="A24" s="138" t="s">
        <v>53</v>
      </c>
      <c r="B24" s="139"/>
      <c r="C24" s="139"/>
      <c r="D24" s="139"/>
      <c r="E24" s="139"/>
      <c r="F24" s="139"/>
      <c r="G24" s="139"/>
      <c r="H24" s="139"/>
      <c r="I24" s="140"/>
      <c r="K24" s="138" t="s">
        <v>54</v>
      </c>
      <c r="L24" s="139"/>
      <c r="M24" s="139"/>
      <c r="N24" s="139"/>
      <c r="O24" s="139"/>
      <c r="P24" s="139"/>
      <c r="Q24" s="139"/>
      <c r="R24" s="139"/>
      <c r="S24" s="140"/>
      <c r="V24" s="100" t="s">
        <v>151</v>
      </c>
    </row>
    <row r="25" spans="1:24" x14ac:dyDescent="0.25">
      <c r="A25" s="14" t="s">
        <v>34</v>
      </c>
      <c r="B25" s="15">
        <v>79.680000000000007</v>
      </c>
      <c r="C25" s="43"/>
      <c r="D25" s="43"/>
      <c r="E25" s="42"/>
      <c r="F25" s="42"/>
      <c r="G25" s="42"/>
      <c r="H25" s="14" t="s">
        <v>35</v>
      </c>
      <c r="I25" s="16">
        <f>(B25*F30)/B27</f>
        <v>0.66239999999999999</v>
      </c>
      <c r="K25" s="14" t="s">
        <v>34</v>
      </c>
      <c r="L25" s="15">
        <v>122.5</v>
      </c>
      <c r="M25" s="43"/>
      <c r="N25" s="43"/>
      <c r="O25" s="42"/>
      <c r="P25" s="42"/>
      <c r="Q25" s="42"/>
      <c r="R25" s="14" t="s">
        <v>35</v>
      </c>
      <c r="S25" s="16">
        <f>(L25*P30)/L27</f>
        <v>0.72243589743589731</v>
      </c>
      <c r="V25" s="111" t="s">
        <v>153</v>
      </c>
      <c r="W25" s="112">
        <v>24.5</v>
      </c>
      <c r="X25" s="113" t="s">
        <v>157</v>
      </c>
    </row>
    <row r="26" spans="1:24" x14ac:dyDescent="0.25">
      <c r="A26" s="14" t="s">
        <v>36</v>
      </c>
      <c r="B26" s="15">
        <v>86.32</v>
      </c>
      <c r="C26" s="43"/>
      <c r="D26" s="43"/>
      <c r="E26" s="14" t="s">
        <v>37</v>
      </c>
      <c r="F26" s="16">
        <v>0.31</v>
      </c>
      <c r="G26" s="42"/>
      <c r="H26" s="14" t="s">
        <v>38</v>
      </c>
      <c r="I26" s="86">
        <f>(F30*(B25-B31))/(B27*TAN(RADIANS(16.46)))+F28</f>
        <v>0.4691918056365294</v>
      </c>
      <c r="K26" s="14" t="s">
        <v>36</v>
      </c>
      <c r="L26" s="15">
        <v>111.5</v>
      </c>
      <c r="M26" s="43"/>
      <c r="N26" s="43"/>
      <c r="O26" s="14" t="s">
        <v>37</v>
      </c>
      <c r="P26" s="16">
        <v>0.31</v>
      </c>
      <c r="Q26" s="42"/>
      <c r="R26" s="14" t="s">
        <v>38</v>
      </c>
      <c r="S26" s="86">
        <f>(P30*(L25-L31))/(L27*TAN(RADIANS(16.46)))+P28</f>
        <v>0.6683021112680535</v>
      </c>
      <c r="V26" s="114" t="s">
        <v>154</v>
      </c>
      <c r="W26" s="110">
        <v>0.94</v>
      </c>
      <c r="X26" s="115" t="s">
        <v>18</v>
      </c>
    </row>
    <row r="27" spans="1:24" x14ac:dyDescent="0.25">
      <c r="A27" s="14" t="s">
        <v>40</v>
      </c>
      <c r="B27" s="15">
        <f>B25+B26</f>
        <v>166</v>
      </c>
      <c r="C27" s="43"/>
      <c r="D27" s="43"/>
      <c r="E27" s="14" t="s">
        <v>41</v>
      </c>
      <c r="F27" s="16">
        <v>0.32</v>
      </c>
      <c r="G27" s="42"/>
      <c r="H27" s="42"/>
      <c r="I27" s="42"/>
      <c r="K27" s="14" t="s">
        <v>40</v>
      </c>
      <c r="L27" s="15">
        <f>L25+L26</f>
        <v>234</v>
      </c>
      <c r="M27" s="43"/>
      <c r="N27" s="43"/>
      <c r="O27" s="14" t="s">
        <v>41</v>
      </c>
      <c r="P27" s="16">
        <v>0.32</v>
      </c>
      <c r="Q27" s="42"/>
      <c r="R27" s="42"/>
      <c r="S27" s="42"/>
      <c r="V27" s="114" t="s">
        <v>155</v>
      </c>
      <c r="W27" s="110">
        <v>0.31</v>
      </c>
      <c r="X27" s="115" t="s">
        <v>18</v>
      </c>
    </row>
    <row r="28" spans="1:24" x14ac:dyDescent="0.25">
      <c r="A28" s="14" t="s">
        <v>42</v>
      </c>
      <c r="B28" s="16">
        <f>F28</f>
        <v>0.315</v>
      </c>
      <c r="C28" s="43"/>
      <c r="D28" s="43"/>
      <c r="E28" s="14" t="s">
        <v>42</v>
      </c>
      <c r="F28" s="18">
        <f>(F27+F26)/2</f>
        <v>0.315</v>
      </c>
      <c r="G28" s="42"/>
      <c r="H28" s="14" t="s">
        <v>43</v>
      </c>
      <c r="I28" s="19">
        <f>B26/B27*100</f>
        <v>51.999999999999993</v>
      </c>
      <c r="K28" s="14" t="s">
        <v>42</v>
      </c>
      <c r="L28" s="16">
        <f>P28</f>
        <v>0.315</v>
      </c>
      <c r="M28" s="43"/>
      <c r="N28" s="43"/>
      <c r="O28" s="14" t="s">
        <v>42</v>
      </c>
      <c r="P28" s="18">
        <f>(P27+P26)/2</f>
        <v>0.315</v>
      </c>
      <c r="Q28" s="42"/>
      <c r="R28" s="14" t="s">
        <v>43</v>
      </c>
      <c r="S28" s="19">
        <f>L26/L27*100</f>
        <v>47.649572649572647</v>
      </c>
      <c r="V28" s="114" t="s">
        <v>156</v>
      </c>
      <c r="W28" s="110">
        <v>0.3196</v>
      </c>
      <c r="X28" s="115" t="s">
        <v>18</v>
      </c>
    </row>
    <row r="29" spans="1:24" ht="15.75" thickBot="1" x14ac:dyDescent="0.3">
      <c r="A29" s="14" t="s">
        <v>44</v>
      </c>
      <c r="B29" s="20">
        <f>ASIN(F31/F30)/3.14159265359*180</f>
        <v>14.263213616559236</v>
      </c>
      <c r="C29" s="43"/>
      <c r="D29" s="43"/>
      <c r="E29" s="42"/>
      <c r="F29" s="42"/>
      <c r="G29" s="42"/>
      <c r="H29" s="14" t="s">
        <v>45</v>
      </c>
      <c r="I29" s="19">
        <f>B25/B27*100</f>
        <v>48.000000000000007</v>
      </c>
      <c r="K29" s="14" t="s">
        <v>44</v>
      </c>
      <c r="L29" s="20">
        <f>ASIN(P31/P30)/3.14159265359*180</f>
        <v>14.263213616559236</v>
      </c>
      <c r="M29" s="43"/>
      <c r="N29" s="43"/>
      <c r="O29" s="42"/>
      <c r="P29" s="42"/>
      <c r="Q29" s="42"/>
      <c r="R29" s="14" t="s">
        <v>45</v>
      </c>
      <c r="S29" s="19">
        <f>L25/L27*100</f>
        <v>52.350427350427353</v>
      </c>
      <c r="V29" s="116" t="s">
        <v>47</v>
      </c>
      <c r="W29" s="117">
        <v>0.13700000000000001</v>
      </c>
      <c r="X29" s="118" t="s">
        <v>18</v>
      </c>
    </row>
    <row r="30" spans="1:24" x14ac:dyDescent="0.25">
      <c r="A30" s="14" t="s">
        <v>46</v>
      </c>
      <c r="B30" s="16">
        <f>F30</f>
        <v>1.38</v>
      </c>
      <c r="C30" s="43"/>
      <c r="D30" s="43"/>
      <c r="E30" s="14" t="s">
        <v>47</v>
      </c>
      <c r="F30" s="16">
        <v>1.38</v>
      </c>
      <c r="G30" s="42"/>
      <c r="H30" s="42"/>
      <c r="I30" s="42"/>
      <c r="K30" s="14" t="s">
        <v>46</v>
      </c>
      <c r="L30" s="16">
        <f>P30</f>
        <v>1.38</v>
      </c>
      <c r="M30" s="43"/>
      <c r="N30" s="43"/>
      <c r="O30" s="14" t="s">
        <v>47</v>
      </c>
      <c r="P30" s="16">
        <v>1.38</v>
      </c>
      <c r="Q30" s="42"/>
      <c r="R30" s="42"/>
      <c r="S30" s="42"/>
    </row>
    <row r="31" spans="1:24" x14ac:dyDescent="0.25">
      <c r="A31" s="14" t="s">
        <v>49</v>
      </c>
      <c r="B31" s="15">
        <v>74.2</v>
      </c>
      <c r="C31" s="43"/>
      <c r="D31" s="43"/>
      <c r="E31" s="14" t="s">
        <v>50</v>
      </c>
      <c r="F31" s="16">
        <v>0.34</v>
      </c>
      <c r="G31" s="42"/>
      <c r="H31" s="42"/>
      <c r="I31" s="42"/>
      <c r="K31" s="14" t="s">
        <v>49</v>
      </c>
      <c r="L31" s="15">
        <v>104.8</v>
      </c>
      <c r="M31" s="43"/>
      <c r="N31" s="43"/>
      <c r="O31" s="14" t="s">
        <v>50</v>
      </c>
      <c r="P31" s="16">
        <v>0.34</v>
      </c>
      <c r="Q31" s="42"/>
      <c r="R31" s="42"/>
      <c r="S31" s="42"/>
    </row>
  </sheetData>
  <mergeCells count="6">
    <mergeCell ref="A3:I3"/>
    <mergeCell ref="K3:S3"/>
    <mergeCell ref="A13:I13"/>
    <mergeCell ref="K13:S13"/>
    <mergeCell ref="A24:I24"/>
    <mergeCell ref="K24:S2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A2641-0C9C-4A08-9A05-050FFB60BAED}">
  <dimension ref="A1:M29"/>
  <sheetViews>
    <sheetView tabSelected="1" zoomScale="90" zoomScaleNormal="90" workbookViewId="0">
      <selection activeCell="F40" sqref="F40"/>
    </sheetView>
  </sheetViews>
  <sheetFormatPr defaultRowHeight="15" x14ac:dyDescent="0.25"/>
  <cols>
    <col min="1" max="1" width="29.7109375" bestFit="1" customWidth="1"/>
    <col min="4" max="4" width="11.85546875" bestFit="1" customWidth="1"/>
    <col min="5" max="6" width="12" bestFit="1" customWidth="1"/>
    <col min="8" max="8" width="12.42578125" bestFit="1" customWidth="1"/>
    <col min="9" max="9" width="14" bestFit="1" customWidth="1"/>
    <col min="10" max="10" width="13.28515625" bestFit="1" customWidth="1"/>
    <col min="11" max="11" width="13.42578125" bestFit="1" customWidth="1"/>
    <col min="12" max="12" width="44.140625" bestFit="1" customWidth="1"/>
    <col min="13" max="13" width="16.42578125" bestFit="1" customWidth="1"/>
    <col min="14" max="14" width="41.85546875" bestFit="1" customWidth="1"/>
    <col min="15" max="15" width="17.140625" customWidth="1"/>
  </cols>
  <sheetData>
    <row r="1" spans="1:12" x14ac:dyDescent="0.25">
      <c r="A1" s="141" t="s">
        <v>55</v>
      </c>
      <c r="B1" s="141"/>
      <c r="C1" s="141"/>
    </row>
    <row r="2" spans="1:12" x14ac:dyDescent="0.25">
      <c r="A2" s="141" t="s">
        <v>56</v>
      </c>
      <c r="B2" s="141"/>
      <c r="C2" s="141"/>
    </row>
    <row r="3" spans="1:12" x14ac:dyDescent="0.25">
      <c r="A3" t="s">
        <v>57</v>
      </c>
      <c r="B3">
        <v>2.2189999999999999</v>
      </c>
      <c r="C3" t="s">
        <v>58</v>
      </c>
      <c r="E3" s="141" t="s">
        <v>59</v>
      </c>
      <c r="F3" s="141"/>
      <c r="G3" s="141"/>
      <c r="H3" s="141"/>
      <c r="L3" s="96" t="s">
        <v>60</v>
      </c>
    </row>
    <row r="4" spans="1:12" x14ac:dyDescent="0.25">
      <c r="F4" t="s">
        <v>61</v>
      </c>
      <c r="G4" t="s">
        <v>62</v>
      </c>
      <c r="H4" t="s">
        <v>63</v>
      </c>
      <c r="L4" t="s">
        <v>64</v>
      </c>
    </row>
    <row r="5" spans="1:12" x14ac:dyDescent="0.25">
      <c r="A5" t="s">
        <v>65</v>
      </c>
      <c r="B5">
        <v>2.9289999999999998</v>
      </c>
      <c r="C5" t="s">
        <v>66</v>
      </c>
      <c r="E5" t="s">
        <v>67</v>
      </c>
      <c r="F5">
        <v>110</v>
      </c>
      <c r="G5">
        <v>70</v>
      </c>
      <c r="H5">
        <v>17</v>
      </c>
      <c r="L5" t="s">
        <v>68</v>
      </c>
    </row>
    <row r="6" spans="1:12" x14ac:dyDescent="0.25">
      <c r="A6" t="s">
        <v>69</v>
      </c>
      <c r="B6">
        <v>2.056</v>
      </c>
      <c r="C6" t="s">
        <v>70</v>
      </c>
      <c r="E6" t="s">
        <v>71</v>
      </c>
      <c r="F6">
        <v>150</v>
      </c>
      <c r="G6">
        <v>60</v>
      </c>
      <c r="H6">
        <v>17</v>
      </c>
    </row>
    <row r="7" spans="1:12" x14ac:dyDescent="0.25">
      <c r="A7" t="s">
        <v>72</v>
      </c>
      <c r="B7">
        <v>1.619</v>
      </c>
      <c r="C7" t="s">
        <v>73</v>
      </c>
    </row>
    <row r="8" spans="1:12" x14ac:dyDescent="0.25">
      <c r="A8" t="s">
        <v>74</v>
      </c>
      <c r="B8">
        <v>1.333</v>
      </c>
      <c r="C8" t="s">
        <v>75</v>
      </c>
      <c r="G8" s="23"/>
    </row>
    <row r="9" spans="1:12" x14ac:dyDescent="0.25">
      <c r="A9" t="s">
        <v>76</v>
      </c>
      <c r="B9">
        <v>1.1539999999999999</v>
      </c>
      <c r="C9" t="s">
        <v>77</v>
      </c>
      <c r="G9" s="24"/>
    </row>
    <row r="10" spans="1:12" x14ac:dyDescent="0.25">
      <c r="A10" t="s">
        <v>78</v>
      </c>
      <c r="B10">
        <v>1.0369999999999999</v>
      </c>
      <c r="C10" t="s">
        <v>79</v>
      </c>
      <c r="G10" s="25"/>
    </row>
    <row r="11" spans="1:12" x14ac:dyDescent="0.25">
      <c r="G11" s="23"/>
      <c r="J11" s="27"/>
    </row>
    <row r="12" spans="1:12" x14ac:dyDescent="0.25">
      <c r="A12" t="s">
        <v>80</v>
      </c>
      <c r="B12">
        <v>2.9289999999999998</v>
      </c>
      <c r="C12" t="s">
        <v>66</v>
      </c>
      <c r="G12" s="24"/>
    </row>
    <row r="13" spans="1:12" ht="15.75" thickBot="1" x14ac:dyDescent="0.3">
      <c r="A13" s="17"/>
      <c r="B13" s="17"/>
      <c r="C13" s="17"/>
      <c r="D13" s="17"/>
      <c r="E13" s="17"/>
      <c r="F13" s="17" t="s">
        <v>48</v>
      </c>
    </row>
    <row r="14" spans="1:12" ht="15.75" thickBot="1" x14ac:dyDescent="0.3">
      <c r="A14" s="142" t="s">
        <v>55</v>
      </c>
      <c r="B14" s="143"/>
      <c r="C14" s="144"/>
    </row>
    <row r="15" spans="1:12" ht="15.75" thickBot="1" x14ac:dyDescent="0.3">
      <c r="A15" s="55" t="s">
        <v>81</v>
      </c>
      <c r="B15">
        <v>32</v>
      </c>
      <c r="C15" s="50">
        <v>71</v>
      </c>
      <c r="E15" s="145" t="s">
        <v>59</v>
      </c>
      <c r="F15" s="146"/>
      <c r="G15" s="146"/>
      <c r="H15" s="147"/>
      <c r="J15" s="54" t="s">
        <v>82</v>
      </c>
    </row>
    <row r="16" spans="1:12" ht="15.75" thickBot="1" x14ac:dyDescent="0.3">
      <c r="A16" s="56" t="s">
        <v>83</v>
      </c>
      <c r="B16" s="46">
        <v>14</v>
      </c>
      <c r="C16" s="51">
        <v>41</v>
      </c>
      <c r="E16" s="58"/>
      <c r="F16" s="61" t="s">
        <v>61</v>
      </c>
      <c r="G16" s="62" t="s">
        <v>62</v>
      </c>
      <c r="H16" s="63" t="s">
        <v>63</v>
      </c>
      <c r="J16" s="55"/>
    </row>
    <row r="17" spans="1:13" ht="15.75" thickBot="1" x14ac:dyDescent="0.3">
      <c r="E17" s="59" t="s">
        <v>67</v>
      </c>
      <c r="F17">
        <v>110</v>
      </c>
      <c r="G17">
        <v>70</v>
      </c>
      <c r="H17" s="50">
        <v>17</v>
      </c>
      <c r="J17" s="67" t="s">
        <v>84</v>
      </c>
      <c r="K17" s="57">
        <v>0.625</v>
      </c>
    </row>
    <row r="18" spans="1:13" x14ac:dyDescent="0.25">
      <c r="A18" s="54" t="s">
        <v>85</v>
      </c>
      <c r="B18" s="44">
        <f>(((((F19/25.4*G19/100+H19/2)*2)*PI())*25.4)/PI())/1000</f>
        <v>0.6117999999999999</v>
      </c>
      <c r="E18" s="59"/>
      <c r="H18" s="50"/>
    </row>
    <row r="19" spans="1:13" ht="15.75" thickBot="1" x14ac:dyDescent="0.3">
      <c r="A19" s="56" t="s">
        <v>86</v>
      </c>
      <c r="B19" s="51">
        <v>10000</v>
      </c>
      <c r="E19" s="60" t="s">
        <v>71</v>
      </c>
      <c r="F19" s="46">
        <v>150</v>
      </c>
      <c r="G19" s="46">
        <v>60</v>
      </c>
      <c r="H19" s="51">
        <v>17</v>
      </c>
    </row>
    <row r="20" spans="1:13" ht="15.75" thickBot="1" x14ac:dyDescent="0.3"/>
    <row r="21" spans="1:13" ht="15.75" thickBot="1" x14ac:dyDescent="0.3">
      <c r="A21" s="88" t="s">
        <v>87</v>
      </c>
      <c r="B21" s="52"/>
      <c r="C21" s="52"/>
      <c r="D21" s="52" t="s">
        <v>88</v>
      </c>
      <c r="E21" s="52" t="s">
        <v>89</v>
      </c>
      <c r="F21" s="53" t="s">
        <v>90</v>
      </c>
      <c r="H21" s="49" t="s">
        <v>91</v>
      </c>
    </row>
    <row r="22" spans="1:13" ht="15.75" thickBot="1" x14ac:dyDescent="0.3">
      <c r="A22" s="89" t="s">
        <v>65</v>
      </c>
      <c r="B22">
        <v>14</v>
      </c>
      <c r="C22">
        <v>41</v>
      </c>
      <c r="D22" s="87">
        <f>((B19*60*(B22/C22)*B18*PI()*(B15/C15)/1000)*(B16/C16))</f>
        <v>60.602506001512658</v>
      </c>
      <c r="E22" s="91">
        <f>B19*(B22/C22)*(C23/B23)</f>
        <v>7018.9701897018967</v>
      </c>
      <c r="F22" s="93">
        <f>B19-E22</f>
        <v>2981.0298102981033</v>
      </c>
      <c r="H22" s="64" t="s">
        <v>92</v>
      </c>
      <c r="I22" s="65" t="s">
        <v>93</v>
      </c>
      <c r="J22" s="65" t="s">
        <v>94</v>
      </c>
      <c r="K22" s="65" t="s">
        <v>95</v>
      </c>
      <c r="L22" s="65" t="s">
        <v>96</v>
      </c>
      <c r="M22" s="66" t="s">
        <v>97</v>
      </c>
    </row>
    <row r="23" spans="1:13" ht="15.75" thickBot="1" x14ac:dyDescent="0.3">
      <c r="A23" s="89" t="s">
        <v>69</v>
      </c>
      <c r="B23">
        <v>18</v>
      </c>
      <c r="C23">
        <v>37</v>
      </c>
      <c r="D23" s="87">
        <f>((B19*60*(B23/C23)*B18*PI()*(B15/C15)/1000)*(B16/C16))</f>
        <v>86.341022063931163</v>
      </c>
      <c r="E23" s="91">
        <f>B19*(B23/C23)*(C24/B24)</f>
        <v>7876.4478764478772</v>
      </c>
      <c r="F23" s="93">
        <f>B19-E23</f>
        <v>2123.5521235521228</v>
      </c>
      <c r="H23" s="45">
        <v>0.625</v>
      </c>
      <c r="I23" s="46">
        <v>19</v>
      </c>
      <c r="J23" s="46">
        <v>49</v>
      </c>
      <c r="K23" s="46">
        <v>132</v>
      </c>
      <c r="L23" s="47">
        <v>8.6360000000000006E-2</v>
      </c>
      <c r="M23" s="48">
        <v>541</v>
      </c>
    </row>
    <row r="24" spans="1:13" x14ac:dyDescent="0.25">
      <c r="A24" s="89" t="s">
        <v>72</v>
      </c>
      <c r="B24">
        <v>21</v>
      </c>
      <c r="C24">
        <v>34</v>
      </c>
      <c r="D24" s="87">
        <f>((B19*60*(B24/C24)*B18*PI()*(B15/C15)/1000)*(B16/C16))</f>
        <v>109.61923879685376</v>
      </c>
      <c r="E24" s="91">
        <f>B19*(B24/C24)*(C25/B25)</f>
        <v>8235.2941176470595</v>
      </c>
      <c r="F24" s="93">
        <f>B19-E24</f>
        <v>1764.7058823529405</v>
      </c>
    </row>
    <row r="25" spans="1:13" x14ac:dyDescent="0.25">
      <c r="A25" s="89" t="s">
        <v>74</v>
      </c>
      <c r="B25">
        <v>24</v>
      </c>
      <c r="C25">
        <v>32</v>
      </c>
      <c r="D25" s="87">
        <f>((B19*60*(B25/C25)*B18*PI()*(B15/C15)/1000)*(B16/C16))</f>
        <v>133.10907568189384</v>
      </c>
      <c r="E25" s="91">
        <f>B19*(B25/C25)*(C26/B26)</f>
        <v>8653.8461538461524</v>
      </c>
      <c r="F25" s="93">
        <f>B19-E25</f>
        <v>1346.1538461538476</v>
      </c>
    </row>
    <row r="26" spans="1:13" x14ac:dyDescent="0.25">
      <c r="A26" s="89" t="s">
        <v>76</v>
      </c>
      <c r="B26">
        <v>26</v>
      </c>
      <c r="C26">
        <v>30</v>
      </c>
      <c r="D26" s="87">
        <f>((B19*60*(B26/C26)*B18*PI()*(B15/C15)/1000)*(B16/C16))</f>
        <v>153.81493189907735</v>
      </c>
      <c r="E26" s="91">
        <f>B19*(B26/C26)*(C27/B27)</f>
        <v>8987.6543209876527</v>
      </c>
      <c r="F26" s="93">
        <f>B19-E26</f>
        <v>1012.3456790123473</v>
      </c>
    </row>
    <row r="27" spans="1:13" ht="15.75" thickBot="1" x14ac:dyDescent="0.3">
      <c r="A27" s="90" t="s">
        <v>78</v>
      </c>
      <c r="B27" s="46">
        <v>27</v>
      </c>
      <c r="C27" s="46">
        <v>28</v>
      </c>
      <c r="D27" s="68">
        <f>((B19*60*(B27/C27)*B18*PI()*(B15/C15)/1000)*(B16/C16))</f>
        <v>171.14024016243499</v>
      </c>
      <c r="E27" s="92"/>
      <c r="F27" s="94"/>
    </row>
    <row r="29" spans="1:13" x14ac:dyDescent="0.25">
      <c r="A29" s="26" t="s">
        <v>98</v>
      </c>
    </row>
  </sheetData>
  <mergeCells count="5">
    <mergeCell ref="A1:C1"/>
    <mergeCell ref="A2:C2"/>
    <mergeCell ref="E3:H3"/>
    <mergeCell ref="A14:C14"/>
    <mergeCell ref="E15:H1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2B4C4-C9FE-4860-AAD1-52CE4A0C2665}">
  <dimension ref="A1"/>
  <sheetViews>
    <sheetView zoomScaleNormal="100" workbookViewId="0">
      <selection activeCell="R26" sqref="R2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97CBC-252D-4513-81BC-668FE683B053}">
  <dimension ref="B1:W24"/>
  <sheetViews>
    <sheetView zoomScaleNormal="100" workbookViewId="0">
      <selection activeCell="I31" sqref="I31"/>
    </sheetView>
  </sheetViews>
  <sheetFormatPr defaultRowHeight="15" x14ac:dyDescent="0.25"/>
  <cols>
    <col min="3" max="3" width="10" bestFit="1" customWidth="1"/>
    <col min="4" max="4" width="11.28515625" bestFit="1" customWidth="1"/>
    <col min="5" max="5" width="11.140625" bestFit="1" customWidth="1"/>
    <col min="7" max="7" width="11.85546875" bestFit="1" customWidth="1"/>
    <col min="14" max="14" width="14.5703125" bestFit="1" customWidth="1"/>
  </cols>
  <sheetData>
    <row r="1" spans="2:23" ht="15.75" thickBot="1" x14ac:dyDescent="0.3"/>
    <row r="2" spans="2:23" ht="15.75" thickBot="1" x14ac:dyDescent="0.3">
      <c r="G2" s="67" t="s">
        <v>99</v>
      </c>
      <c r="H2" s="82" t="s">
        <v>100</v>
      </c>
      <c r="N2" s="67" t="s">
        <v>101</v>
      </c>
      <c r="O2" s="82" t="s">
        <v>102</v>
      </c>
      <c r="W2" t="s">
        <v>103</v>
      </c>
    </row>
    <row r="3" spans="2:23" x14ac:dyDescent="0.25">
      <c r="B3" s="97" t="s">
        <v>86</v>
      </c>
      <c r="C3" s="98" t="s">
        <v>104</v>
      </c>
      <c r="D3" s="98" t="s">
        <v>105</v>
      </c>
      <c r="E3" s="125" t="s">
        <v>106</v>
      </c>
      <c r="G3" s="69" t="s">
        <v>107</v>
      </c>
      <c r="H3" s="70" t="s">
        <v>108</v>
      </c>
      <c r="I3" s="70" t="s">
        <v>109</v>
      </c>
      <c r="J3" s="70" t="s">
        <v>110</v>
      </c>
      <c r="K3" s="70" t="s">
        <v>111</v>
      </c>
      <c r="L3" s="44" t="s">
        <v>112</v>
      </c>
      <c r="N3" s="71" t="s">
        <v>113</v>
      </c>
      <c r="O3" t="s">
        <v>114</v>
      </c>
      <c r="P3" s="70" t="s">
        <v>115</v>
      </c>
      <c r="Q3" s="70" t="s">
        <v>116</v>
      </c>
      <c r="R3" s="70" t="s">
        <v>117</v>
      </c>
      <c r="S3" s="44" t="s">
        <v>118</v>
      </c>
      <c r="W3">
        <v>16</v>
      </c>
    </row>
    <row r="4" spans="2:23" x14ac:dyDescent="0.25">
      <c r="B4" s="71">
        <v>3000</v>
      </c>
      <c r="C4" s="123">
        <v>10</v>
      </c>
      <c r="D4" s="124">
        <f>W3*1.35581795</f>
        <v>21.693087200000001</v>
      </c>
      <c r="E4" s="72">
        <f>C4*0.7457</f>
        <v>7.4570000000000007</v>
      </c>
      <c r="G4" s="74">
        <f>((B4*60*('Gearing Calculator'!B$22/'Gearing Calculator'!C$22)*'Gearing Calculator'!B$18*PI()*('Gearing Calculator'!B$15/'Gearing Calculator'!C$15)/1000)*('Gearing Calculator'!B$16/'Gearing Calculator'!C$16))</f>
        <v>18.180751800453795</v>
      </c>
      <c r="H4" s="1">
        <f>((B4*60*('Gearing Calculator'!B$23/'Gearing Calculator'!C$23)*'Gearing Calculator'!B$18*PI()*('Gearing Calculator'!B$15/'Gearing Calculator'!C$15)/1000)*('Gearing Calculator'!B$16/'Gearing Calculator'!C$16))</f>
        <v>25.902306619179353</v>
      </c>
      <c r="I4" s="1">
        <f>((B4*60*('Gearing Calculator'!B$24/'Gearing Calculator'!C$24)*'Gearing Calculator'!B$18*PI()*('Gearing Calculator'!B$15/'Gearing Calculator'!C$15)/1000)*('Gearing Calculator'!B$16/'Gearing Calculator'!C$16))</f>
        <v>32.885771639056131</v>
      </c>
      <c r="J4" s="1">
        <f>((B4*60*('Gearing Calculator'!B$25/'Gearing Calculator'!C$25)*'Gearing Calculator'!B$18*PI()*('Gearing Calculator'!B$15/'Gearing Calculator'!C$15)/1000)*('Gearing Calculator'!B$16/'Gearing Calculator'!C$16))</f>
        <v>39.932722704568157</v>
      </c>
      <c r="K4" s="1">
        <f>((B4*60*('Gearing Calculator'!B$26/'Gearing Calculator'!C$26)*'Gearing Calculator'!B$18*PI()*('Gearing Calculator'!B$15/'Gearing Calculator'!C$15)/1000)*('Gearing Calculator'!B$16/'Gearing Calculator'!C$16))</f>
        <v>46.14447956972321</v>
      </c>
      <c r="L4" s="72">
        <f>((B4*60*('Gearing Calculator'!B$27/'Gearing Calculator'!C$27)*'Gearing Calculator'!B$18*PI()*('Gearing Calculator'!B$15/'Gearing Calculator'!C$15)/1000)*('Gearing Calculator'!B$16/'Gearing Calculator'!C$16))</f>
        <v>51.342072048730493</v>
      </c>
      <c r="N4" s="76">
        <f>($E4*1000)/(G4*(1000/3600))</f>
        <v>1476.5726024228516</v>
      </c>
      <c r="O4" s="77">
        <f t="shared" ref="O4:S4" si="0">($E4*1000)/(H4*(1000/3600))</f>
        <v>1036.4019079336542</v>
      </c>
      <c r="P4" s="77">
        <f t="shared" si="0"/>
        <v>816.31656068905613</v>
      </c>
      <c r="Q4" s="77">
        <f t="shared" si="0"/>
        <v>672.26069703804615</v>
      </c>
      <c r="R4" s="77">
        <f t="shared" si="0"/>
        <v>581.76406474446298</v>
      </c>
      <c r="S4" s="78">
        <f t="shared" si="0"/>
        <v>522.8694310295914</v>
      </c>
      <c r="W4">
        <v>15.5</v>
      </c>
    </row>
    <row r="5" spans="2:23" x14ac:dyDescent="0.25">
      <c r="B5" s="71">
        <v>3500</v>
      </c>
      <c r="C5" s="123">
        <v>12</v>
      </c>
      <c r="D5" s="124">
        <f t="shared" ref="D5:D22" si="1">W4*1.35581795</f>
        <v>21.015178225</v>
      </c>
      <c r="E5" s="72">
        <f t="shared" ref="E5:E22" si="2">C5*0.7457</f>
        <v>8.9483999999999995</v>
      </c>
      <c r="G5" s="74">
        <f>((B5*60*('Gearing Calculator'!B$22/'Gearing Calculator'!C$22)*'Gearing Calculator'!B$18*PI()*('Gearing Calculator'!B$15/'Gearing Calculator'!C$15)/1000)*('Gearing Calculator'!B$16/'Gearing Calculator'!C$16))</f>
        <v>21.210877100529434</v>
      </c>
      <c r="H5" s="1">
        <f>((B5*60*('Gearing Calculator'!B$23/'Gearing Calculator'!C$23)*'Gearing Calculator'!B$18*PI()*('Gearing Calculator'!B$15/'Gearing Calculator'!C$15)/1000)*('Gearing Calculator'!B$16/'Gearing Calculator'!C$16))</f>
        <v>30.219357722375907</v>
      </c>
      <c r="I5" s="1">
        <f>((B5*60*('Gearing Calculator'!B$24/'Gearing Calculator'!C$24)*'Gearing Calculator'!B$18*PI()*('Gearing Calculator'!B$15/'Gearing Calculator'!C$15)/1000)*('Gearing Calculator'!B$16/'Gearing Calculator'!C$16))</f>
        <v>38.366733578898817</v>
      </c>
      <c r="J5" s="1">
        <f>((B5*60*('Gearing Calculator'!B$25/'Gearing Calculator'!C$25)*'Gearing Calculator'!B$18*PI()*('Gearing Calculator'!B$15/'Gearing Calculator'!C$15)/1000)*('Gearing Calculator'!B$16/'Gearing Calculator'!C$16))</f>
        <v>46.588176488662853</v>
      </c>
      <c r="K5" s="1">
        <f>((B5*60*('Gearing Calculator'!B$26/'Gearing Calculator'!C$26)*'Gearing Calculator'!B$18*PI()*('Gearing Calculator'!B$15/'Gearing Calculator'!C$15)/1000)*('Gearing Calculator'!B$16/'Gearing Calculator'!C$16))</f>
        <v>53.835226164677067</v>
      </c>
      <c r="L5" s="72">
        <f>((B5*60*('Gearing Calculator'!B$27/'Gearing Calculator'!C$27)*'Gearing Calculator'!B$18*PI()*('Gearing Calculator'!B$15/'Gearing Calculator'!C$15)/1000)*('Gearing Calculator'!B$16/'Gearing Calculator'!C$16))</f>
        <v>59.899084056852246</v>
      </c>
      <c r="N5" s="76">
        <f t="shared" ref="N5:N22" si="3">($E5*1000)/(G5*(1000/3600))</f>
        <v>1518.7603910635037</v>
      </c>
      <c r="O5" s="77">
        <f t="shared" ref="O5:O22" si="4">($E5*1000)/(H5*(1000/3600))</f>
        <v>1066.0133910174729</v>
      </c>
      <c r="P5" s="77">
        <f t="shared" ref="P5:P22" si="5">($E5*1000)/(I5*(1000/3600))</f>
        <v>839.63989099445769</v>
      </c>
      <c r="Q5" s="77">
        <f t="shared" ref="Q5:Q22" si="6">($E5*1000)/(J5*(1000/3600))</f>
        <v>691.46814552484727</v>
      </c>
      <c r="R5" s="77">
        <f t="shared" ref="R5:R22" si="7">($E5*1000)/(K5*(1000/3600))</f>
        <v>598.38589516573336</v>
      </c>
      <c r="S5" s="78">
        <f t="shared" ref="S5:S22" si="8">($E5*1000)/(L5*(1000/3600))</f>
        <v>537.80855763043667</v>
      </c>
      <c r="W5">
        <v>16.5</v>
      </c>
    </row>
    <row r="6" spans="2:23" x14ac:dyDescent="0.25">
      <c r="B6" s="71">
        <v>4000</v>
      </c>
      <c r="C6" s="123">
        <v>13</v>
      </c>
      <c r="D6" s="124">
        <f t="shared" si="1"/>
        <v>22.370996175000002</v>
      </c>
      <c r="E6" s="72">
        <f t="shared" si="2"/>
        <v>9.6941000000000006</v>
      </c>
      <c r="G6" s="74">
        <f>((B6*60*('Gearing Calculator'!B$22/'Gearing Calculator'!C$22)*'Gearing Calculator'!B$18*PI()*('Gearing Calculator'!B$15/'Gearing Calculator'!C$15)/1000)*('Gearing Calculator'!B$16/'Gearing Calculator'!C$16))</f>
        <v>24.241002400605058</v>
      </c>
      <c r="H6" s="1">
        <f>((B6*60*('Gearing Calculator'!B$23/'Gearing Calculator'!C$23)*'Gearing Calculator'!B$18*PI()*('Gearing Calculator'!B$15/'Gearing Calculator'!C$15)/1000)*('Gearing Calculator'!B$16/'Gearing Calculator'!C$16))</f>
        <v>34.536408825572458</v>
      </c>
      <c r="I6" s="1">
        <f>((B6*60*('Gearing Calculator'!B$24/'Gearing Calculator'!C$24)*'Gearing Calculator'!B$18*PI()*('Gearing Calculator'!B$15/'Gearing Calculator'!C$15)/1000)*('Gearing Calculator'!B$16/'Gearing Calculator'!C$16))</f>
        <v>43.847695518741503</v>
      </c>
      <c r="J6" s="1">
        <f>((B6*60*('Gearing Calculator'!B$25/'Gearing Calculator'!C$25)*'Gearing Calculator'!B$18*PI()*('Gearing Calculator'!B$15/'Gearing Calculator'!C$15)/1000)*('Gearing Calculator'!B$16/'Gearing Calculator'!C$16))</f>
        <v>53.243630272757542</v>
      </c>
      <c r="K6" s="1">
        <f>((B6*60*('Gearing Calculator'!B$26/'Gearing Calculator'!C$26)*'Gearing Calculator'!B$18*PI()*('Gearing Calculator'!B$15/'Gearing Calculator'!C$15)/1000)*('Gearing Calculator'!B$16/'Gearing Calculator'!C$16))</f>
        <v>61.525972759630939</v>
      </c>
      <c r="L6" s="72">
        <f>((B6*60*('Gearing Calculator'!B$27/'Gearing Calculator'!C$27)*'Gearing Calculator'!B$18*PI()*('Gearing Calculator'!B$15/'Gearing Calculator'!C$15)/1000)*('Gearing Calculator'!B$16/'Gearing Calculator'!C$16))</f>
        <v>68.456096064973991</v>
      </c>
      <c r="N6" s="76">
        <f t="shared" si="3"/>
        <v>1439.6582873622801</v>
      </c>
      <c r="O6" s="77">
        <f t="shared" si="4"/>
        <v>1010.4918602353131</v>
      </c>
      <c r="P6" s="77">
        <f t="shared" si="5"/>
        <v>795.90864667182962</v>
      </c>
      <c r="Q6" s="77">
        <f t="shared" si="6"/>
        <v>655.454179612095</v>
      </c>
      <c r="R6" s="77">
        <f t="shared" si="7"/>
        <v>567.21996312585145</v>
      </c>
      <c r="S6" s="78">
        <f t="shared" si="8"/>
        <v>509.7976952538516</v>
      </c>
      <c r="W6">
        <v>19</v>
      </c>
    </row>
    <row r="7" spans="2:23" x14ac:dyDescent="0.25">
      <c r="B7" s="71">
        <v>4500</v>
      </c>
      <c r="C7" s="123">
        <v>17</v>
      </c>
      <c r="D7" s="124">
        <f t="shared" si="1"/>
        <v>25.76054105</v>
      </c>
      <c r="E7" s="72">
        <f t="shared" si="2"/>
        <v>12.6769</v>
      </c>
      <c r="G7" s="74">
        <f>((B7*60*('Gearing Calculator'!B$22/'Gearing Calculator'!C$22)*'Gearing Calculator'!B$18*PI()*('Gearing Calculator'!B$15/'Gearing Calculator'!C$15)/1000)*('Gearing Calculator'!B$16/'Gearing Calculator'!C$16))</f>
        <v>27.271127700680701</v>
      </c>
      <c r="H7" s="1">
        <f>((B7*60*('Gearing Calculator'!B$23/'Gearing Calculator'!C$23)*'Gearing Calculator'!B$18*PI()*('Gearing Calculator'!B$15/'Gearing Calculator'!C$15)/1000)*('Gearing Calculator'!B$16/'Gearing Calculator'!C$16))</f>
        <v>38.85345992876902</v>
      </c>
      <c r="I7" s="1">
        <f>((B7*60*('Gearing Calculator'!B$24/'Gearing Calculator'!C$24)*'Gearing Calculator'!B$18*PI()*('Gearing Calculator'!B$15/'Gearing Calculator'!C$15)/1000)*('Gearing Calculator'!B$16/'Gearing Calculator'!C$16))</f>
        <v>49.328657458584196</v>
      </c>
      <c r="J7" s="1">
        <f>((B7*60*('Gearing Calculator'!B$25/'Gearing Calculator'!C$25)*'Gearing Calculator'!B$18*PI()*('Gearing Calculator'!B$15/'Gearing Calculator'!C$15)/1000)*('Gearing Calculator'!B$16/'Gearing Calculator'!C$16))</f>
        <v>59.899084056852246</v>
      </c>
      <c r="K7" s="1">
        <f>((B7*60*('Gearing Calculator'!B$26/'Gearing Calculator'!C$26)*'Gearing Calculator'!B$18*PI()*('Gearing Calculator'!B$15/'Gearing Calculator'!C$15)/1000)*('Gearing Calculator'!B$16/'Gearing Calculator'!C$16))</f>
        <v>69.216719354584811</v>
      </c>
      <c r="L7" s="72">
        <f>((B7*60*('Gearing Calculator'!B$27/'Gearing Calculator'!C$27)*'Gearing Calculator'!B$18*PI()*('Gearing Calculator'!B$15/'Gearing Calculator'!C$15)/1000)*('Gearing Calculator'!B$16/'Gearing Calculator'!C$16))</f>
        <v>77.013108073095736</v>
      </c>
      <c r="N7" s="76">
        <f t="shared" si="3"/>
        <v>1673.4489494125642</v>
      </c>
      <c r="O7" s="77">
        <f t="shared" si="4"/>
        <v>1174.5888289914749</v>
      </c>
      <c r="P7" s="77">
        <f t="shared" si="5"/>
        <v>925.15876878093002</v>
      </c>
      <c r="Q7" s="77">
        <f t="shared" si="6"/>
        <v>761.89545664311868</v>
      </c>
      <c r="R7" s="77">
        <f t="shared" si="7"/>
        <v>659.33260671039136</v>
      </c>
      <c r="S7" s="78">
        <f t="shared" si="8"/>
        <v>592.58535516687027</v>
      </c>
      <c r="W7">
        <v>22</v>
      </c>
    </row>
    <row r="8" spans="2:23" x14ac:dyDescent="0.25">
      <c r="B8" s="71">
        <v>5000</v>
      </c>
      <c r="C8" s="123">
        <v>20</v>
      </c>
      <c r="D8" s="124">
        <f t="shared" si="1"/>
        <v>29.8279949</v>
      </c>
      <c r="E8" s="72">
        <f t="shared" si="2"/>
        <v>14.914000000000001</v>
      </c>
      <c r="G8" s="74">
        <f>((B8*60*('Gearing Calculator'!B$22/'Gearing Calculator'!C$22)*'Gearing Calculator'!B$18*PI()*('Gearing Calculator'!B$15/'Gearing Calculator'!C$15)/1000)*('Gearing Calculator'!B$16/'Gearing Calculator'!C$16))</f>
        <v>30.301253000756329</v>
      </c>
      <c r="H8" s="1">
        <f>((B8*60*('Gearing Calculator'!B$23/'Gearing Calculator'!C$23)*'Gearing Calculator'!B$18*PI()*('Gearing Calculator'!B$15/'Gearing Calculator'!C$15)/1000)*('Gearing Calculator'!B$16/'Gearing Calculator'!C$16))</f>
        <v>43.170511031965582</v>
      </c>
      <c r="I8" s="1">
        <f>((B8*60*('Gearing Calculator'!B$24/'Gearing Calculator'!C$24)*'Gearing Calculator'!B$18*PI()*('Gearing Calculator'!B$15/'Gearing Calculator'!C$15)/1000)*('Gearing Calculator'!B$16/'Gearing Calculator'!C$16))</f>
        <v>54.809619398426882</v>
      </c>
      <c r="J8" s="1">
        <f>((B8*60*('Gearing Calculator'!B$25/'Gearing Calculator'!C$25)*'Gearing Calculator'!B$18*PI()*('Gearing Calculator'!B$15/'Gearing Calculator'!C$15)/1000)*('Gearing Calculator'!B$16/'Gearing Calculator'!C$16))</f>
        <v>66.554537840946921</v>
      </c>
      <c r="K8" s="1">
        <f>((B8*60*('Gearing Calculator'!B$26/'Gearing Calculator'!C$26)*'Gearing Calculator'!B$18*PI()*('Gearing Calculator'!B$15/'Gearing Calculator'!C$15)/1000)*('Gearing Calculator'!B$16/'Gearing Calculator'!C$16))</f>
        <v>76.907465949538675</v>
      </c>
      <c r="L8" s="72">
        <f>((B8*60*('Gearing Calculator'!B$27/'Gearing Calculator'!C$27)*'Gearing Calculator'!B$18*PI()*('Gearing Calculator'!B$15/'Gearing Calculator'!C$15)/1000)*('Gearing Calculator'!B$16/'Gearing Calculator'!C$16))</f>
        <v>85.570120081217496</v>
      </c>
      <c r="N8" s="76">
        <f t="shared" si="3"/>
        <v>1771.8871229074214</v>
      </c>
      <c r="O8" s="77">
        <f t="shared" si="4"/>
        <v>1243.6822895203852</v>
      </c>
      <c r="P8" s="77">
        <f t="shared" si="5"/>
        <v>979.57987282686724</v>
      </c>
      <c r="Q8" s="77">
        <f t="shared" si="6"/>
        <v>806.71283644565551</v>
      </c>
      <c r="R8" s="77">
        <f t="shared" si="7"/>
        <v>698.11687769335572</v>
      </c>
      <c r="S8" s="78">
        <f t="shared" si="8"/>
        <v>627.44331723550965</v>
      </c>
      <c r="W8">
        <v>21.5</v>
      </c>
    </row>
    <row r="9" spans="2:23" x14ac:dyDescent="0.25">
      <c r="B9" s="71">
        <v>5500</v>
      </c>
      <c r="C9" s="123">
        <v>22</v>
      </c>
      <c r="D9" s="124">
        <f t="shared" si="1"/>
        <v>29.150085925000003</v>
      </c>
      <c r="E9" s="72">
        <f t="shared" si="2"/>
        <v>16.4054</v>
      </c>
      <c r="G9" s="74">
        <f>((B9*60*('Gearing Calculator'!B$22/'Gearing Calculator'!C$22)*'Gearing Calculator'!B$18*PI()*('Gearing Calculator'!B$15/'Gearing Calculator'!C$15)/1000)*('Gearing Calculator'!B$16/'Gearing Calculator'!C$16))</f>
        <v>33.331378300831965</v>
      </c>
      <c r="H9" s="1">
        <f>((B9*60*('Gearing Calculator'!B$23/'Gearing Calculator'!C$23)*'Gearing Calculator'!B$18*PI()*('Gearing Calculator'!B$15/'Gearing Calculator'!C$15)/1000)*('Gearing Calculator'!B$16/'Gearing Calculator'!C$16))</f>
        <v>47.487562135162129</v>
      </c>
      <c r="I9" s="1">
        <f>((B9*60*('Gearing Calculator'!B$24/'Gearing Calculator'!C$24)*'Gearing Calculator'!B$18*PI()*('Gearing Calculator'!B$15/'Gearing Calculator'!C$15)/1000)*('Gearing Calculator'!B$16/'Gearing Calculator'!C$16))</f>
        <v>60.290581338269568</v>
      </c>
      <c r="J9" s="1">
        <f>((B9*60*('Gearing Calculator'!B$25/'Gearing Calculator'!C$25)*'Gearing Calculator'!B$18*PI()*('Gearing Calculator'!B$15/'Gearing Calculator'!C$15)/1000)*('Gearing Calculator'!B$16/'Gearing Calculator'!C$16))</f>
        <v>73.209991625041624</v>
      </c>
      <c r="K9" s="1">
        <f>((B9*60*('Gearing Calculator'!B$26/'Gearing Calculator'!C$26)*'Gearing Calculator'!B$18*PI()*('Gearing Calculator'!B$15/'Gearing Calculator'!C$15)/1000)*('Gearing Calculator'!B$16/'Gearing Calculator'!C$16))</f>
        <v>84.59821254449254</v>
      </c>
      <c r="L9" s="72">
        <f>((B9*60*('Gearing Calculator'!B$27/'Gearing Calculator'!C$27)*'Gearing Calculator'!B$18*PI()*('Gearing Calculator'!B$15/'Gearing Calculator'!C$15)/1000)*('Gearing Calculator'!B$16/'Gearing Calculator'!C$16))</f>
        <v>94.127132089339241</v>
      </c>
      <c r="N9" s="76">
        <f t="shared" si="3"/>
        <v>1771.8871229074211</v>
      </c>
      <c r="O9" s="77">
        <f t="shared" si="4"/>
        <v>1243.6822895203854</v>
      </c>
      <c r="P9" s="77">
        <f t="shared" si="5"/>
        <v>979.57987282686724</v>
      </c>
      <c r="Q9" s="77">
        <f t="shared" si="6"/>
        <v>806.7128364456554</v>
      </c>
      <c r="R9" s="77">
        <f t="shared" si="7"/>
        <v>698.1168776933556</v>
      </c>
      <c r="S9" s="78">
        <f t="shared" si="8"/>
        <v>627.44331723550965</v>
      </c>
      <c r="W9">
        <v>21</v>
      </c>
    </row>
    <row r="10" spans="2:23" x14ac:dyDescent="0.25">
      <c r="B10" s="71">
        <v>6000</v>
      </c>
      <c r="C10" s="123">
        <v>24</v>
      </c>
      <c r="D10" s="124">
        <f t="shared" si="1"/>
        <v>28.472176950000001</v>
      </c>
      <c r="E10" s="72">
        <f t="shared" si="2"/>
        <v>17.896799999999999</v>
      </c>
      <c r="G10" s="74">
        <f>((B10*60*('Gearing Calculator'!B$22/'Gearing Calculator'!C$22)*'Gearing Calculator'!B$18*PI()*('Gearing Calculator'!B$15/'Gearing Calculator'!C$15)/1000)*('Gearing Calculator'!B$16/'Gearing Calculator'!C$16))</f>
        <v>36.361503600907589</v>
      </c>
      <c r="H10" s="1">
        <f>((B10*60*('Gearing Calculator'!B$23/'Gearing Calculator'!C$23)*'Gearing Calculator'!B$18*PI()*('Gearing Calculator'!B$15/'Gearing Calculator'!C$15)/1000)*('Gearing Calculator'!B$16/'Gearing Calculator'!C$16))</f>
        <v>51.804613238358705</v>
      </c>
      <c r="I10" s="1">
        <f>((B10*60*('Gearing Calculator'!B$24/'Gearing Calculator'!C$24)*'Gearing Calculator'!B$18*PI()*('Gearing Calculator'!B$15/'Gearing Calculator'!C$15)/1000)*('Gearing Calculator'!B$16/'Gearing Calculator'!C$16))</f>
        <v>65.771543278112262</v>
      </c>
      <c r="J10" s="1">
        <f>((B10*60*('Gearing Calculator'!B$25/'Gearing Calculator'!C$25)*'Gearing Calculator'!B$18*PI()*('Gearing Calculator'!B$15/'Gearing Calculator'!C$15)/1000)*('Gearing Calculator'!B$16/'Gearing Calculator'!C$16))</f>
        <v>79.865445409136314</v>
      </c>
      <c r="K10" s="1">
        <f>((B10*60*('Gearing Calculator'!B$26/'Gearing Calculator'!C$26)*'Gearing Calculator'!B$18*PI()*('Gearing Calculator'!B$15/'Gearing Calculator'!C$15)/1000)*('Gearing Calculator'!B$16/'Gearing Calculator'!C$16))</f>
        <v>92.288959139446419</v>
      </c>
      <c r="L10" s="72">
        <f>((B10*60*('Gearing Calculator'!B$27/'Gearing Calculator'!C$27)*'Gearing Calculator'!B$18*PI()*('Gearing Calculator'!B$15/'Gearing Calculator'!C$15)/1000)*('Gearing Calculator'!B$16/'Gearing Calculator'!C$16))</f>
        <v>102.68414409746099</v>
      </c>
      <c r="N10" s="76">
        <f t="shared" si="3"/>
        <v>1771.8871229074216</v>
      </c>
      <c r="O10" s="77">
        <f t="shared" si="4"/>
        <v>1243.682289520385</v>
      </c>
      <c r="P10" s="77">
        <f t="shared" si="5"/>
        <v>979.57987282686713</v>
      </c>
      <c r="Q10" s="77">
        <f t="shared" si="6"/>
        <v>806.71283644565528</v>
      </c>
      <c r="R10" s="77">
        <f t="shared" si="7"/>
        <v>698.11687769335549</v>
      </c>
      <c r="S10" s="78">
        <f t="shared" si="8"/>
        <v>627.44331723550965</v>
      </c>
      <c r="W10">
        <v>22</v>
      </c>
    </row>
    <row r="11" spans="2:23" x14ac:dyDescent="0.25">
      <c r="B11" s="71">
        <v>6500</v>
      </c>
      <c r="C11" s="123">
        <v>26</v>
      </c>
      <c r="D11" s="124">
        <f t="shared" si="1"/>
        <v>29.8279949</v>
      </c>
      <c r="E11" s="72">
        <f t="shared" si="2"/>
        <v>19.388200000000001</v>
      </c>
      <c r="G11" s="74">
        <f>((B11*60*('Gearing Calculator'!B$22/'Gearing Calculator'!C$22)*'Gearing Calculator'!B$18*PI()*('Gearing Calculator'!B$15/'Gearing Calculator'!C$15)/1000)*('Gearing Calculator'!B$16/'Gearing Calculator'!C$16))</f>
        <v>39.391628900983228</v>
      </c>
      <c r="H11" s="1">
        <f>((B11*60*('Gearing Calculator'!B$23/'Gearing Calculator'!C$23)*'Gearing Calculator'!B$18*PI()*('Gearing Calculator'!B$15/'Gearing Calculator'!C$15)/1000)*('Gearing Calculator'!B$16/'Gearing Calculator'!C$16))</f>
        <v>56.12166434155526</v>
      </c>
      <c r="I11" s="1">
        <f>((B11*60*('Gearing Calculator'!B$24/'Gearing Calculator'!C$24)*'Gearing Calculator'!B$18*PI()*('Gearing Calculator'!B$15/'Gearing Calculator'!C$15)/1000)*('Gearing Calculator'!B$16/'Gearing Calculator'!C$16))</f>
        <v>71.252505217954948</v>
      </c>
      <c r="J11" s="1">
        <f>((B11*60*('Gearing Calculator'!B$25/'Gearing Calculator'!C$25)*'Gearing Calculator'!B$18*PI()*('Gearing Calculator'!B$15/'Gearing Calculator'!C$15)/1000)*('Gearing Calculator'!B$16/'Gearing Calculator'!C$16))</f>
        <v>86.520899193231003</v>
      </c>
      <c r="K11" s="1">
        <f>((B11*60*('Gearing Calculator'!B$26/'Gearing Calculator'!C$26)*'Gearing Calculator'!B$18*PI()*('Gearing Calculator'!B$15/'Gearing Calculator'!C$15)/1000)*('Gearing Calculator'!B$16/'Gearing Calculator'!C$16))</f>
        <v>99.97970573440027</v>
      </c>
      <c r="L11" s="72">
        <f>((B11*60*('Gearing Calculator'!B$27/'Gearing Calculator'!C$27)*'Gearing Calculator'!B$18*PI()*('Gearing Calculator'!B$15/'Gearing Calculator'!C$15)/1000)*('Gearing Calculator'!B$16/'Gearing Calculator'!C$16))</f>
        <v>111.24115610558275</v>
      </c>
      <c r="N11" s="76">
        <f t="shared" si="3"/>
        <v>1771.8871229074214</v>
      </c>
      <c r="O11" s="77">
        <f t="shared" si="4"/>
        <v>1243.682289520385</v>
      </c>
      <c r="P11" s="77">
        <f t="shared" si="5"/>
        <v>979.57987282686724</v>
      </c>
      <c r="Q11" s="77">
        <f t="shared" si="6"/>
        <v>806.7128364456554</v>
      </c>
      <c r="R11" s="77">
        <f t="shared" si="7"/>
        <v>698.1168776933556</v>
      </c>
      <c r="S11" s="78">
        <f t="shared" si="8"/>
        <v>627.44331723550954</v>
      </c>
      <c r="W11">
        <v>22.5</v>
      </c>
    </row>
    <row r="12" spans="2:23" x14ac:dyDescent="0.25">
      <c r="B12" s="71">
        <v>7000</v>
      </c>
      <c r="C12" s="123">
        <v>30</v>
      </c>
      <c r="D12" s="124">
        <f t="shared" si="1"/>
        <v>30.505903875000001</v>
      </c>
      <c r="E12" s="72">
        <f t="shared" si="2"/>
        <v>22.371000000000002</v>
      </c>
      <c r="G12" s="74">
        <f>((B12*60*('Gearing Calculator'!B$22/'Gearing Calculator'!C$22)*'Gearing Calculator'!B$18*PI()*('Gearing Calculator'!B$15/'Gearing Calculator'!C$15)/1000)*('Gearing Calculator'!B$16/'Gearing Calculator'!C$16))</f>
        <v>42.421754201058867</v>
      </c>
      <c r="H12" s="1">
        <f>((B12*60*('Gearing Calculator'!B$23/'Gearing Calculator'!C$23)*'Gearing Calculator'!B$18*PI()*('Gearing Calculator'!B$15/'Gearing Calculator'!C$15)/1000)*('Gearing Calculator'!B$16/'Gearing Calculator'!C$16))</f>
        <v>60.438715444751814</v>
      </c>
      <c r="I12" s="1">
        <f>((B12*60*('Gearing Calculator'!B$24/'Gearing Calculator'!C$24)*'Gearing Calculator'!B$18*PI()*('Gearing Calculator'!B$15/'Gearing Calculator'!C$15)/1000)*('Gearing Calculator'!B$16/'Gearing Calculator'!C$16))</f>
        <v>76.733467157797634</v>
      </c>
      <c r="J12" s="1">
        <f>((B12*60*('Gearing Calculator'!B$25/'Gearing Calculator'!C$25)*'Gearing Calculator'!B$18*PI()*('Gearing Calculator'!B$15/'Gearing Calculator'!C$15)/1000)*('Gearing Calculator'!B$16/'Gearing Calculator'!C$16))</f>
        <v>93.176352977325706</v>
      </c>
      <c r="K12" s="1">
        <f>((B12*60*('Gearing Calculator'!B$26/'Gearing Calculator'!C$26)*'Gearing Calculator'!B$18*PI()*('Gearing Calculator'!B$15/'Gearing Calculator'!C$15)/1000)*('Gearing Calculator'!B$16/'Gearing Calculator'!C$16))</f>
        <v>107.67045232935413</v>
      </c>
      <c r="L12" s="72">
        <f>((B12*60*('Gearing Calculator'!B$27/'Gearing Calculator'!C$27)*'Gearing Calculator'!B$18*PI()*('Gearing Calculator'!B$15/'Gearing Calculator'!C$15)/1000)*('Gearing Calculator'!B$16/'Gearing Calculator'!C$16))</f>
        <v>119.79816811370449</v>
      </c>
      <c r="N12" s="76">
        <f t="shared" si="3"/>
        <v>1898.45048882938</v>
      </c>
      <c r="O12" s="77">
        <f t="shared" si="4"/>
        <v>1332.5167387718413</v>
      </c>
      <c r="P12" s="77">
        <f t="shared" si="5"/>
        <v>1049.5498637430724</v>
      </c>
      <c r="Q12" s="77">
        <f t="shared" si="6"/>
        <v>864.33518190605935</v>
      </c>
      <c r="R12" s="77">
        <f t="shared" si="7"/>
        <v>747.98236895716684</v>
      </c>
      <c r="S12" s="78">
        <f t="shared" si="8"/>
        <v>672.26069703804603</v>
      </c>
      <c r="W12">
        <v>23</v>
      </c>
    </row>
    <row r="13" spans="2:23" x14ac:dyDescent="0.25">
      <c r="B13" s="71">
        <v>7500</v>
      </c>
      <c r="C13" s="123">
        <v>34</v>
      </c>
      <c r="D13" s="124">
        <f t="shared" si="1"/>
        <v>31.183812850000002</v>
      </c>
      <c r="E13" s="72">
        <f t="shared" si="2"/>
        <v>25.3538</v>
      </c>
      <c r="G13" s="74">
        <f>((B13*60*('Gearing Calculator'!B$22/'Gearing Calculator'!C$22)*'Gearing Calculator'!B$18*PI()*('Gearing Calculator'!B$15/'Gearing Calculator'!C$15)/1000)*('Gearing Calculator'!B$16/'Gearing Calculator'!C$16))</f>
        <v>45.451879501134485</v>
      </c>
      <c r="H13" s="1">
        <f>((B13*60*('Gearing Calculator'!B$23/'Gearing Calculator'!C$23)*'Gearing Calculator'!B$18*PI()*('Gearing Calculator'!B$15/'Gearing Calculator'!C$15)/1000)*('Gearing Calculator'!B$16/'Gearing Calculator'!C$16))</f>
        <v>64.755766547948369</v>
      </c>
      <c r="I13" s="1">
        <f>((B13*60*('Gearing Calculator'!B$24/'Gearing Calculator'!C$24)*'Gearing Calculator'!B$18*PI()*('Gearing Calculator'!B$15/'Gearing Calculator'!C$15)/1000)*('Gearing Calculator'!B$16/'Gearing Calculator'!C$16))</f>
        <v>82.214429097640348</v>
      </c>
      <c r="J13" s="1">
        <f>((B13*60*('Gearing Calculator'!B$25/'Gearing Calculator'!C$25)*'Gearing Calculator'!B$18*PI()*('Gearing Calculator'!B$15/'Gearing Calculator'!C$15)/1000)*('Gearing Calculator'!B$16/'Gearing Calculator'!C$16))</f>
        <v>99.83180676142041</v>
      </c>
      <c r="K13" s="1">
        <f>((B13*60*('Gearing Calculator'!B$26/'Gearing Calculator'!C$26)*'Gearing Calculator'!B$18*PI()*('Gearing Calculator'!B$15/'Gearing Calculator'!C$15)/1000)*('Gearing Calculator'!B$16/'Gearing Calculator'!C$16))</f>
        <v>115.361198924308</v>
      </c>
      <c r="L13" s="72">
        <f>((B13*60*('Gearing Calculator'!B$27/'Gearing Calculator'!C$27)*'Gearing Calculator'!B$18*PI()*('Gearing Calculator'!B$15/'Gearing Calculator'!C$15)/1000)*('Gearing Calculator'!B$16/'Gearing Calculator'!C$16))</f>
        <v>128.35518012182624</v>
      </c>
      <c r="N13" s="76">
        <f t="shared" si="3"/>
        <v>2008.1387392950778</v>
      </c>
      <c r="O13" s="77">
        <f t="shared" si="4"/>
        <v>1409.5065947897699</v>
      </c>
      <c r="P13" s="77">
        <f t="shared" si="5"/>
        <v>1110.1905225371156</v>
      </c>
      <c r="Q13" s="77">
        <f t="shared" si="6"/>
        <v>914.27454797174244</v>
      </c>
      <c r="R13" s="77">
        <f t="shared" si="7"/>
        <v>791.19912805246963</v>
      </c>
      <c r="S13" s="78">
        <f t="shared" si="8"/>
        <v>711.10242620024417</v>
      </c>
      <c r="W13">
        <v>25</v>
      </c>
    </row>
    <row r="14" spans="2:23" x14ac:dyDescent="0.25">
      <c r="B14" s="71">
        <v>8000</v>
      </c>
      <c r="C14" s="123">
        <v>36</v>
      </c>
      <c r="D14" s="124">
        <f t="shared" si="1"/>
        <v>33.89544875</v>
      </c>
      <c r="E14" s="72">
        <f t="shared" si="2"/>
        <v>26.845200000000002</v>
      </c>
      <c r="G14" s="74">
        <f>((B14*60*('Gearing Calculator'!B$22/'Gearing Calculator'!C$22)*'Gearing Calculator'!B$18*PI()*('Gearing Calculator'!B$15/'Gearing Calculator'!C$15)/1000)*('Gearing Calculator'!B$16/'Gearing Calculator'!C$16))</f>
        <v>48.482004801210117</v>
      </c>
      <c r="H14" s="1">
        <f>((B14*60*('Gearing Calculator'!B$23/'Gearing Calculator'!C$23)*'Gearing Calculator'!B$18*PI()*('Gearing Calculator'!B$15/'Gearing Calculator'!C$15)/1000)*('Gearing Calculator'!B$16/'Gearing Calculator'!C$16))</f>
        <v>69.072817651144916</v>
      </c>
      <c r="I14" s="1">
        <f>((B14*60*('Gearing Calculator'!B$24/'Gearing Calculator'!C$24)*'Gearing Calculator'!B$18*PI()*('Gearing Calculator'!B$15/'Gearing Calculator'!C$15)/1000)*('Gearing Calculator'!B$16/'Gearing Calculator'!C$16))</f>
        <v>87.695391037483006</v>
      </c>
      <c r="J14" s="1">
        <f>((B14*60*('Gearing Calculator'!B$25/'Gearing Calculator'!C$25)*'Gearing Calculator'!B$18*PI()*('Gearing Calculator'!B$15/'Gearing Calculator'!C$15)/1000)*('Gearing Calculator'!B$16/'Gearing Calculator'!C$16))</f>
        <v>106.48726054551508</v>
      </c>
      <c r="K14" s="1">
        <f>((B14*60*('Gearing Calculator'!B$26/'Gearing Calculator'!C$26)*'Gearing Calculator'!B$18*PI()*('Gearing Calculator'!B$15/'Gearing Calculator'!C$15)/1000)*('Gearing Calculator'!B$16/'Gearing Calculator'!C$16))</f>
        <v>123.05194551926188</v>
      </c>
      <c r="L14" s="72">
        <f>((B14*60*('Gearing Calculator'!B$27/'Gearing Calculator'!C$27)*'Gearing Calculator'!B$18*PI()*('Gearing Calculator'!B$15/'Gearing Calculator'!C$15)/1000)*('Gearing Calculator'!B$16/'Gearing Calculator'!C$16))</f>
        <v>136.91219212994798</v>
      </c>
      <c r="N14" s="76">
        <f t="shared" si="3"/>
        <v>1993.3730132708495</v>
      </c>
      <c r="O14" s="77">
        <f t="shared" si="4"/>
        <v>1399.1425757104334</v>
      </c>
      <c r="P14" s="77">
        <f t="shared" si="5"/>
        <v>1102.0273569302256</v>
      </c>
      <c r="Q14" s="77">
        <f t="shared" si="6"/>
        <v>907.55194100136225</v>
      </c>
      <c r="R14" s="77">
        <f t="shared" si="7"/>
        <v>785.38148740502504</v>
      </c>
      <c r="S14" s="78">
        <f t="shared" si="8"/>
        <v>705.87373188994832</v>
      </c>
      <c r="W14">
        <v>25</v>
      </c>
    </row>
    <row r="15" spans="2:23" x14ac:dyDescent="0.25">
      <c r="B15" s="71">
        <v>8500</v>
      </c>
      <c r="C15" s="123">
        <v>40</v>
      </c>
      <c r="D15" s="124">
        <f t="shared" si="1"/>
        <v>33.89544875</v>
      </c>
      <c r="E15" s="72">
        <f t="shared" si="2"/>
        <v>29.828000000000003</v>
      </c>
      <c r="G15" s="74">
        <f>((B15*60*('Gearing Calculator'!B$22/'Gearing Calculator'!C$22)*'Gearing Calculator'!B$18*PI()*('Gearing Calculator'!B$15/'Gearing Calculator'!C$15)/1000)*('Gearing Calculator'!B$16/'Gearing Calculator'!C$16))</f>
        <v>51.512130101285756</v>
      </c>
      <c r="H15" s="1">
        <f>((B15*60*('Gearing Calculator'!B$23/'Gearing Calculator'!C$23)*'Gearing Calculator'!B$18*PI()*('Gearing Calculator'!B$15/'Gearing Calculator'!C$15)/1000)*('Gearing Calculator'!B$16/'Gearing Calculator'!C$16))</f>
        <v>73.389868754341492</v>
      </c>
      <c r="I15" s="1">
        <f>((B15*60*('Gearing Calculator'!B$24/'Gearing Calculator'!C$24)*'Gearing Calculator'!B$18*PI()*('Gearing Calculator'!B$15/'Gearing Calculator'!C$15)/1000)*('Gearing Calculator'!B$16/'Gearing Calculator'!C$16))</f>
        <v>93.176352977325706</v>
      </c>
      <c r="J15" s="1">
        <f>((B15*60*('Gearing Calculator'!B$25/'Gearing Calculator'!C$25)*'Gearing Calculator'!B$18*PI()*('Gearing Calculator'!B$15/'Gearing Calculator'!C$15)/1000)*('Gearing Calculator'!B$16/'Gearing Calculator'!C$16))</f>
        <v>113.14271432960979</v>
      </c>
      <c r="K15" s="1">
        <f>((B15*60*('Gearing Calculator'!B$26/'Gearing Calculator'!C$26)*'Gearing Calculator'!B$18*PI()*('Gearing Calculator'!B$15/'Gearing Calculator'!C$15)/1000)*('Gearing Calculator'!B$16/'Gearing Calculator'!C$16))</f>
        <v>130.74269211421577</v>
      </c>
      <c r="L15" s="72">
        <f>((B15*60*('Gearing Calculator'!B$27/'Gearing Calculator'!C$27)*'Gearing Calculator'!B$18*PI()*('Gearing Calculator'!B$15/'Gearing Calculator'!C$15)/1000)*('Gearing Calculator'!B$16/'Gearing Calculator'!C$16))</f>
        <v>145.46920413806976</v>
      </c>
      <c r="N15" s="76">
        <f t="shared" si="3"/>
        <v>2084.573085773437</v>
      </c>
      <c r="O15" s="77">
        <f t="shared" si="4"/>
        <v>1463.1556347298649</v>
      </c>
      <c r="P15" s="77">
        <f t="shared" si="5"/>
        <v>1152.446909208079</v>
      </c>
      <c r="Q15" s="77">
        <f t="shared" si="6"/>
        <v>949.07392523018279</v>
      </c>
      <c r="R15" s="77">
        <f t="shared" si="7"/>
        <v>821.3139737568888</v>
      </c>
      <c r="S15" s="78">
        <f t="shared" si="8"/>
        <v>738.16860851236424</v>
      </c>
      <c r="W15">
        <v>24.5</v>
      </c>
    </row>
    <row r="16" spans="2:23" x14ac:dyDescent="0.25">
      <c r="B16" s="71">
        <v>9000</v>
      </c>
      <c r="C16" s="123">
        <v>41</v>
      </c>
      <c r="D16" s="124">
        <f t="shared" si="1"/>
        <v>33.217539774999999</v>
      </c>
      <c r="E16" s="72">
        <f t="shared" si="2"/>
        <v>30.573700000000002</v>
      </c>
      <c r="G16" s="74">
        <f>((B16*60*('Gearing Calculator'!B$22/'Gearing Calculator'!C$22)*'Gearing Calculator'!B$18*PI()*('Gearing Calculator'!B$15/'Gearing Calculator'!C$15)/1000)*('Gearing Calculator'!B$16/'Gearing Calculator'!C$16))</f>
        <v>54.542255401361402</v>
      </c>
      <c r="H16" s="1">
        <f>((B16*60*('Gearing Calculator'!B$23/'Gearing Calculator'!C$23)*'Gearing Calculator'!B$18*PI()*('Gearing Calculator'!B$15/'Gearing Calculator'!C$15)/1000)*('Gearing Calculator'!B$16/'Gearing Calculator'!C$16))</f>
        <v>77.70691985753804</v>
      </c>
      <c r="I16" s="1">
        <f>((B16*60*('Gearing Calculator'!B$24/'Gearing Calculator'!C$24)*'Gearing Calculator'!B$18*PI()*('Gearing Calculator'!B$15/'Gearing Calculator'!C$15)/1000)*('Gearing Calculator'!B$16/'Gearing Calculator'!C$16))</f>
        <v>98.657314917168392</v>
      </c>
      <c r="J16" s="1">
        <f>((B16*60*('Gearing Calculator'!B$25/'Gearing Calculator'!C$25)*'Gearing Calculator'!B$18*PI()*('Gearing Calculator'!B$15/'Gearing Calculator'!C$15)/1000)*('Gearing Calculator'!B$16/'Gearing Calculator'!C$16))</f>
        <v>119.79816811370449</v>
      </c>
      <c r="K16" s="1">
        <f>((B16*60*('Gearing Calculator'!B$26/'Gearing Calculator'!C$26)*'Gearing Calculator'!B$18*PI()*('Gearing Calculator'!B$15/'Gearing Calculator'!C$15)/1000)*('Gearing Calculator'!B$16/'Gearing Calculator'!C$16))</f>
        <v>138.43343870916962</v>
      </c>
      <c r="L16" s="72">
        <f>((B16*60*('Gearing Calculator'!B$27/'Gearing Calculator'!C$27)*'Gearing Calculator'!B$18*PI()*('Gearing Calculator'!B$15/'Gearing Calculator'!C$15)/1000)*('Gearing Calculator'!B$16/'Gearing Calculator'!C$16))</f>
        <v>154.02621614619147</v>
      </c>
      <c r="N16" s="76">
        <f t="shared" si="3"/>
        <v>2017.9825566445627</v>
      </c>
      <c r="O16" s="77">
        <f t="shared" si="4"/>
        <v>1416.4159408426608</v>
      </c>
      <c r="P16" s="77">
        <f t="shared" si="5"/>
        <v>1115.6326329417097</v>
      </c>
      <c r="Q16" s="77">
        <f t="shared" si="6"/>
        <v>918.75628595199612</v>
      </c>
      <c r="R16" s="77">
        <f t="shared" si="7"/>
        <v>795.0775551507661</v>
      </c>
      <c r="S16" s="78">
        <f t="shared" si="8"/>
        <v>714.58822240710833</v>
      </c>
      <c r="W16">
        <v>23.5</v>
      </c>
    </row>
    <row r="17" spans="2:23" x14ac:dyDescent="0.25">
      <c r="B17" s="71">
        <v>9500</v>
      </c>
      <c r="C17" s="123">
        <v>42</v>
      </c>
      <c r="D17" s="124">
        <f t="shared" si="1"/>
        <v>31.861721825</v>
      </c>
      <c r="E17" s="72">
        <f t="shared" si="2"/>
        <v>31.319400000000002</v>
      </c>
      <c r="G17" s="74">
        <f>((B17*60*('Gearing Calculator'!B$22/'Gearing Calculator'!C$22)*'Gearing Calculator'!B$18*PI()*('Gearing Calculator'!B$15/'Gearing Calculator'!C$15)/1000)*('Gearing Calculator'!B$16/'Gearing Calculator'!C$16))</f>
        <v>57.572380701437027</v>
      </c>
      <c r="H17" s="1">
        <f>((B17*60*('Gearing Calculator'!B$23/'Gearing Calculator'!C$23)*'Gearing Calculator'!B$18*PI()*('Gearing Calculator'!B$15/'Gearing Calculator'!C$15)/1000)*('Gearing Calculator'!B$16/'Gearing Calculator'!C$16))</f>
        <v>82.023970960734601</v>
      </c>
      <c r="I17" s="1">
        <f>((B17*60*('Gearing Calculator'!B$24/'Gearing Calculator'!C$24)*'Gearing Calculator'!B$18*PI()*('Gearing Calculator'!B$15/'Gearing Calculator'!C$15)/1000)*('Gearing Calculator'!B$16/'Gearing Calculator'!C$16))</f>
        <v>104.13827685701111</v>
      </c>
      <c r="J17" s="1">
        <f>((B17*60*('Gearing Calculator'!B$25/'Gearing Calculator'!C$25)*'Gearing Calculator'!B$18*PI()*('Gearing Calculator'!B$15/'Gearing Calculator'!C$15)/1000)*('Gearing Calculator'!B$16/'Gearing Calculator'!C$16))</f>
        <v>126.45362189779915</v>
      </c>
      <c r="K17" s="1">
        <f>((B17*60*('Gearing Calculator'!B$26/'Gearing Calculator'!C$26)*'Gearing Calculator'!B$18*PI()*('Gearing Calculator'!B$15/'Gearing Calculator'!C$15)/1000)*('Gearing Calculator'!B$16/'Gearing Calculator'!C$16))</f>
        <v>146.1241853041235</v>
      </c>
      <c r="L17" s="72">
        <f>((B17*60*('Gearing Calculator'!B$27/'Gearing Calculator'!C$27)*'Gearing Calculator'!B$18*PI()*('Gearing Calculator'!B$15/'Gearing Calculator'!C$15)/1000)*('Gearing Calculator'!B$16/'Gearing Calculator'!C$16))</f>
        <v>162.58322815431322</v>
      </c>
      <c r="N17" s="76">
        <f t="shared" si="3"/>
        <v>1958.4015568976763</v>
      </c>
      <c r="O17" s="77">
        <f t="shared" si="4"/>
        <v>1374.5962147330574</v>
      </c>
      <c r="P17" s="77">
        <f t="shared" si="5"/>
        <v>1082.6935436507476</v>
      </c>
      <c r="Q17" s="77">
        <f t="shared" si="6"/>
        <v>891.62997712414551</v>
      </c>
      <c r="R17" s="77">
        <f t="shared" si="7"/>
        <v>771.60286481897197</v>
      </c>
      <c r="S17" s="78">
        <f t="shared" si="8"/>
        <v>693.48998220766862</v>
      </c>
      <c r="W17">
        <v>23</v>
      </c>
    </row>
    <row r="18" spans="2:23" x14ac:dyDescent="0.25">
      <c r="B18" s="71">
        <v>10000</v>
      </c>
      <c r="C18" s="123">
        <v>44</v>
      </c>
      <c r="D18" s="124">
        <f t="shared" si="1"/>
        <v>31.183812850000002</v>
      </c>
      <c r="E18" s="72">
        <f t="shared" si="2"/>
        <v>32.8108</v>
      </c>
      <c r="G18" s="74">
        <f>((B18*60*('Gearing Calculator'!B$22/'Gearing Calculator'!C$22)*'Gearing Calculator'!B$18*PI()*('Gearing Calculator'!B$15/'Gearing Calculator'!C$15)/1000)*('Gearing Calculator'!B$16/'Gearing Calculator'!C$16))</f>
        <v>60.602506001512658</v>
      </c>
      <c r="H18" s="1">
        <f>((B18*60*('Gearing Calculator'!B$23/'Gearing Calculator'!C$23)*'Gearing Calculator'!B$18*PI()*('Gearing Calculator'!B$15/'Gearing Calculator'!C$15)/1000)*('Gearing Calculator'!B$16/'Gearing Calculator'!C$16))</f>
        <v>86.341022063931163</v>
      </c>
      <c r="I18" s="1">
        <f>((B18*60*('Gearing Calculator'!B$24/'Gearing Calculator'!C$24)*'Gearing Calculator'!B$18*PI()*('Gearing Calculator'!B$15/'Gearing Calculator'!C$15)/1000)*('Gearing Calculator'!B$16/'Gearing Calculator'!C$16))</f>
        <v>109.61923879685376</v>
      </c>
      <c r="J18" s="1">
        <f>((B18*60*('Gearing Calculator'!B$25/'Gearing Calculator'!C$25)*'Gearing Calculator'!B$18*PI()*('Gearing Calculator'!B$15/'Gearing Calculator'!C$15)/1000)*('Gearing Calculator'!B$16/'Gearing Calculator'!C$16))</f>
        <v>133.10907568189384</v>
      </c>
      <c r="K18" s="1">
        <f>((B18*60*('Gearing Calculator'!B$26/'Gearing Calculator'!C$26)*'Gearing Calculator'!B$18*PI()*('Gearing Calculator'!B$15/'Gearing Calculator'!C$15)/1000)*('Gearing Calculator'!B$16/'Gearing Calculator'!C$16))</f>
        <v>153.81493189907735</v>
      </c>
      <c r="L18" s="72">
        <f>((B18*60*('Gearing Calculator'!B$27/'Gearing Calculator'!C$27)*'Gearing Calculator'!B$18*PI()*('Gearing Calculator'!B$15/'Gearing Calculator'!C$15)/1000)*('Gearing Calculator'!B$16/'Gearing Calculator'!C$16))</f>
        <v>171.14024016243499</v>
      </c>
      <c r="N18" s="76">
        <f t="shared" si="3"/>
        <v>1949.0758351981633</v>
      </c>
      <c r="O18" s="77">
        <f t="shared" si="4"/>
        <v>1368.0505184724236</v>
      </c>
      <c r="P18" s="77">
        <f t="shared" si="5"/>
        <v>1077.537860109554</v>
      </c>
      <c r="Q18" s="77">
        <f t="shared" si="6"/>
        <v>887.38412009022113</v>
      </c>
      <c r="R18" s="77">
        <f t="shared" si="7"/>
        <v>767.92856546269127</v>
      </c>
      <c r="S18" s="78">
        <f t="shared" si="8"/>
        <v>690.18764895906065</v>
      </c>
      <c r="W18">
        <v>22</v>
      </c>
    </row>
    <row r="19" spans="2:23" x14ac:dyDescent="0.25">
      <c r="B19" s="71">
        <v>10500</v>
      </c>
      <c r="C19" s="123">
        <v>43</v>
      </c>
      <c r="D19" s="124">
        <f t="shared" si="1"/>
        <v>29.8279949</v>
      </c>
      <c r="E19" s="72">
        <f t="shared" si="2"/>
        <v>32.065100000000001</v>
      </c>
      <c r="G19" s="74">
        <f>((B19*60*('Gearing Calculator'!B$22/'Gearing Calculator'!C$22)*'Gearing Calculator'!B$18*PI()*('Gearing Calculator'!B$15/'Gearing Calculator'!C$15)/1000)*('Gearing Calculator'!B$16/'Gearing Calculator'!C$16))</f>
        <v>63.63263130158829</v>
      </c>
      <c r="H19" s="1">
        <f>((B19*60*('Gearing Calculator'!B$23/'Gearing Calculator'!C$23)*'Gearing Calculator'!B$18*PI()*('Gearing Calculator'!B$15/'Gearing Calculator'!C$15)/1000)*('Gearing Calculator'!B$16/'Gearing Calculator'!C$16))</f>
        <v>90.658073167127725</v>
      </c>
      <c r="I19" s="1">
        <f>((B19*60*('Gearing Calculator'!B$24/'Gearing Calculator'!C$24)*'Gearing Calculator'!B$18*PI()*('Gearing Calculator'!B$15/'Gearing Calculator'!C$15)/1000)*('Gearing Calculator'!B$16/'Gearing Calculator'!C$16))</f>
        <v>115.10020073669648</v>
      </c>
      <c r="J19" s="1">
        <f>((B19*60*('Gearing Calculator'!B$25/'Gearing Calculator'!C$25)*'Gearing Calculator'!B$18*PI()*('Gearing Calculator'!B$15/'Gearing Calculator'!C$15)/1000)*('Gearing Calculator'!B$16/'Gearing Calculator'!C$16))</f>
        <v>139.76452946598855</v>
      </c>
      <c r="K19" s="1">
        <f>((B19*60*('Gearing Calculator'!B$26/'Gearing Calculator'!C$26)*'Gearing Calculator'!B$18*PI()*('Gearing Calculator'!B$15/'Gearing Calculator'!C$15)/1000)*('Gearing Calculator'!B$16/'Gearing Calculator'!C$16))</f>
        <v>161.50567849403123</v>
      </c>
      <c r="L19" s="72">
        <f>((B19*60*('Gearing Calculator'!B$27/'Gearing Calculator'!C$27)*'Gearing Calculator'!B$18*PI()*('Gearing Calculator'!B$15/'Gearing Calculator'!C$15)/1000)*('Gearing Calculator'!B$16/'Gearing Calculator'!C$16))</f>
        <v>179.69725217055671</v>
      </c>
      <c r="N19" s="76">
        <f t="shared" si="3"/>
        <v>1814.0749115480742</v>
      </c>
      <c r="O19" s="77">
        <f t="shared" si="4"/>
        <v>1273.2937726042039</v>
      </c>
      <c r="P19" s="77">
        <f t="shared" si="5"/>
        <v>1002.9032031322686</v>
      </c>
      <c r="Q19" s="77">
        <f t="shared" si="6"/>
        <v>825.92028493245664</v>
      </c>
      <c r="R19" s="77">
        <f t="shared" si="7"/>
        <v>714.73870811462598</v>
      </c>
      <c r="S19" s="78">
        <f t="shared" si="8"/>
        <v>642.38244383635526</v>
      </c>
      <c r="W19">
        <v>21</v>
      </c>
    </row>
    <row r="20" spans="2:23" x14ac:dyDescent="0.25">
      <c r="B20" s="71">
        <v>11000</v>
      </c>
      <c r="C20" s="123">
        <v>42</v>
      </c>
      <c r="D20" s="124">
        <f t="shared" si="1"/>
        <v>28.472176950000001</v>
      </c>
      <c r="E20" s="72">
        <f t="shared" si="2"/>
        <v>31.319400000000002</v>
      </c>
      <c r="G20" s="74">
        <f>((B20*60*('Gearing Calculator'!B$22/'Gearing Calculator'!C$22)*'Gearing Calculator'!B$18*PI()*('Gearing Calculator'!B$15/'Gearing Calculator'!C$15)/1000)*('Gearing Calculator'!B$16/'Gearing Calculator'!C$16))</f>
        <v>66.662756601663929</v>
      </c>
      <c r="H20" s="1">
        <f>((B20*60*('Gearing Calculator'!B$23/'Gearing Calculator'!C$23)*'Gearing Calculator'!B$18*PI()*('Gearing Calculator'!B$15/'Gearing Calculator'!C$15)/1000)*('Gearing Calculator'!B$16/'Gearing Calculator'!C$16))</f>
        <v>94.975124270324258</v>
      </c>
      <c r="I20" s="1">
        <f>((B20*60*('Gearing Calculator'!B$24/'Gearing Calculator'!C$24)*'Gearing Calculator'!B$18*PI()*('Gearing Calculator'!B$15/'Gearing Calculator'!C$15)/1000)*('Gearing Calculator'!B$16/'Gearing Calculator'!C$16))</f>
        <v>120.58116267653914</v>
      </c>
      <c r="J20" s="1">
        <f>((B20*60*('Gearing Calculator'!B$25/'Gearing Calculator'!C$25)*'Gearing Calculator'!B$18*PI()*('Gearing Calculator'!B$15/'Gearing Calculator'!C$15)/1000)*('Gearing Calculator'!B$16/'Gearing Calculator'!C$16))</f>
        <v>146.41998325008325</v>
      </c>
      <c r="K20" s="1">
        <f>((B20*60*('Gearing Calculator'!B$26/'Gearing Calculator'!C$26)*'Gearing Calculator'!B$18*PI()*('Gearing Calculator'!B$15/'Gearing Calculator'!C$15)/1000)*('Gearing Calculator'!B$16/'Gearing Calculator'!C$16))</f>
        <v>169.19642508898508</v>
      </c>
      <c r="L20" s="72">
        <f>((B20*60*('Gearing Calculator'!B$27/'Gearing Calculator'!C$27)*'Gearing Calculator'!B$18*PI()*('Gearing Calculator'!B$15/'Gearing Calculator'!C$15)/1000)*('Gearing Calculator'!B$16/'Gearing Calculator'!C$16))</f>
        <v>188.25426417867848</v>
      </c>
      <c r="N20" s="76">
        <f t="shared" si="3"/>
        <v>1691.346799138902</v>
      </c>
      <c r="O20" s="77">
        <f t="shared" si="4"/>
        <v>1187.1512763603678</v>
      </c>
      <c r="P20" s="77">
        <f t="shared" si="5"/>
        <v>935.05351497110053</v>
      </c>
      <c r="Q20" s="77">
        <f t="shared" si="6"/>
        <v>770.04407115267099</v>
      </c>
      <c r="R20" s="77">
        <f t="shared" si="7"/>
        <v>666.38429234365765</v>
      </c>
      <c r="S20" s="78">
        <f t="shared" si="8"/>
        <v>598.92316645207734</v>
      </c>
      <c r="W20">
        <v>16</v>
      </c>
    </row>
    <row r="21" spans="2:23" x14ac:dyDescent="0.25">
      <c r="B21" s="71">
        <v>12000</v>
      </c>
      <c r="C21" s="123">
        <v>41</v>
      </c>
      <c r="D21" s="124">
        <f t="shared" si="1"/>
        <v>21.693087200000001</v>
      </c>
      <c r="E21" s="72">
        <f t="shared" si="2"/>
        <v>30.573700000000002</v>
      </c>
      <c r="G21" s="74">
        <f>((B21*60*('Gearing Calculator'!B$22/'Gearing Calculator'!C$22)*'Gearing Calculator'!B$18*PI()*('Gearing Calculator'!B$15/'Gearing Calculator'!C$15)/1000)*('Gearing Calculator'!B$16/'Gearing Calculator'!C$16))</f>
        <v>72.723007201815179</v>
      </c>
      <c r="H21" s="1">
        <f>((B21*60*('Gearing Calculator'!B$23/'Gearing Calculator'!C$23)*'Gearing Calculator'!B$18*PI()*('Gearing Calculator'!B$15/'Gearing Calculator'!C$15)/1000)*('Gearing Calculator'!B$16/'Gearing Calculator'!C$16))</f>
        <v>103.60922647671741</v>
      </c>
      <c r="I21" s="1">
        <f>((B21*60*('Gearing Calculator'!B$24/'Gearing Calculator'!C$24)*'Gearing Calculator'!B$18*PI()*('Gearing Calculator'!B$15/'Gearing Calculator'!C$15)/1000)*('Gearing Calculator'!B$16/'Gearing Calculator'!C$16))</f>
        <v>131.54308655622452</v>
      </c>
      <c r="J21" s="1">
        <f>((B21*60*('Gearing Calculator'!B$25/'Gearing Calculator'!C$25)*'Gearing Calculator'!B$18*PI()*('Gearing Calculator'!B$15/'Gearing Calculator'!C$15)/1000)*('Gearing Calculator'!B$16/'Gearing Calculator'!C$16))</f>
        <v>159.73089081827263</v>
      </c>
      <c r="K21" s="1">
        <f>((B21*60*('Gearing Calculator'!B$26/'Gearing Calculator'!C$26)*'Gearing Calculator'!B$18*PI()*('Gearing Calculator'!B$15/'Gearing Calculator'!C$15)/1000)*('Gearing Calculator'!B$16/'Gearing Calculator'!C$16))</f>
        <v>184.57791827889284</v>
      </c>
      <c r="L21" s="72">
        <f>((B21*60*('Gearing Calculator'!B$27/'Gearing Calculator'!C$27)*'Gearing Calculator'!B$18*PI()*('Gearing Calculator'!B$15/'Gearing Calculator'!C$15)/1000)*('Gearing Calculator'!B$16/'Gearing Calculator'!C$16))</f>
        <v>205.36828819492197</v>
      </c>
      <c r="N21" s="76">
        <f t="shared" si="3"/>
        <v>1513.4869174834228</v>
      </c>
      <c r="O21" s="77">
        <f t="shared" si="4"/>
        <v>1062.3119556319955</v>
      </c>
      <c r="P21" s="77">
        <f t="shared" si="5"/>
        <v>836.72447470628242</v>
      </c>
      <c r="Q21" s="77">
        <f t="shared" si="6"/>
        <v>689.06721446399729</v>
      </c>
      <c r="R21" s="77">
        <f t="shared" si="7"/>
        <v>596.30816636307452</v>
      </c>
      <c r="S21" s="78">
        <f t="shared" si="8"/>
        <v>535.94116680533114</v>
      </c>
      <c r="W21">
        <v>15</v>
      </c>
    </row>
    <row r="22" spans="2:23" ht="15.75" thickBot="1" x14ac:dyDescent="0.3">
      <c r="B22" s="45">
        <v>12500</v>
      </c>
      <c r="C22" s="46">
        <v>36</v>
      </c>
      <c r="D22" s="47">
        <f t="shared" si="1"/>
        <v>20.337269250000002</v>
      </c>
      <c r="E22" s="73">
        <f t="shared" si="2"/>
        <v>26.845200000000002</v>
      </c>
      <c r="G22" s="75">
        <f>((B22*60*('Gearing Calculator'!B$22/'Gearing Calculator'!C$22)*'Gearing Calculator'!B$18*PI()*('Gearing Calculator'!B$15/'Gearing Calculator'!C$15)/1000)*('Gearing Calculator'!B$16/'Gearing Calculator'!C$16))</f>
        <v>75.753132501890818</v>
      </c>
      <c r="H22" s="47">
        <f>((B22*60*('Gearing Calculator'!B$23/'Gearing Calculator'!C$23)*'Gearing Calculator'!B$18*PI()*('Gearing Calculator'!B$15/'Gearing Calculator'!C$15)/1000)*('Gearing Calculator'!B$16/'Gearing Calculator'!C$16))</f>
        <v>107.92627757991396</v>
      </c>
      <c r="I22" s="47">
        <f>((B22*60*('Gearing Calculator'!B$24/'Gearing Calculator'!C$24)*'Gearing Calculator'!B$18*PI()*('Gearing Calculator'!B$15/'Gearing Calculator'!C$15)/1000)*('Gearing Calculator'!B$16/'Gearing Calculator'!C$16))</f>
        <v>137.02404849606722</v>
      </c>
      <c r="J22" s="47">
        <f>((B22*60*('Gearing Calculator'!B$25/'Gearing Calculator'!C$25)*'Gearing Calculator'!B$18*PI()*('Gearing Calculator'!B$15/'Gearing Calculator'!C$15)/1000)*('Gearing Calculator'!B$16/'Gearing Calculator'!C$16))</f>
        <v>166.38634460236733</v>
      </c>
      <c r="K22" s="47">
        <f>((B22*60*('Gearing Calculator'!B$26/'Gearing Calculator'!C$26)*'Gearing Calculator'!B$18*PI()*('Gearing Calculator'!B$15/'Gearing Calculator'!C$15)/1000)*('Gearing Calculator'!B$16/'Gearing Calculator'!C$16))</f>
        <v>192.26866487384669</v>
      </c>
      <c r="L22" s="73">
        <f>((B22*60*('Gearing Calculator'!B$27/'Gearing Calculator'!C$27)*'Gearing Calculator'!B$18*PI()*('Gearing Calculator'!B$15/'Gearing Calculator'!C$15)/1000)*('Gearing Calculator'!B$16/'Gearing Calculator'!C$16))</f>
        <v>213.92530020304369</v>
      </c>
      <c r="N22" s="79">
        <f t="shared" si="3"/>
        <v>1275.7587284933436</v>
      </c>
      <c r="O22" s="80">
        <f t="shared" si="4"/>
        <v>895.45124845467728</v>
      </c>
      <c r="P22" s="80">
        <f t="shared" si="5"/>
        <v>705.2975084353443</v>
      </c>
      <c r="Q22" s="80">
        <f t="shared" si="6"/>
        <v>580.83324224087187</v>
      </c>
      <c r="R22" s="80">
        <f t="shared" si="7"/>
        <v>502.64415193921604</v>
      </c>
      <c r="S22" s="81">
        <f t="shared" si="8"/>
        <v>451.759188409567</v>
      </c>
    </row>
    <row r="24" spans="2:23" x14ac:dyDescent="0.25">
      <c r="G24" t="s">
        <v>119</v>
      </c>
      <c r="N24" t="s">
        <v>120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56EA5-0CE5-40B1-AB05-6014F82EBA9D}">
  <dimension ref="A1"/>
  <sheetViews>
    <sheetView workbookViewId="0">
      <selection activeCell="O10" sqref="O1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4F6B1-B18B-4247-9766-CE97BC3D116D}">
  <dimension ref="A1:N13"/>
  <sheetViews>
    <sheetView workbookViewId="0">
      <selection activeCell="B3" sqref="B3"/>
    </sheetView>
  </sheetViews>
  <sheetFormatPr defaultRowHeight="15" x14ac:dyDescent="0.25"/>
  <cols>
    <col min="3" max="3" width="29.42578125" bestFit="1" customWidth="1"/>
    <col min="4" max="4" width="20.85546875" bestFit="1" customWidth="1"/>
    <col min="6" max="6" width="16.85546875" bestFit="1" customWidth="1"/>
    <col min="8" max="8" width="17.5703125" bestFit="1" customWidth="1"/>
    <col min="14" max="14" width="23" bestFit="1" customWidth="1"/>
  </cols>
  <sheetData>
    <row r="1" spans="1:14" ht="20.25" x14ac:dyDescent="0.3">
      <c r="A1" t="s">
        <v>164</v>
      </c>
      <c r="C1" s="120" t="s">
        <v>163</v>
      </c>
      <c r="D1" s="120"/>
      <c r="E1" t="s">
        <v>179</v>
      </c>
      <c r="G1" t="s">
        <v>172</v>
      </c>
      <c r="I1" t="s">
        <v>180</v>
      </c>
      <c r="L1" s="69" t="s">
        <v>187</v>
      </c>
      <c r="M1" s="70" t="s">
        <v>188</v>
      </c>
      <c r="N1" s="44" t="s">
        <v>189</v>
      </c>
    </row>
    <row r="2" spans="1:14" x14ac:dyDescent="0.25">
      <c r="A2" t="s">
        <v>165</v>
      </c>
      <c r="B2" s="1">
        <v>1.167</v>
      </c>
      <c r="E2" s="1">
        <f>0.5*B2*B3*B4*B5^2</f>
        <v>607.85676880781261</v>
      </c>
      <c r="F2" t="s">
        <v>183</v>
      </c>
      <c r="G2" s="1">
        <f>E2+E8</f>
        <v>653.76756880781261</v>
      </c>
      <c r="H2" t="s">
        <v>183</v>
      </c>
      <c r="I2" s="1">
        <f>G2*B5</f>
        <v>38850.13777640427</v>
      </c>
      <c r="J2" t="s">
        <v>184</v>
      </c>
      <c r="L2" s="71">
        <f>(3.6*M2)</f>
        <v>18</v>
      </c>
      <c r="M2" s="123">
        <v>5</v>
      </c>
      <c r="N2" s="50">
        <f>(0.5*B2*B3*B4*(M2^2))+E8</f>
        <v>50.214112499999999</v>
      </c>
    </row>
    <row r="3" spans="1:14" x14ac:dyDescent="0.25">
      <c r="A3" t="s">
        <v>166</v>
      </c>
      <c r="B3" s="1">
        <v>0.5</v>
      </c>
      <c r="C3" t="s">
        <v>191</v>
      </c>
      <c r="G3" s="1"/>
      <c r="I3" s="1">
        <f>I2/1000</f>
        <v>38.850137776404267</v>
      </c>
      <c r="J3" t="s">
        <v>185</v>
      </c>
      <c r="L3" s="71">
        <f t="shared" ref="L3:L13" si="0">(3.6*M3)</f>
        <v>36</v>
      </c>
      <c r="M3" s="123">
        <v>10</v>
      </c>
      <c r="N3" s="50">
        <f>(0.5*B2*B3*B4*M3^2)+E8</f>
        <v>63.124049999999997</v>
      </c>
    </row>
    <row r="4" spans="1:14" x14ac:dyDescent="0.25">
      <c r="A4" t="s">
        <v>167</v>
      </c>
      <c r="B4" s="1">
        <v>0.59</v>
      </c>
      <c r="C4" t="s">
        <v>169</v>
      </c>
      <c r="I4" s="1"/>
      <c r="L4" s="71">
        <f t="shared" si="0"/>
        <v>54</v>
      </c>
      <c r="M4" s="123">
        <v>15</v>
      </c>
      <c r="N4" s="50">
        <f>(0.5*B2*B3*B4*M4^2)+E8</f>
        <v>84.640612500000003</v>
      </c>
    </row>
    <row r="5" spans="1:14" x14ac:dyDescent="0.25">
      <c r="A5" t="s">
        <v>168</v>
      </c>
      <c r="B5" s="122">
        <f>213.93*(1000/3600)</f>
        <v>59.425000000000004</v>
      </c>
      <c r="C5" t="s">
        <v>176</v>
      </c>
      <c r="L5" s="71">
        <f t="shared" si="0"/>
        <v>72</v>
      </c>
      <c r="M5" s="123">
        <v>20</v>
      </c>
      <c r="N5" s="50">
        <f>(0.5*B2*B3*B4*M5^2)+E8</f>
        <v>114.7638</v>
      </c>
    </row>
    <row r="6" spans="1:14" x14ac:dyDescent="0.25">
      <c r="L6" s="71">
        <f t="shared" si="0"/>
        <v>90</v>
      </c>
      <c r="M6" s="123">
        <v>25</v>
      </c>
      <c r="N6" s="50">
        <f>(0.5*B2*B3*B4*M6^2)+E8</f>
        <v>153.49361250000001</v>
      </c>
    </row>
    <row r="7" spans="1:14" ht="20.25" x14ac:dyDescent="0.3">
      <c r="A7" t="s">
        <v>160</v>
      </c>
      <c r="C7" s="120" t="s">
        <v>161</v>
      </c>
      <c r="D7" s="120"/>
      <c r="E7" t="s">
        <v>178</v>
      </c>
      <c r="L7" s="71">
        <f t="shared" si="0"/>
        <v>108</v>
      </c>
      <c r="M7" s="123">
        <v>30</v>
      </c>
      <c r="N7" s="50">
        <f>(0.5*B2*B3*B4*M7^2)+E8</f>
        <v>200.83005</v>
      </c>
    </row>
    <row r="8" spans="1:14" x14ac:dyDescent="0.25">
      <c r="A8" s="1" t="s">
        <v>181</v>
      </c>
      <c r="B8" s="1">
        <f>CoG!L27</f>
        <v>234</v>
      </c>
      <c r="E8" s="1">
        <f>0.02*B8*B9</f>
        <v>45.910800000000002</v>
      </c>
      <c r="F8" t="s">
        <v>183</v>
      </c>
      <c r="L8" s="71">
        <f t="shared" si="0"/>
        <v>126</v>
      </c>
      <c r="M8" s="123">
        <v>35</v>
      </c>
      <c r="N8" s="50">
        <f>(0.5*B2*B3*B4*M8^2)+E8</f>
        <v>256.77311250000002</v>
      </c>
    </row>
    <row r="9" spans="1:14" x14ac:dyDescent="0.25">
      <c r="A9" s="1" t="s">
        <v>182</v>
      </c>
      <c r="B9" s="1">
        <v>9.81</v>
      </c>
      <c r="L9" s="71">
        <f t="shared" si="0"/>
        <v>144</v>
      </c>
      <c r="M9" s="123">
        <v>40</v>
      </c>
      <c r="N9" s="50">
        <f>(0.5*B2*B3*B4*M9^2)+E8</f>
        <v>321.32279999999997</v>
      </c>
    </row>
    <row r="10" spans="1:14" ht="20.25" x14ac:dyDescent="0.3">
      <c r="C10" s="120"/>
      <c r="L10" s="71">
        <f t="shared" si="0"/>
        <v>162</v>
      </c>
      <c r="M10" s="123">
        <v>45</v>
      </c>
      <c r="N10" s="50">
        <f>(0.5*B2*B3*B4*M10^2)+E8</f>
        <v>394.47911249999999</v>
      </c>
    </row>
    <row r="11" spans="1:14" x14ac:dyDescent="0.25">
      <c r="L11" s="71">
        <f t="shared" si="0"/>
        <v>180</v>
      </c>
      <c r="M11" s="123">
        <v>50</v>
      </c>
      <c r="N11" s="50">
        <f>(0.5*B2*B3*B4*M11^2)+E8</f>
        <v>476.24205000000001</v>
      </c>
    </row>
    <row r="12" spans="1:14" x14ac:dyDescent="0.25">
      <c r="K12" s="126" t="s">
        <v>190</v>
      </c>
      <c r="L12" s="71">
        <f t="shared" si="0"/>
        <v>198</v>
      </c>
      <c r="M12" s="123">
        <v>55</v>
      </c>
      <c r="N12" s="50">
        <f>(0.5*B2*B3*B4*M12^2)+E8</f>
        <v>566.61161249999998</v>
      </c>
    </row>
    <row r="13" spans="1:14" ht="15.75" thickBot="1" x14ac:dyDescent="0.3">
      <c r="K13" s="126">
        <f>L13*0.621371</f>
        <v>132.94108270800001</v>
      </c>
      <c r="L13" s="127">
        <f t="shared" si="0"/>
        <v>213.94800000000001</v>
      </c>
      <c r="M13" s="128">
        <v>59.43</v>
      </c>
      <c r="N13" s="73">
        <f>(0.5*B2*B3*B4*B5^2)+E8</f>
        <v>653.76756880781261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AF69B-B205-4992-BAD7-A67D7DC7909A}">
  <dimension ref="A1:O26"/>
  <sheetViews>
    <sheetView workbookViewId="0">
      <selection activeCell="L18" sqref="L18"/>
    </sheetView>
  </sheetViews>
  <sheetFormatPr defaultRowHeight="15" x14ac:dyDescent="0.25"/>
  <cols>
    <col min="1" max="1" width="28" bestFit="1" customWidth="1"/>
    <col min="2" max="2" width="29.5703125" bestFit="1" customWidth="1"/>
    <col min="3" max="3" width="17.85546875" bestFit="1" customWidth="1"/>
    <col min="9" max="9" width="29.42578125" bestFit="1" customWidth="1"/>
    <col min="10" max="10" width="23.140625" bestFit="1" customWidth="1"/>
    <col min="12" max="12" width="16.85546875" bestFit="1" customWidth="1"/>
    <col min="14" max="14" width="12.85546875" bestFit="1" customWidth="1"/>
  </cols>
  <sheetData>
    <row r="1" spans="1:12" x14ac:dyDescent="0.25">
      <c r="A1" t="s">
        <v>121</v>
      </c>
    </row>
    <row r="2" spans="1:12" x14ac:dyDescent="0.25">
      <c r="A2" t="s">
        <v>122</v>
      </c>
      <c r="C2" s="83" t="s">
        <v>123</v>
      </c>
      <c r="L2" s="83" t="s">
        <v>124</v>
      </c>
    </row>
    <row r="3" spans="1:12" x14ac:dyDescent="0.25">
      <c r="A3" t="s">
        <v>125</v>
      </c>
      <c r="J3" t="s">
        <v>126</v>
      </c>
    </row>
    <row r="4" spans="1:12" x14ac:dyDescent="0.25">
      <c r="A4" s="95" t="s">
        <v>127</v>
      </c>
      <c r="B4" s="95"/>
      <c r="J4" t="s">
        <v>128</v>
      </c>
    </row>
    <row r="5" spans="1:12" x14ac:dyDescent="0.25">
      <c r="A5" t="s">
        <v>129</v>
      </c>
      <c r="B5" t="s">
        <v>130</v>
      </c>
      <c r="J5" t="s">
        <v>31</v>
      </c>
    </row>
    <row r="6" spans="1:12" x14ac:dyDescent="0.25">
      <c r="A6" t="s">
        <v>131</v>
      </c>
      <c r="B6" t="s">
        <v>132</v>
      </c>
      <c r="J6" t="s">
        <v>133</v>
      </c>
    </row>
    <row r="7" spans="1:12" x14ac:dyDescent="0.25">
      <c r="A7" t="s">
        <v>134</v>
      </c>
      <c r="B7" t="s">
        <v>135</v>
      </c>
      <c r="J7" t="s">
        <v>136</v>
      </c>
    </row>
    <row r="10" spans="1:12" x14ac:dyDescent="0.25">
      <c r="C10" s="83" t="s">
        <v>137</v>
      </c>
      <c r="L10" s="83" t="s">
        <v>138</v>
      </c>
    </row>
    <row r="11" spans="1:12" x14ac:dyDescent="0.25">
      <c r="A11" t="s">
        <v>139</v>
      </c>
      <c r="J11" t="s">
        <v>140</v>
      </c>
    </row>
    <row r="12" spans="1:12" x14ac:dyDescent="0.25">
      <c r="A12" t="s">
        <v>141</v>
      </c>
      <c r="J12" t="s">
        <v>142</v>
      </c>
    </row>
    <row r="13" spans="1:12" x14ac:dyDescent="0.25">
      <c r="A13" t="s">
        <v>143</v>
      </c>
      <c r="J13" t="s">
        <v>144</v>
      </c>
    </row>
    <row r="14" spans="1:12" x14ac:dyDescent="0.25">
      <c r="A14" t="s">
        <v>145</v>
      </c>
    </row>
    <row r="16" spans="1:12" ht="20.25" x14ac:dyDescent="0.3">
      <c r="C16" s="83" t="s">
        <v>146</v>
      </c>
      <c r="G16" t="s">
        <v>164</v>
      </c>
      <c r="I16" s="120" t="s">
        <v>163</v>
      </c>
    </row>
    <row r="17" spans="1:15" x14ac:dyDescent="0.25">
      <c r="A17" t="s">
        <v>147</v>
      </c>
      <c r="B17" t="s">
        <v>148</v>
      </c>
      <c r="G17" t="s">
        <v>165</v>
      </c>
      <c r="H17">
        <v>1.167</v>
      </c>
      <c r="J17">
        <f>0.5*H17*H18*H19*H20^2</f>
        <v>620.77671291553725</v>
      </c>
      <c r="K17" t="s">
        <v>170</v>
      </c>
      <c r="L17" t="s">
        <v>172</v>
      </c>
      <c r="N17" t="s">
        <v>171</v>
      </c>
    </row>
    <row r="18" spans="1:15" x14ac:dyDescent="0.25">
      <c r="A18" t="s">
        <v>149</v>
      </c>
      <c r="B18" t="s">
        <v>148</v>
      </c>
      <c r="G18" t="s">
        <v>166</v>
      </c>
      <c r="H18">
        <v>0.6</v>
      </c>
      <c r="I18" t="s">
        <v>177</v>
      </c>
      <c r="J18" s="121" t="s">
        <v>175</v>
      </c>
      <c r="L18" s="1">
        <f>J17+G23</f>
        <v>653.34591291553727</v>
      </c>
      <c r="M18" t="s">
        <v>170</v>
      </c>
      <c r="N18" s="1">
        <f>L18*H20</f>
        <v>38825.080875005806</v>
      </c>
      <c r="O18" t="s">
        <v>173</v>
      </c>
    </row>
    <row r="19" spans="1:15" x14ac:dyDescent="0.25">
      <c r="A19" t="s">
        <v>150</v>
      </c>
      <c r="G19" t="s">
        <v>167</v>
      </c>
      <c r="H19">
        <v>0.50211700000000004</v>
      </c>
      <c r="I19" t="s">
        <v>169</v>
      </c>
      <c r="N19" s="1">
        <f>N18/1000</f>
        <v>38.825080875005803</v>
      </c>
      <c r="O19" t="s">
        <v>174</v>
      </c>
    </row>
    <row r="20" spans="1:15" x14ac:dyDescent="0.25">
      <c r="G20" t="s">
        <v>168</v>
      </c>
      <c r="H20">
        <f>213.93*(1000/3600)</f>
        <v>59.425000000000004</v>
      </c>
      <c r="I20" t="s">
        <v>176</v>
      </c>
    </row>
    <row r="22" spans="1:15" ht="20.25" x14ac:dyDescent="0.3">
      <c r="A22" t="s">
        <v>151</v>
      </c>
      <c r="C22" t="s">
        <v>152</v>
      </c>
      <c r="G22" t="s">
        <v>160</v>
      </c>
      <c r="I22" s="120" t="s">
        <v>161</v>
      </c>
    </row>
    <row r="23" spans="1:15" x14ac:dyDescent="0.25">
      <c r="A23" t="s">
        <v>153</v>
      </c>
      <c r="B23">
        <v>24.5</v>
      </c>
      <c r="C23" t="s">
        <v>153</v>
      </c>
      <c r="D23">
        <v>25.5</v>
      </c>
      <c r="F23" s="99" t="s">
        <v>186</v>
      </c>
      <c r="G23" s="1">
        <f>0.02*CoG!B27*9.81</f>
        <v>32.569200000000002</v>
      </c>
      <c r="H23" t="s">
        <v>162</v>
      </c>
    </row>
    <row r="24" spans="1:15" x14ac:dyDescent="0.25">
      <c r="A24" t="s">
        <v>154</v>
      </c>
      <c r="B24">
        <v>94</v>
      </c>
      <c r="C24" t="s">
        <v>154</v>
      </c>
      <c r="D24">
        <v>0.1</v>
      </c>
      <c r="G24" s="1"/>
    </row>
    <row r="25" spans="1:15" ht="20.25" x14ac:dyDescent="0.3">
      <c r="A25" t="s">
        <v>155</v>
      </c>
      <c r="B25">
        <v>0.31</v>
      </c>
      <c r="C25" t="s">
        <v>155</v>
      </c>
      <c r="D25">
        <v>0.31</v>
      </c>
      <c r="I25" s="120"/>
    </row>
    <row r="26" spans="1:15" x14ac:dyDescent="0.25">
      <c r="A26" t="s">
        <v>156</v>
      </c>
      <c r="B26">
        <v>31.96</v>
      </c>
      <c r="C26" t="s">
        <v>156</v>
      </c>
      <c r="D26">
        <v>27.74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Equivalent Mass</vt:lpstr>
      <vt:lpstr>CoG</vt:lpstr>
      <vt:lpstr>Gearing Calculator</vt:lpstr>
      <vt:lpstr>Driving Force v Road Speed</vt:lpstr>
      <vt:lpstr>Road Speed</vt:lpstr>
      <vt:lpstr>Powercurve</vt:lpstr>
      <vt:lpstr>Resistance to Motion</vt:lpstr>
      <vt:lpstr>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Jimmy Edward Vine (2106621)</dc:creator>
  <cp:keywords/>
  <dc:description/>
  <cp:lastModifiedBy>Jimmy Vine (2106621)</cp:lastModifiedBy>
  <cp:revision/>
  <dcterms:created xsi:type="dcterms:W3CDTF">2022-11-22T09:09:37Z</dcterms:created>
  <dcterms:modified xsi:type="dcterms:W3CDTF">2022-12-15T16:20:52Z</dcterms:modified>
  <cp:category/>
  <cp:contentStatus/>
</cp:coreProperties>
</file>