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2C3ED0FC-D7D2-40C8-A265-DC231D9807B4}" xr6:coauthVersionLast="47" xr6:coauthVersionMax="47" xr10:uidLastSave="{00000000-0000-0000-0000-000000000000}"/>
  <bookViews>
    <workbookView xWindow="-110" yWindow="-110" windowWidth="23260" windowHeight="14860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3" i="61" l="1"/>
  <c r="D23" i="61"/>
  <c r="E23" i="61"/>
  <c r="F23" i="61"/>
  <c r="G23" i="61"/>
  <c r="H23" i="61"/>
  <c r="I23" i="61"/>
  <c r="J23" i="61"/>
  <c r="K23" i="61"/>
  <c r="L23" i="61"/>
  <c r="M23" i="61"/>
  <c r="N23" i="61"/>
  <c r="O23" i="61"/>
  <c r="P23" i="61"/>
  <c r="Q23" i="61"/>
  <c r="R23" i="61"/>
  <c r="C22" i="61"/>
  <c r="D22" i="61"/>
  <c r="E22" i="61"/>
  <c r="F22" i="61"/>
  <c r="G22" i="61"/>
  <c r="H22" i="61"/>
  <c r="I22" i="61"/>
  <c r="J22" i="61"/>
  <c r="K22" i="61"/>
  <c r="L22" i="61"/>
  <c r="M22" i="61"/>
  <c r="N22" i="61"/>
  <c r="O22" i="61"/>
  <c r="P22" i="61"/>
  <c r="Q22" i="61"/>
  <c r="R22" i="61"/>
  <c r="C21" i="61"/>
  <c r="D21" i="61"/>
  <c r="E21" i="61"/>
  <c r="F21" i="61"/>
  <c r="G21" i="61"/>
  <c r="H21" i="61"/>
  <c r="I21" i="61"/>
  <c r="J21" i="61"/>
  <c r="K21" i="61"/>
  <c r="L21" i="61"/>
  <c r="M21" i="61"/>
  <c r="N21" i="61"/>
  <c r="O21" i="61"/>
  <c r="P21" i="61"/>
  <c r="Q21" i="61"/>
  <c r="R21" i="61"/>
  <c r="C20" i="61"/>
  <c r="D20" i="61"/>
  <c r="E20" i="61"/>
  <c r="F20" i="61"/>
  <c r="G20" i="61"/>
  <c r="H20" i="61"/>
  <c r="I20" i="61"/>
  <c r="J20" i="61"/>
  <c r="K20" i="61"/>
  <c r="L20" i="61"/>
  <c r="M20" i="61"/>
  <c r="N20" i="61"/>
  <c r="O20" i="61"/>
  <c r="P20" i="61"/>
  <c r="Q20" i="61"/>
  <c r="R20" i="61"/>
  <c r="C19" i="61"/>
  <c r="D19" i="61"/>
  <c r="E19" i="61"/>
  <c r="F19" i="61"/>
  <c r="G19" i="61"/>
  <c r="H19" i="61"/>
  <c r="I19" i="61"/>
  <c r="J19" i="61"/>
  <c r="K19" i="61"/>
  <c r="L19" i="61"/>
  <c r="M19" i="61"/>
  <c r="N19" i="61"/>
  <c r="O19" i="61"/>
  <c r="P19" i="61"/>
  <c r="Q19" i="61"/>
  <c r="R19" i="61"/>
  <c r="B23" i="61"/>
  <c r="B22" i="61"/>
  <c r="B21" i="61"/>
  <c r="B20" i="61"/>
  <c r="B19" i="61"/>
  <c r="C24" i="52"/>
  <c r="D24" i="52"/>
  <c r="E24" i="52"/>
  <c r="F24" i="52"/>
  <c r="G24" i="52"/>
  <c r="H24" i="52"/>
  <c r="I24" i="52"/>
  <c r="J24" i="52"/>
  <c r="K24" i="52"/>
  <c r="L24" i="52"/>
  <c r="M24" i="52"/>
  <c r="N24" i="52"/>
  <c r="O24" i="52"/>
  <c r="P24" i="52"/>
  <c r="Q24" i="52"/>
  <c r="R24" i="52"/>
  <c r="S24" i="52"/>
  <c r="T24" i="52"/>
  <c r="U24" i="52"/>
  <c r="V24" i="52"/>
  <c r="W24" i="52"/>
  <c r="X24" i="52"/>
  <c r="Y24" i="52"/>
  <c r="Z24" i="52"/>
  <c r="AA24" i="52"/>
  <c r="AB24" i="52"/>
  <c r="C23" i="52"/>
  <c r="D23" i="52"/>
  <c r="E23" i="52"/>
  <c r="F23" i="52"/>
  <c r="G23" i="52"/>
  <c r="H23" i="52"/>
  <c r="I23" i="52"/>
  <c r="J23" i="52"/>
  <c r="K23" i="52"/>
  <c r="L23" i="52"/>
  <c r="M23" i="52"/>
  <c r="N23" i="52"/>
  <c r="O23" i="52"/>
  <c r="P23" i="52"/>
  <c r="Q23" i="52"/>
  <c r="R23" i="52"/>
  <c r="S23" i="52"/>
  <c r="T23" i="52"/>
  <c r="U23" i="52"/>
  <c r="V23" i="52"/>
  <c r="W23" i="52"/>
  <c r="X23" i="52"/>
  <c r="Y23" i="52"/>
  <c r="Z23" i="52"/>
  <c r="AA23" i="52"/>
  <c r="AB23" i="52"/>
  <c r="C22" i="52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S22" i="52"/>
  <c r="T22" i="52"/>
  <c r="U22" i="52"/>
  <c r="V22" i="52"/>
  <c r="W22" i="52"/>
  <c r="X22" i="52"/>
  <c r="Y22" i="52"/>
  <c r="Z22" i="52"/>
  <c r="AA22" i="52"/>
  <c r="AB22" i="52"/>
  <c r="C21" i="52"/>
  <c r="D21" i="52"/>
  <c r="E21" i="52"/>
  <c r="F21" i="52"/>
  <c r="G21" i="52"/>
  <c r="H21" i="52"/>
  <c r="I21" i="52"/>
  <c r="J21" i="52"/>
  <c r="K21" i="52"/>
  <c r="L21" i="52"/>
  <c r="M21" i="52"/>
  <c r="N21" i="52"/>
  <c r="O21" i="52"/>
  <c r="P21" i="52"/>
  <c r="Q21" i="52"/>
  <c r="R21" i="52"/>
  <c r="S21" i="52"/>
  <c r="T21" i="52"/>
  <c r="U21" i="52"/>
  <c r="V21" i="52"/>
  <c r="W21" i="52"/>
  <c r="X21" i="52"/>
  <c r="Y21" i="52"/>
  <c r="Z21" i="52"/>
  <c r="AA21" i="52"/>
  <c r="AB21" i="52"/>
  <c r="C20" i="52"/>
  <c r="D20" i="52"/>
  <c r="E20" i="52"/>
  <c r="F20" i="52"/>
  <c r="G20" i="52"/>
  <c r="H20" i="52"/>
  <c r="I20" i="52"/>
  <c r="J20" i="52"/>
  <c r="K20" i="52"/>
  <c r="L20" i="52"/>
  <c r="M20" i="52"/>
  <c r="N20" i="52"/>
  <c r="O20" i="52"/>
  <c r="P20" i="52"/>
  <c r="Q20" i="52"/>
  <c r="R20" i="52"/>
  <c r="S20" i="52"/>
  <c r="T20" i="52"/>
  <c r="U20" i="52"/>
  <c r="V20" i="52"/>
  <c r="W20" i="52"/>
  <c r="X20" i="52"/>
  <c r="Y20" i="52"/>
  <c r="Z20" i="52"/>
  <c r="AA20" i="52"/>
  <c r="AB20" i="52"/>
  <c r="B24" i="52"/>
  <c r="B23" i="52"/>
  <c r="B22" i="52"/>
  <c r="B21" i="52"/>
  <c r="B20" i="52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6" i="46"/>
  <c r="B35" i="46"/>
  <c r="B34" i="46"/>
  <c r="B33" i="46"/>
  <c r="B32" i="46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C36" i="44"/>
  <c r="D36" i="44"/>
  <c r="E36" i="44"/>
  <c r="F36" i="44"/>
  <c r="G36" i="44"/>
  <c r="H36" i="44"/>
  <c r="I36" i="44"/>
  <c r="J36" i="44"/>
  <c r="K36" i="44"/>
  <c r="L36" i="44"/>
  <c r="M36" i="44"/>
  <c r="N36" i="44"/>
  <c r="O36" i="44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C33" i="44"/>
  <c r="D33" i="44"/>
  <c r="E33" i="44"/>
  <c r="F33" i="44"/>
  <c r="G33" i="44"/>
  <c r="H33" i="44"/>
  <c r="I33" i="44"/>
  <c r="J33" i="44"/>
  <c r="K33" i="44"/>
  <c r="L33" i="44"/>
  <c r="M33" i="44"/>
  <c r="N33" i="44"/>
  <c r="O33" i="44"/>
  <c r="B36" i="44"/>
  <c r="B35" i="44"/>
  <c r="B34" i="44"/>
  <c r="B33" i="44"/>
  <c r="C32" i="44"/>
  <c r="D32" i="44"/>
  <c r="E32" i="44"/>
  <c r="F32" i="44"/>
  <c r="G32" i="44"/>
  <c r="H32" i="44"/>
  <c r="I32" i="44"/>
  <c r="J32" i="44"/>
  <c r="K32" i="44"/>
  <c r="L32" i="44"/>
  <c r="M32" i="44"/>
  <c r="N32" i="44"/>
  <c r="O32" i="44"/>
  <c r="B32" i="44"/>
</calcChain>
</file>

<file path=xl/sharedStrings.xml><?xml version="1.0" encoding="utf-8"?>
<sst xmlns="http://schemas.openxmlformats.org/spreadsheetml/2006/main" count="131" uniqueCount="110">
  <si>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</si>
  <si>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</si>
  <si>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</si>
  <si>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</si>
  <si>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</si>
  <si>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</si>
  <si>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</si>
  <si>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</si>
  <si>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</si>
  <si>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</si>
  <si>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</si>
  <si>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</si>
  <si>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</si>
  <si>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</si>
  <si>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</si>
  <si>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</si>
  <si>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</si>
  <si>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</si>
  <si>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</si>
  <si>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</si>
  <si>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</si>
  <si>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</si>
  <si>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</si>
  <si>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</si>
  <si>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</si>
  <si>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</si>
  <si>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</si>
  <si>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</si>
  <si>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</si>
  <si>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</si>
  <si>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</si>
  <si>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</si>
  <si>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</si>
  <si>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</si>
  <si>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</si>
  <si>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</si>
  <si>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</si>
  <si>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</si>
  <si>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</si>
  <si>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</si>
  <si>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</si>
  <si>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</si>
  <si>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</si>
  <si>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</si>
  <si>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</si>
  <si>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</si>
  <si>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</si>
  <si>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</si>
  <si>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</si>
  <si>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</si>
  <si>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</si>
  <si>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</si>
  <si>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</si>
  <si>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</si>
  <si>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</si>
  <si>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</si>
  <si>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</si>
  <si>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</si>
  <si>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</si>
  <si>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</si>
  <si>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</si>
  <si>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</si>
  <si>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</si>
  <si>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</si>
  <si>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</si>
  <si>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</si>
  <si>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</si>
  <si>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</si>
  <si>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</si>
  <si>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</si>
  <si>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</si>
  <si>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</si>
  <si>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</si>
  <si>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</si>
  <si>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</si>
  <si>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</si>
  <si>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</si>
  <si>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</si>
  <si>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</si>
  <si>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</si>
  <si>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</si>
  <si>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</si>
  <si>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</si>
  <si>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</si>
  <si>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</si>
  <si>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</si>
  <si>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</si>
  <si>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</si>
  <si>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</si>
  <si>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</si>
  <si>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</si>
  <si>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</si>
  <si>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</si>
  <si>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</si>
  <si>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</si>
  <si>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</si>
  <si>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</si>
  <si>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</si>
  <si>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</si>
  <si>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</si>
  <si>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</si>
  <si>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</si>
  <si>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</si>
  <si>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</si>
  <si>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</si>
  <si>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 xml:space="preserve">Mean </t>
  </si>
  <si>
    <t xml:space="preserve">Median </t>
  </si>
  <si>
    <t xml:space="preserve">Mode </t>
  </si>
  <si>
    <t xml:space="preserve">Standard Deviation </t>
  </si>
  <si>
    <t xml:space="preserve">Range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</si>
</sst>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3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b/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5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0" fontId="0" fillId="0" borderId="2" xfId="0" applyBorder="1"/>
    <xf numFmtId="0" fontId="0" fillId="0" borderId="22" xfId="0" applyBorder="1"/>
    <xf numFmtId="0" fontId="0" fillId="0" borderId="5" xfId="0" applyBorder="1"/>
    <xf numFmtId="0" fontId="36" fillId="0" borderId="7" xfId="0" applyFont="1" applyBorder="1"/>
    <xf numFmtId="0" fontId="36" fillId="0" borderId="21" xfId="0" applyFont="1" applyBorder="1"/>
    <xf numFmtId="0" fontId="0" fillId="0" borderId="21" xfId="0" applyBorder="1"/>
    <xf numFmtId="0" fontId="0" fillId="0" borderId="20" xfId="0" applyBorder="1"/>
    <xf numFmtId="3" fontId="0" fillId="0" borderId="21" xfId="0" applyNumberFormat="1" applyBorder="1"/>
    <xf numFmtId="3" fontId="0" fillId="0" borderId="7" xfId="0" applyNumberFormat="1" applyBorder="1"/>
    <xf numFmtId="3" fontId="0" fillId="0" borderId="0" xfId="0" applyNumberFormat="1"/>
    <xf numFmtId="3" fontId="0" fillId="0" borderId="2" xfId="0" applyNumberFormat="1" applyBorder="1"/>
    <xf numFmtId="3" fontId="0" fillId="0" borderId="20" xfId="0" applyNumberFormat="1" applyBorder="1"/>
    <xf numFmtId="3" fontId="0" fillId="0" borderId="5" xfId="0" applyNumberFormat="1" applyBorder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Increase</a:t>
            </a:r>
            <a:r>
              <a:rPr lang="en-GB" baseline="0"/>
              <a:t> In Public New Housing Prices Over The Years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D1-446D-8836-FF90B028C9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9164511"/>
        <c:axId val="1559164031"/>
      </c:lineChart>
      <c:catAx>
        <c:axId val="1559164511"/>
        <c:scaling>
          <c:orientation val="minMax"/>
        </c:scaling>
        <c:delete val="0"/>
        <c:axPos val="b"/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9164031"/>
        <c:crosses val="autoZero"/>
        <c:auto val="1"/>
        <c:lblAlgn val="ctr"/>
        <c:lblOffset val="100"/>
        <c:noMultiLvlLbl val="0"/>
      </c:catAx>
      <c:valAx>
        <c:axId val="1559164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591645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The</a:t>
            </a:r>
            <a:r>
              <a:rPr lang="en-GB" baseline="0"/>
              <a:t> increase in 1 person Firms over the past 2 Decades 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2003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Years in the Decades </c:v>
              </c:pt>
            </c:strLit>
          </c:cat>
          <c:val>
            <c:numRef>
              <c:f>'Firm Size'!$H$4</c:f>
              <c:numCache>
                <c:formatCode>#,##0</c:formatCode>
                <c:ptCount val="1"/>
                <c:pt idx="0">
                  <c:v>70370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9A-4A70-94EC-039720B0F153}"/>
            </c:ext>
          </c:extLst>
        </c:ser>
        <c:ser>
          <c:idx val="1"/>
          <c:order val="1"/>
          <c:tx>
            <c:v>2013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Years in the Decades </c:v>
              </c:pt>
            </c:strLit>
          </c:cat>
          <c:val>
            <c:numRef>
              <c:f>'Firm Size'!$R$4</c:f>
              <c:numCache>
                <c:formatCode>#,##0</c:formatCode>
                <c:ptCount val="1"/>
                <c:pt idx="0">
                  <c:v>92635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69A-4A70-94EC-039720B0F153}"/>
            </c:ext>
          </c:extLst>
        </c:ser>
        <c:ser>
          <c:idx val="2"/>
          <c:order val="2"/>
          <c:tx>
            <c:v>2023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Lit>
              <c:ptCount val="1"/>
              <c:pt idx="0">
                <c:v>Years in the Decades </c:v>
              </c:pt>
            </c:strLit>
          </c:cat>
          <c:val>
            <c:numRef>
              <c:f>'Firm Size'!$AB$4</c:f>
              <c:numCache>
                <c:formatCode>#,##0</c:formatCode>
                <c:ptCount val="1"/>
                <c:pt idx="0">
                  <c:v>156153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69A-4A70-94EC-039720B0F15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39850991"/>
        <c:axId val="1639852911"/>
      </c:barChart>
      <c:catAx>
        <c:axId val="163985099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852911"/>
        <c:crosses val="autoZero"/>
        <c:auto val="1"/>
        <c:lblAlgn val="ctr"/>
        <c:lblOffset val="100"/>
        <c:noMultiLvlLbl val="0"/>
      </c:catAx>
      <c:valAx>
        <c:axId val="16398529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1 person Firms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39850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cap="all" spc="0" baseline="0">
                <a:gradFill>
                  <a:gsLst>
                    <a:gs pos="0">
                      <a:schemeClr val="dk1">
                        <a:lumMod val="50000"/>
                        <a:lumOff val="50000"/>
                      </a:schemeClr>
                    </a:gs>
                    <a:gs pos="100000">
                      <a:schemeClr val="dk1">
                        <a:lumMod val="85000"/>
                        <a:lumOff val="15000"/>
                      </a:schemeClr>
                    </a:gs>
                  </a:gsLst>
                  <a:lin ang="5400000" scaled="0"/>
                </a:gradFill>
                <a:latin typeface="+mn-lt"/>
                <a:ea typeface="+mn-ea"/>
                <a:cs typeface="+mn-cs"/>
              </a:defRPr>
            </a:pPr>
            <a:r>
              <a:rPr lang="en-GB"/>
              <a:t>Number of firms by turn over size in Great Britain since 2007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cap="all" spc="0" baseline="0">
              <a:gradFill>
                <a:gsLst>
                  <a:gs pos="0">
                    <a:schemeClr val="dk1">
                      <a:lumMod val="50000"/>
                      <a:lumOff val="50000"/>
                    </a:schemeClr>
                  </a:gs>
                  <a:gs pos="100000">
                    <a:schemeClr val="dk1">
                      <a:lumMod val="85000"/>
                      <a:lumOff val="15000"/>
                    </a:schemeClr>
                  </a:gs>
                </a:gsLst>
                <a:lin ang="5400000" scaled="0"/>
              </a:gra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19050" cap="rnd" cmpd="sng" algn="ctr">
              <a:solidFill>
                <a:schemeClr val="accent1">
                  <a:shade val="95000"/>
                  <a:satMod val="105000"/>
                </a:schemeClr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l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Turnover'!$B$16:$R$16</c:f>
              <c:numCache>
                <c:formatCode>#,##0</c:formatCode>
                <c:ptCount val="17"/>
                <c:pt idx="0">
                  <c:v>277280</c:v>
                </c:pt>
                <c:pt idx="1">
                  <c:v>279356</c:v>
                </c:pt>
                <c:pt idx="2">
                  <c:v>264679</c:v>
                </c:pt>
                <c:pt idx="3">
                  <c:v>254270</c:v>
                </c:pt>
                <c:pt idx="4">
                  <c:v>253121</c:v>
                </c:pt>
                <c:pt idx="5">
                  <c:v>247105</c:v>
                </c:pt>
                <c:pt idx="6">
                  <c:v>251747</c:v>
                </c:pt>
                <c:pt idx="7">
                  <c:v>260404</c:v>
                </c:pt>
                <c:pt idx="8">
                  <c:v>273775</c:v>
                </c:pt>
                <c:pt idx="9">
                  <c:v>296093</c:v>
                </c:pt>
                <c:pt idx="10">
                  <c:v>314590</c:v>
                </c:pt>
                <c:pt idx="11">
                  <c:v>325736</c:v>
                </c:pt>
                <c:pt idx="12">
                  <c:v>335731</c:v>
                </c:pt>
                <c:pt idx="13">
                  <c:v>342456</c:v>
                </c:pt>
                <c:pt idx="14">
                  <c:v>353365</c:v>
                </c:pt>
                <c:pt idx="15">
                  <c:v>374332</c:v>
                </c:pt>
                <c:pt idx="16">
                  <c:v>364514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6F6-4F57-9728-EF7233AA290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654950016"/>
        <c:axId val="654966816"/>
      </c:lineChart>
      <c:catAx>
        <c:axId val="654950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4966816"/>
        <c:crosses val="autoZero"/>
        <c:auto val="1"/>
        <c:lblAlgn val="ctr"/>
        <c:lblOffset val="100"/>
        <c:noMultiLvlLbl val="0"/>
      </c:catAx>
      <c:valAx>
        <c:axId val="654966816"/>
        <c:scaling>
          <c:orientation val="minMax"/>
        </c:scaling>
        <c:delete val="1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Turn Over Size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crossAx val="654950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4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1000" kern="120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cs:styleClr val="auto"/>
    </cs:fontRef>
    <cs:spPr/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 w="9575">
        <a:solidFill>
          <a:schemeClr val="lt1">
            <a:lumMod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19050" cap="rnd" cmpd="sng" algn="ctr">
        <a:solidFill>
          <a:schemeClr val="phClr">
            <a:shade val="95000"/>
            <a:satMod val="105000"/>
          </a:schemeClr>
        </a:solidFill>
        <a:round/>
      </a:ln>
    </cs:spPr>
  </cs:dataPointLine>
  <cs:dataPointMarker>
    <cs:lnRef idx="0"/>
    <cs:fillRef idx="0"/>
    <cs:effectRef idx="0"/>
    <cs:fontRef idx="minor">
      <a:schemeClr val="dk1"/>
    </cs:fontRef>
    <cs:spPr>
      <a:solidFill>
        <a:schemeClr val="lt1"/>
      </a:solidFill>
    </cs:spPr>
  </cs:dataPointMarker>
  <cs:dataPointMarkerLayout symbol="circle" size="17"/>
  <cs:dataPointWireframe>
    <cs:lnRef idx="0">
      <cs:styleClr val="auto"/>
    </cs:lnRef>
    <cs:fillRef idx="1"/>
    <cs:effectRef idx="0"/>
    <cs:fontRef idx="minor">
      <a:schemeClr val="dk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seriesLine>
  <cs:title>
    <cs:lnRef idx="0"/>
    <cs:fillRef idx="0"/>
    <cs:effectRef idx="0"/>
    <cs:fontRef idx="minor">
      <a:schemeClr val="dk1"/>
    </cs:fontRef>
    <cs:defRPr sz="1440" b="0" kern="1200" cap="all" spc="0" baseline="0">
      <a:gradFill>
        <a:gsLst>
          <a:gs pos="0">
            <a:schemeClr val="dk1">
              <a:lumMod val="50000"/>
              <a:lumOff val="50000"/>
            </a:schemeClr>
          </a:gs>
          <a:gs pos="100000">
            <a:schemeClr val="dk1">
              <a:lumMod val="85000"/>
              <a:lumOff val="15000"/>
            </a:schemeClr>
          </a:gs>
        </a:gsLst>
        <a:lin ang="5400000" scaled="0"/>
      </a:gradFill>
    </cs:defRPr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63501</xdr:colOff>
      <xdr:row>39</xdr:row>
      <xdr:rowOff>39006</xdr:rowOff>
    </xdr:from>
    <xdr:to>
      <xdr:col>13</xdr:col>
      <xdr:colOff>399143</xdr:colOff>
      <xdr:row>59</xdr:row>
      <xdr:rowOff>154214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4FAEFBC7-EB28-3FF1-93FB-66A9B11C49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607785</xdr:colOff>
      <xdr:row>26</xdr:row>
      <xdr:rowOff>127000</xdr:rowOff>
    </xdr:from>
    <xdr:to>
      <xdr:col>16</xdr:col>
      <xdr:colOff>272142</xdr:colOff>
      <xdr:row>46</xdr:row>
      <xdr:rowOff>15421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D2734D8-83C6-D04A-29F9-32BC12A373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141110</xdr:colOff>
      <xdr:row>23</xdr:row>
      <xdr:rowOff>120649</xdr:rowOff>
    </xdr:from>
    <xdr:to>
      <xdr:col>17</xdr:col>
      <xdr:colOff>571500</xdr:colOff>
      <xdr:row>41</xdr:row>
      <xdr:rowOff>112889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AEA6DB4-4FD6-7323-FBC7-C06DBC4451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36" headerRowBorderDxfId="135" tableBorderDxfId="134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33"/>
    <tableColumn id="2" xr3:uid="{2CEB802E-2C8B-438B-9945-35DD738C0281}" name="Total public new housing" dataDxfId="132"/>
    <tableColumn id="3" xr3:uid="{3C3BF752-4FFF-484B-B71F-F58604720080}" name="Total public infrastructure" dataDxfId="131"/>
    <tableColumn id="4" xr3:uid="{DEEA3593-9A6C-4595-A7F4-F7A1FF50902E}" name="Public other new work: factories" dataDxfId="130"/>
    <tableColumn id="5" xr3:uid="{701866BA-69BA-48CD-9D0D-81FD69DF739B}" name="Public other new work: warehouses" dataDxfId="129"/>
    <tableColumn id="6" xr3:uid="{50F5A838-140D-46C1-8047-15EFD622290F}" name="Public other new work: oil, steel &amp; coal" dataDxfId="128"/>
    <tableColumn id="7" xr3:uid="{6E0EFBDD-3A47-49CD-BF91-D293A5E27967}" name="Public other new work: schools &amp; colleges" dataDxfId="127"/>
    <tableColumn id="8" xr3:uid="{052798D4-9B72-4634-83FD-B570A0A4EF5E}" name="Public other new work: universities" dataDxfId="126"/>
    <tableColumn id="9" xr3:uid="{571F73C0-8F8D-4744-9CDA-7B688B842FEF}" name="Public other new work: health" dataDxfId="125"/>
    <tableColumn id="10" xr3:uid="{F2EE5416-E865-4168-999D-36C183FDD80C}" name="Public other new work: offices" dataDxfId="124"/>
    <tableColumn id="11" xr3:uid="{A7B4FAA5-F556-43C6-B0B4-B26DEC3A6BC2}" name="Public other new work: entertainment" dataDxfId="123"/>
    <tableColumn id="12" xr3:uid="{29535A53-8586-4C43-85ED-4497C85F3F49}" name="Public other new work: garages &amp; shops" dataDxfId="122"/>
    <tableColumn id="13" xr3:uid="{46E5855B-008E-4046-9A54-C371E654CFE7}" name="Public other new work: agriculture &amp; miscellaneous" dataDxfId="121"/>
    <tableColumn id="14" xr3:uid="{50113204-1E01-42B5-B32F-CB7AFABA9D95}" name="Total other new work" dataDxfId="120"/>
    <tableColumn id="15" xr3:uid="{DA379AB0-7BAB-4EF3-B6D5-77E85678C85D}" name="All Public Sector" data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55" totalsRowDxfId="54"/>
    <tableColumn id="2" xr3:uid="{B0F2A6A6-3283-4150-BE0B-7C2080238572}" name="1997" dataDxfId="53" totalsRowDxfId="52"/>
    <tableColumn id="3" xr3:uid="{7A412100-EA83-45B6-B94C-0CC26E44A30F}" name="1998" dataDxfId="51" totalsRowDxfId="50"/>
    <tableColumn id="4" xr3:uid="{930012D9-E799-426D-A875-B2326DBD55F4}" name="1999" dataDxfId="49" totalsRowDxfId="48"/>
    <tableColumn id="5" xr3:uid="{360ADF1A-3595-4433-8269-ECF0960327F1}" name="2000" dataDxfId="47" totalsRowDxfId="46"/>
    <tableColumn id="6" xr3:uid="{B8A820A4-B668-44EF-8933-1D96A2FADF03}" name="2001" dataDxfId="45" totalsRowDxfId="44"/>
    <tableColumn id="7" xr3:uid="{11F83E27-4927-45F5-A9CC-43237E2CADF0}" name="2002" dataDxfId="43" totalsRowDxfId="42"/>
    <tableColumn id="8" xr3:uid="{5E4AAD45-DCF0-42E8-851F-4D7FE4C75994}" name="2003" dataDxfId="41" totalsRowDxfId="40"/>
    <tableColumn id="9" xr3:uid="{CC5CDAF9-2908-403E-8524-8E458561A86C}" name="2004" dataDxfId="39" totalsRowDxfId="38"/>
    <tableColumn id="10" xr3:uid="{F8F10E6C-4C24-4987-86B9-2BC4604AA6FF}" name="2005" dataDxfId="37" totalsRowDxfId="36"/>
    <tableColumn id="11" xr3:uid="{634D9AB2-2F7D-42C4-861A-A48218543D52}" name="2006" dataDxfId="35" totalsRowDxfId="34"/>
    <tableColumn id="12" xr3:uid="{7A730D35-593C-410E-9351-5DCF7AEA046F}" name="2007" dataDxfId="33" totalsRowDxfId="32"/>
    <tableColumn id="13" xr3:uid="{E8E41471-48B0-4831-A7E6-07A1E35E2ACC}" name="2008" dataDxfId="31" totalsRowDxfId="30"/>
    <tableColumn id="14" xr3:uid="{6B01846A-0DD0-4E86-A5D2-F829644186A4}" name="2009" dataDxfId="29" totalsRowDxfId="28"/>
    <tableColumn id="15" xr3:uid="{D8AFF6A5-5D5A-4766-8F96-57E79DF3663F}" name="2010" dataDxfId="27" totalsRowDxfId="26"/>
    <tableColumn id="16" xr3:uid="{1D6E8742-788F-4B2E-9697-60AC14F35D18}" name="2011" dataDxfId="25" totalsRowDxfId="24"/>
    <tableColumn id="17" xr3:uid="{69C049AB-9C9F-4ADE-BECC-623E5690EC71}" name="2012" dataDxfId="23" totalsRowDxfId="22"/>
    <tableColumn id="18" xr3:uid="{D43A8FDC-D054-4128-AB18-089395291A62}" name="2013" dataDxfId="21" totalsRowDxfId="20"/>
    <tableColumn id="19" xr3:uid="{6A5E7EBF-7006-4A2D-93DE-FA3490C64C59}" name="2014" dataDxfId="19" totalsRowDxfId="18"/>
    <tableColumn id="20" xr3:uid="{7205CD9A-2C31-4724-97CB-C762076DBBAF}" name="2015" dataDxfId="17" totalsRowDxfId="16"/>
    <tableColumn id="21" xr3:uid="{23F28E5D-774C-402C-AAC0-BD710762A009}" name="2016" dataDxfId="15" totalsRowDxfId="14"/>
    <tableColumn id="22" xr3:uid="{6B0E8B0D-15FB-452A-B17A-DBF1F9144E49}" name="2017" dataDxfId="13" totalsRowDxfId="12"/>
    <tableColumn id="23" xr3:uid="{2A1FDA69-05A8-446B-AAAA-D031F3BBAD05}" name="2018" dataDxfId="11" totalsRowDxfId="10"/>
    <tableColumn id="24" xr3:uid="{3D10BF88-871C-4682-B0C8-E083CE171D1E}" name="2019" dataDxfId="9" totalsRowDxfId="8"/>
    <tableColumn id="25" xr3:uid="{9D538F5B-3878-417F-8425-2A0D3E354E45}" name="2020" dataDxfId="7" totalsRowDxfId="6"/>
    <tableColumn id="26" xr3:uid="{DD9C5EF2-8ED1-4799-8A41-D3913A1F0044}" name="2021" dataDxfId="5" totalsRowDxfId="4"/>
    <tableColumn id="27" xr3:uid="{5B253DE7-CFE8-406E-A7AA-546E3B30390D}" name="2022" dataDxfId="3" totalsRowDxfId="2"/>
    <tableColumn id="28" xr3:uid="{6E9710FE-6516-471A-802B-84FD325849B6}" name="2023" dataDxfId="1" totalsRowDxfId="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95" dataDxfId="93" headerRowBorderDxfId="94" tableBorderDxfId="92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91" totalsRowDxfId="90" dataCellStyle="Normal_Structure" totalsRowCellStyle="Normal_Structure"/>
    <tableColumn id="2" xr3:uid="{2B0ED319-BDF4-462D-BA26-AA1BE0AFD462}" name="2007" dataDxfId="89" totalsRowDxfId="88"/>
    <tableColumn id="3" xr3:uid="{77F2849C-56C7-4DA1-AC0C-D55E7D6D694A}" name="2008" dataDxfId="87" totalsRowDxfId="86"/>
    <tableColumn id="4" xr3:uid="{9A1A21B1-FF17-4614-B44E-2AD012742D9C}" name="2009 " dataDxfId="85" totalsRowDxfId="84"/>
    <tableColumn id="5" xr3:uid="{7265F993-4BEA-4DD6-8F1F-7FD26B6D78D5}" name="2010 " dataDxfId="83" totalsRowDxfId="82"/>
    <tableColumn id="6" xr3:uid="{09518861-0455-459C-88E1-24FF001DA0D0}" name="2011 " dataDxfId="81" totalsRowDxfId="80"/>
    <tableColumn id="7" xr3:uid="{B5D524CF-EE6E-42DE-B6E6-1BA234BEBB35}" name="2012 " dataDxfId="79" totalsRowDxfId="78"/>
    <tableColumn id="8" xr3:uid="{74FB05A5-6EDB-43D0-B674-261380B53C98}" name="2013 " dataDxfId="77" totalsRowDxfId="76"/>
    <tableColumn id="9" xr3:uid="{E3D5D211-E5F3-4D89-9A54-45C89C90CA58}" name="2014 " dataDxfId="75" totalsRowDxfId="74"/>
    <tableColumn id="10" xr3:uid="{6659BB5D-89DB-418A-B6EB-1751E9306736}" name="2015 " dataDxfId="73" totalsRowDxfId="72"/>
    <tableColumn id="11" xr3:uid="{BC0F8EB9-8D5F-49CC-8256-4BA0676A88E1}" name="2016 " dataDxfId="71" totalsRowDxfId="70"/>
    <tableColumn id="12" xr3:uid="{D7445CA1-EFDC-436C-A8A1-28D1078DA8A7}" name="2017 " dataDxfId="69" totalsRowDxfId="68"/>
    <tableColumn id="13" xr3:uid="{C60437E4-5FDB-4BB4-B0A2-04D6F0461900}" name="2018 " dataDxfId="67" totalsRowDxfId="66"/>
    <tableColumn id="14" xr3:uid="{FE58B5FE-FCD9-4E27-A1B2-4BD4BB13404D}" name="2019 " dataDxfId="65" totalsRowDxfId="64"/>
    <tableColumn id="15" xr3:uid="{509EE9E5-9F66-4B95-9B38-BE0E47B10AD8}" name="2020 " dataDxfId="63" totalsRowDxfId="62"/>
    <tableColumn id="16" xr3:uid="{0AB424BA-148E-48AB-9FA9-8CDBE379AE70}" name="2021 " dataDxfId="61" totalsRowDxfId="60"/>
    <tableColumn id="17" xr3:uid="{A4AA9ED1-167B-4667-B809-4713DCB65C7D}" name="2022 " dataDxfId="59" totalsRowDxfId="58"/>
    <tableColumn id="18" xr3:uid="{04AAD7D3-88DF-46C7-8FC7-1AC98D7D5527}" name="2023" dataDxfId="57" totalsRowDxfId="56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zoomScale="70" zoomScaleNormal="70" workbookViewId="0">
      <selection activeCell="P44" sqref="P44"/>
    </sheetView>
  </sheetViews>
  <sheetFormatPr defaultColWidth="8.7265625" defaultRowHeight="14.5"/>
  <cols>
    <col min="1" max="1" width="18.26953125" customWidth="1"/>
    <col min="2" max="2" width="13.54296875" customWidth="1"/>
    <col min="3" max="3" width="16" customWidth="1"/>
    <col min="4" max="4" width="12.26953125" customWidth="1"/>
    <col min="5" max="5" width="12.6328125" customWidth="1"/>
    <col min="6" max="6" width="12.26953125" customWidth="1"/>
    <col min="7" max="7" width="12.7265625" customWidth="1"/>
    <col min="8" max="8" width="12.26953125" customWidth="1"/>
    <col min="9" max="9" width="11.7265625" customWidth="1"/>
    <col min="10" max="10" width="11.36328125" customWidth="1"/>
    <col min="11" max="11" width="13.36328125" customWidth="1"/>
    <col min="12" max="12" width="12.7265625" customWidth="1"/>
    <col min="13" max="13" width="14.7265625" customWidth="1"/>
    <col min="14" max="14" width="13.7265625" customWidth="1"/>
    <col min="15" max="15" width="16.81640625" customWidth="1"/>
  </cols>
  <sheetData>
    <row r="1" spans="1:17" ht="19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2" spans="1:15">
      <c r="A32" s="36" t="s">
        <v>105</v>
      </c>
      <c r="B32" s="39">
        <f>AVERAGE(Table1.1[Total public new housing])</f>
        <v>3837.4230769230771</v>
      </c>
      <c r="C32" s="39">
        <f>AVERAGE(Table1.1[Total public infrastructure])</f>
        <v>6697.0384615384619</v>
      </c>
      <c r="D32" s="39">
        <f>AVERAGE(Table1.1[Public other new work: factories])</f>
        <v>103</v>
      </c>
      <c r="E32" s="39">
        <f>AVERAGE(Table1.1[Public other new work: warehouses])</f>
        <v>30.76923076923077</v>
      </c>
      <c r="F32" s="39">
        <f>AVERAGE(Table1.1[Public other new work: oil, steel &amp; coal])</f>
        <v>9.384615384615385</v>
      </c>
      <c r="G32" s="39">
        <f>AVERAGE(Table1.1[Public other new work: schools &amp; colleges])</f>
        <v>3618.9615384615386</v>
      </c>
      <c r="H32" s="39">
        <f>AVERAGE(Table1.1[Public other new work: universities])</f>
        <v>986.30769230769226</v>
      </c>
      <c r="I32" s="39">
        <f>AVERAGE(Table1.1[Public other new work: health])</f>
        <v>1625.7307692307693</v>
      </c>
      <c r="J32" s="39">
        <f>AVERAGE(Table1.1[Public other new work: offices])</f>
        <v>753.03846153846155</v>
      </c>
      <c r="K32" s="39">
        <f>AVERAGE(Table1.1[Public other new work: entertainment])</f>
        <v>820.65384615384619</v>
      </c>
      <c r="L32" s="39">
        <f>AVERAGE(Table1.1[Public other new work: garages &amp; shops])</f>
        <v>207.26923076923077</v>
      </c>
      <c r="M32" s="39">
        <f>AVERAGE(Table1.1[Public other new work: agriculture &amp; miscellaneous])</f>
        <v>1055.6538461538462</v>
      </c>
      <c r="N32" s="39">
        <f>AVERAGE(Table1.1[Total other new work])</f>
        <v>9211</v>
      </c>
      <c r="O32" s="39">
        <f>AVERAGE(Table1.1[All Public Sector])</f>
        <v>19745.423076923078</v>
      </c>
    </row>
    <row r="33" spans="1:15">
      <c r="A33" s="36" t="s">
        <v>106</v>
      </c>
      <c r="B33" s="37">
        <f>MEDIAN(Table1.1[Total public new housing])</f>
        <v>4186</v>
      </c>
      <c r="C33" s="37">
        <f>MEDIAN(Table1.1[Total public infrastructure])</f>
        <v>4599</v>
      </c>
      <c r="D33" s="37">
        <f>MEDIAN(Table1.1[Public other new work: factories])</f>
        <v>88</v>
      </c>
      <c r="E33" s="37">
        <f>MEDIAN(Table1.1[Public other new work: warehouses])</f>
        <v>29</v>
      </c>
      <c r="F33" s="37">
        <f>MEDIAN(Table1.1[Public other new work: oil, steel &amp; coal])</f>
        <v>4</v>
      </c>
      <c r="G33" s="37">
        <f>MEDIAN(Table1.1[Public other new work: schools &amp; colleges])</f>
        <v>3977</v>
      </c>
      <c r="H33" s="37">
        <f>MEDIAN(Table1.1[Public other new work: universities])</f>
        <v>960.5</v>
      </c>
      <c r="I33" s="37">
        <f>MEDIAN(Table1.1[Public other new work: health])</f>
        <v>1676.5</v>
      </c>
      <c r="J33" s="37">
        <f>MEDIAN(Table1.1[Public other new work: offices])</f>
        <v>818.5</v>
      </c>
      <c r="K33" s="37">
        <f>MEDIAN(Table1.1[Public other new work: entertainment])</f>
        <v>829.5</v>
      </c>
      <c r="L33" s="37">
        <f>MEDIAN(Table1.1[Public other new work: garages &amp; shops])</f>
        <v>152.5</v>
      </c>
      <c r="M33" s="37">
        <f>MEDIAN(Table1.1[Public other new work: agriculture &amp; miscellaneous])</f>
        <v>1080</v>
      </c>
      <c r="N33" s="37">
        <f>MEDIAN(Table1.1[Total other new work])</f>
        <v>10049.5</v>
      </c>
      <c r="O33" s="37">
        <f>MEDIAN(Table1.1[All Public Sector])</f>
        <v>19814.5</v>
      </c>
    </row>
    <row r="34" spans="1:15">
      <c r="A34" s="36" t="s">
        <v>107</v>
      </c>
      <c r="B34" s="37" t="e">
        <f>_xlfn.MODE.SNGL(Table1.1[Total public new housing])</f>
        <v>#N/A</v>
      </c>
      <c r="C34" s="37" t="e">
        <f>_xlfn.MODE.SNGL(Table1.1[Total public infrastructure])</f>
        <v>#N/A</v>
      </c>
      <c r="D34" s="37">
        <f>_xlfn.MODE.SNGL(Table1.1[Public other new work: factories])</f>
        <v>77</v>
      </c>
      <c r="E34" s="37">
        <f>_xlfn.MODE.SNGL(Table1.1[Public other new work: warehouses])</f>
        <v>29</v>
      </c>
      <c r="F34" s="37">
        <f>_xlfn.MODE.SNGL(Table1.1[Public other new work: oil, steel &amp; coal])</f>
        <v>4</v>
      </c>
      <c r="G34" s="37" t="e">
        <f>_xlfn.MODE.SNGL(Table1.1[Public other new work: schools &amp; colleges])</f>
        <v>#N/A</v>
      </c>
      <c r="H34" s="37" t="e">
        <f>_xlfn.MODE.SNGL(Table1.1[Public other new work: universities])</f>
        <v>#N/A</v>
      </c>
      <c r="I34" s="37" t="e">
        <f>_xlfn.MODE.SNGL(Table1.1[Public other new work: health])</f>
        <v>#N/A</v>
      </c>
      <c r="J34" s="37" t="e">
        <f>_xlfn.MODE.SNGL(Table1.1[Public other new work: offices])</f>
        <v>#N/A</v>
      </c>
      <c r="K34" s="37" t="e">
        <f>_xlfn.MODE.SNGL(Table1.1[Public other new work: entertainment])</f>
        <v>#N/A</v>
      </c>
      <c r="L34" s="37" t="e">
        <f>_xlfn.MODE.SNGL(Table1.1[Public other new work: garages &amp; shops])</f>
        <v>#N/A</v>
      </c>
      <c r="M34" s="37">
        <f>_xlfn.MODE.SNGL(Table1.1[Public other new work: agriculture &amp; miscellaneous])</f>
        <v>668</v>
      </c>
      <c r="N34" s="37" t="e">
        <f>_xlfn.MODE.SNGL(Table1.1[Total other new work])</f>
        <v>#N/A</v>
      </c>
      <c r="O34" s="37" t="e">
        <f>_xlfn.MODE.SNGL(Table1.1[All Public Sector])</f>
        <v>#N/A</v>
      </c>
    </row>
    <row r="35" spans="1:15">
      <c r="A35" s="36" t="s">
        <v>108</v>
      </c>
      <c r="B35" s="37">
        <f>_xlfn.STDEV.P(Table1.1[Total public new housing])</f>
        <v>1896.1604559878554</v>
      </c>
      <c r="C35" s="37">
        <f>_xlfn.STDEV.P(Table1.1[Total public infrastructure])</f>
        <v>4945.0622729280258</v>
      </c>
      <c r="D35" s="37">
        <f>_xlfn.STDEV.P(Table1.1[Public other new work: factories])</f>
        <v>53.509165282508093</v>
      </c>
      <c r="E35" s="37">
        <f>_xlfn.STDEV.P(Table1.1[Public other new work: warehouses])</f>
        <v>15.467851753550732</v>
      </c>
      <c r="F35" s="37">
        <f>_xlfn.STDEV.P(Table1.1[Public other new work: oil, steel &amp; coal])</f>
        <v>11.845404571708626</v>
      </c>
      <c r="G35" s="37">
        <f>_xlfn.STDEV.P(Table1.1[Public other new work: schools &amp; colleges])</f>
        <v>1497.7566424687195</v>
      </c>
      <c r="H35" s="37">
        <f>_xlfn.STDEV.P(Table1.1[Public other new work: universities])</f>
        <v>423.3551672451112</v>
      </c>
      <c r="I35" s="37">
        <f>_xlfn.STDEV.P(Table1.1[Public other new work: health])</f>
        <v>517.28860845554084</v>
      </c>
      <c r="J35" s="37">
        <f>_xlfn.STDEV.P(Table1.1[Public other new work: offices])</f>
        <v>187.66961164795612</v>
      </c>
      <c r="K35" s="37">
        <f>_xlfn.STDEV.P(Table1.1[Public other new work: entertainment])</f>
        <v>275.23150287987528</v>
      </c>
      <c r="L35" s="37">
        <f>_xlfn.STDEV.P(Table1.1[Public other new work: garages &amp; shops])</f>
        <v>147.11287076786357</v>
      </c>
      <c r="M35" s="37">
        <f>_xlfn.STDEV.P(Table1.1[Public other new work: agriculture &amp; miscellaneous])</f>
        <v>350.92930937371813</v>
      </c>
      <c r="N35" s="37">
        <f>_xlfn.STDEV.P(Table1.1[Total other new work])</f>
        <v>2895.2526660034355</v>
      </c>
      <c r="O35" s="37">
        <f>_xlfn.STDEV.P(Table1.1[All Public Sector])</f>
        <v>8403.3037421328754</v>
      </c>
    </row>
    <row r="36" spans="1:15">
      <c r="A36" s="35" t="s">
        <v>109</v>
      </c>
      <c r="B36" s="40">
        <f>MAX(Table1.1[Total public new housing])-MIN(Table1.1[Total public new housing])</f>
        <v>6214</v>
      </c>
      <c r="C36" s="40">
        <f>MAX(Table1.1[Total public infrastructure])-MIN(Table1.1[Total public infrastructure])</f>
        <v>17417</v>
      </c>
      <c r="D36" s="40">
        <f>MAX(Table1.1[Public other new work: factories])-MIN(Table1.1[Public other new work: factories])</f>
        <v>229</v>
      </c>
      <c r="E36" s="40">
        <f>MAX(Table1.1[Public other new work: warehouses])-MIN(Table1.1[Public other new work: warehouses])</f>
        <v>65</v>
      </c>
      <c r="F36" s="40">
        <f>MAX(Table1.1[Public other new work: oil, steel &amp; coal])-MIN(Table1.1[Public other new work: oil, steel &amp; coal])</f>
        <v>44</v>
      </c>
      <c r="G36" s="40">
        <f>MAX(Table1.1[Public other new work: schools &amp; colleges])-MIN(Table1.1[Public other new work: schools &amp; colleges])</f>
        <v>6138</v>
      </c>
      <c r="H36" s="40">
        <f>MAX(Table1.1[Public other new work: universities])-MIN(Table1.1[Public other new work: universities])</f>
        <v>1562</v>
      </c>
      <c r="I36" s="40">
        <f>MAX(Table1.1[Public other new work: health])-MIN(Table1.1[Public other new work: health])</f>
        <v>1902</v>
      </c>
      <c r="J36" s="40">
        <f>MAX(Table1.1[Public other new work: offices])-MIN(Table1.1[Public other new work: offices])</f>
        <v>645</v>
      </c>
      <c r="K36" s="40">
        <f>MAX(Table1.1[Public other new work: entertainment])-MIN(Table1.1[Public other new work: entertainment])</f>
        <v>1201</v>
      </c>
      <c r="L36" s="40">
        <f>MAX(Table1.1[Public other new work: garages &amp; shops])-MIN(Table1.1[Public other new work: garages &amp; shops])</f>
        <v>619</v>
      </c>
      <c r="M36" s="40">
        <f>MAX(Table1.1[Public other new work: agriculture &amp; miscellaneous])-MIN(Table1.1[Public other new work: agriculture &amp; miscellaneous])</f>
        <v>1742</v>
      </c>
      <c r="N36" s="40">
        <f>MAX(Table1.1[Total other new work])-MIN(Table1.1[Total other new work])</f>
        <v>11029</v>
      </c>
      <c r="O36" s="40">
        <f>MAX(Table1.1[All Public Sector])-MIN(Table1.1[All Public Sector])</f>
        <v>31608</v>
      </c>
    </row>
    <row r="37" spans="1:15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6"/>
  <sheetViews>
    <sheetView topLeftCell="A3" zoomScale="70" zoomScaleNormal="70" workbookViewId="0">
      <selection activeCell="Q43" sqref="Q43"/>
    </sheetView>
  </sheetViews>
  <sheetFormatPr defaultColWidth="8.7265625" defaultRowHeight="14.5"/>
  <cols>
    <col min="1" max="1" width="17.453125" customWidth="1"/>
    <col min="2" max="2" width="14.7265625" customWidth="1"/>
    <col min="3" max="3" width="14" customWidth="1"/>
    <col min="4" max="4" width="9.7265625" customWidth="1"/>
    <col min="5" max="5" width="13" customWidth="1"/>
    <col min="6" max="6" width="10.7265625" customWidth="1"/>
    <col min="7" max="7" width="11.26953125" customWidth="1"/>
    <col min="8" max="8" width="11.6328125" customWidth="1"/>
    <col min="9" max="9" width="11.7265625" customWidth="1"/>
    <col min="10" max="10" width="12.26953125" customWidth="1"/>
    <col min="11" max="11" width="15.08984375" customWidth="1"/>
    <col min="12" max="12" width="11.26953125" customWidth="1"/>
    <col min="13" max="13" width="11.36328125" customWidth="1"/>
    <col min="14" max="14" width="13.7265625" customWidth="1"/>
    <col min="15" max="15" width="12" customWidth="1"/>
    <col min="16" max="16" width="15.6328125" customWidth="1"/>
  </cols>
  <sheetData>
    <row r="1" spans="1:16" ht="19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A32" s="36" t="s">
        <v>105</v>
      </c>
      <c r="B32" s="39">
        <f>AVERAGE(Table1.2[Total private new housing])</f>
        <v>23301.807692307691</v>
      </c>
      <c r="C32" s="39">
        <f>AVERAGE(Table1.2[Total private Infrastructure])</f>
        <v>8636.1923076923085</v>
      </c>
      <c r="D32" s="39">
        <f>AVERAGE(Table1.2[Private industrial: factories])</f>
        <v>2613.6153846153848</v>
      </c>
      <c r="E32" s="39">
        <f>AVERAGE(Table1.2[Private industrial: warehouses])</f>
        <v>2281.7307692307691</v>
      </c>
      <c r="F32" s="39">
        <f>AVERAGE(Table1.2[Private industrial: oil, steel &amp; coal])</f>
        <v>163.30769230769232</v>
      </c>
      <c r="G32" s="39">
        <f>AVERAGE(Table1.2[All private industrial])</f>
        <v>5058.6923076923076</v>
      </c>
      <c r="H32" s="39">
        <f>AVERAGE(Table1.2[Private commercial: schools &amp; universities])</f>
        <v>3076.3076923076924</v>
      </c>
      <c r="I32" s="39">
        <f>AVERAGE(Table1.2[Private commercial: health])</f>
        <v>1503.0769230769231</v>
      </c>
      <c r="J32" s="39">
        <f>AVERAGE(Table1.2[Private commercial: offices])</f>
        <v>8734.3076923076915</v>
      </c>
      <c r="K32" s="39">
        <f>AVERAGE(Table1.2[Private commercial: entertainment])</f>
        <v>5328.5</v>
      </c>
      <c r="L32" s="39">
        <f>AVERAGE(Table1.2[Private commercial: garages])</f>
        <v>510.84615384615387</v>
      </c>
      <c r="M32" s="39">
        <f>AVERAGE(Table1.2[Private commercial: shops])</f>
        <v>4985.9615384615381</v>
      </c>
      <c r="N32" s="39">
        <f>AVERAGE(Table1.2[Private commercial: agriculture &amp; miscellaneous])</f>
        <v>1540.1538461538462</v>
      </c>
      <c r="O32" s="39">
        <f>AVERAGE(Table1.2[All private commercial])</f>
        <v>25678.807692307691</v>
      </c>
      <c r="P32" s="39">
        <f>AVERAGE(Table1.2[All Private Sector])</f>
        <v>62675.5</v>
      </c>
    </row>
    <row r="33" spans="1:16">
      <c r="A33" s="36" t="s">
        <v>106</v>
      </c>
      <c r="B33" s="39">
        <f>MEDIAN(B5)</f>
        <v>8146</v>
      </c>
      <c r="C33" s="39">
        <f t="shared" ref="C33:P33" si="0">MEDIAN(C5)</f>
        <v>4924</v>
      </c>
      <c r="D33" s="39">
        <f t="shared" si="0"/>
        <v>3271</v>
      </c>
      <c r="E33" s="39">
        <f t="shared" si="0"/>
        <v>1492</v>
      </c>
      <c r="F33" s="39">
        <f t="shared" si="0"/>
        <v>130</v>
      </c>
      <c r="G33" s="39">
        <f t="shared" si="0"/>
        <v>4893</v>
      </c>
      <c r="H33" s="39">
        <f t="shared" si="0"/>
        <v>396</v>
      </c>
      <c r="I33" s="39">
        <f t="shared" si="0"/>
        <v>578</v>
      </c>
      <c r="J33" s="39">
        <f t="shared" si="0"/>
        <v>5186</v>
      </c>
      <c r="K33" s="39">
        <f t="shared" si="0"/>
        <v>3561</v>
      </c>
      <c r="L33" s="39">
        <f t="shared" si="0"/>
        <v>606</v>
      </c>
      <c r="M33" s="39">
        <f t="shared" si="0"/>
        <v>3800</v>
      </c>
      <c r="N33" s="39">
        <f t="shared" si="0"/>
        <v>621</v>
      </c>
      <c r="O33" s="39">
        <f t="shared" si="0"/>
        <v>14747</v>
      </c>
      <c r="P33" s="39">
        <f t="shared" si="0"/>
        <v>32710</v>
      </c>
    </row>
    <row r="34" spans="1:16">
      <c r="A34" s="36" t="s">
        <v>107</v>
      </c>
      <c r="B34" s="37" t="e">
        <f>_xlfn.MODE.SNGL(Table1.2[Total private new housing])</f>
        <v>#N/A</v>
      </c>
      <c r="C34" s="37">
        <f>_xlfn.MODE.SNGL(Table1.2[Total private Infrastructure])</f>
        <v>5305</v>
      </c>
      <c r="D34" s="37">
        <f>_xlfn.MODE.SNGL(Table1.2[Private industrial: factories])</f>
        <v>3296</v>
      </c>
      <c r="E34" s="37" t="e">
        <f>_xlfn.MODE.SNGL(Table1.2[Private industrial: warehouses])</f>
        <v>#N/A</v>
      </c>
      <c r="F34" s="37">
        <f>_xlfn.MODE.SNGL(Table1.2[Private industrial: oil, steel &amp; coal])</f>
        <v>73</v>
      </c>
      <c r="G34" s="37" t="e">
        <f>_xlfn.MODE.SNGL(Table1.2[All private industrial])</f>
        <v>#N/A</v>
      </c>
      <c r="H34" s="37" t="e">
        <f>_xlfn.MODE.SNGL(Table1.2[Private commercial: schools &amp; universities])</f>
        <v>#N/A</v>
      </c>
      <c r="I34" s="37" t="e">
        <f>_xlfn.MODE.SNGL(Table1.2[Private commercial: health])</f>
        <v>#N/A</v>
      </c>
      <c r="J34" s="37" t="e">
        <f>_xlfn.MODE.SNGL(Table1.2[Private commercial: offices])</f>
        <v>#N/A</v>
      </c>
      <c r="K34" s="37" t="e">
        <f>_xlfn.MODE.SNGL(Table1.2[Private commercial: entertainment])</f>
        <v>#N/A</v>
      </c>
      <c r="L34" s="37" t="e">
        <f>_xlfn.MODE.SNGL(Table1.2[Private commercial: garages])</f>
        <v>#N/A</v>
      </c>
      <c r="M34" s="37" t="e">
        <f>_xlfn.MODE.SNGL(Table1.2[Private commercial: shops])</f>
        <v>#N/A</v>
      </c>
      <c r="N34" s="37" t="e">
        <f>_xlfn.MODE.SNGL(Table1.2[Private commercial: agriculture &amp; miscellaneous])</f>
        <v>#N/A</v>
      </c>
      <c r="O34" s="37" t="e">
        <f>_xlfn.MODE.SNGL(Table1.2[All private commercial])</f>
        <v>#N/A</v>
      </c>
      <c r="P34" s="37" t="e">
        <f>_xlfn.MODE.SNGL(Table1.2[All Private Sector])</f>
        <v>#N/A</v>
      </c>
    </row>
    <row r="35" spans="1:16">
      <c r="A35" s="36" t="s">
        <v>108</v>
      </c>
      <c r="B35" s="37">
        <f>_xlfn.STDEV.P(Table1.2[Total private new housing])</f>
        <v>12076.210632158107</v>
      </c>
      <c r="C35" s="37">
        <f>_xlfn.STDEV.P(Table1.2[Total private Infrastructure])</f>
        <v>3329.1129913494374</v>
      </c>
      <c r="D35" s="37">
        <f>_xlfn.STDEV.P(Table1.2[Private industrial: factories])</f>
        <v>491.44810172223731</v>
      </c>
      <c r="E35" s="37">
        <f>_xlfn.STDEV.P(Table1.2[Private industrial: warehouses])</f>
        <v>944.84225617467723</v>
      </c>
      <c r="F35" s="37">
        <f>_xlfn.STDEV.P(Table1.2[Private industrial: oil, steel &amp; coal])</f>
        <v>103.77037120887832</v>
      </c>
      <c r="G35" s="37">
        <f>_xlfn.STDEV.P(Table1.2[All private industrial])</f>
        <v>1247.9475078097319</v>
      </c>
      <c r="H35" s="37">
        <f>_xlfn.STDEV.P(Table1.2[Private commercial: schools &amp; universities])</f>
        <v>1424.998860167716</v>
      </c>
      <c r="I35" s="37">
        <f>_xlfn.STDEV.P(Table1.2[Private commercial: health])</f>
        <v>817.95875968436121</v>
      </c>
      <c r="J35" s="37">
        <f>_xlfn.STDEV.P(Table1.2[Private commercial: offices])</f>
        <v>2039.4234247270585</v>
      </c>
      <c r="K35" s="37">
        <f>_xlfn.STDEV.P(Table1.2[Private commercial: entertainment])</f>
        <v>1494.768138696279</v>
      </c>
      <c r="L35" s="37">
        <f>_xlfn.STDEV.P(Table1.2[Private commercial: garages])</f>
        <v>130.65418015853686</v>
      </c>
      <c r="M35" s="37">
        <f>_xlfn.STDEV.P(Table1.2[Private commercial: shops])</f>
        <v>1468.9613934490542</v>
      </c>
      <c r="N35" s="37">
        <f>_xlfn.STDEV.P(Table1.2[Private commercial: agriculture &amp; miscellaneous])</f>
        <v>764.51325351029686</v>
      </c>
      <c r="O35" s="37">
        <f>_xlfn.STDEV.P(Table1.2[All private commercial])</f>
        <v>4949.2651048819725</v>
      </c>
      <c r="P35" s="37">
        <f>_xlfn.STDEV.P(Table1.2[All Private Sector])</f>
        <v>18878.560245482378</v>
      </c>
    </row>
    <row r="36" spans="1:16">
      <c r="A36" s="35" t="s">
        <v>109</v>
      </c>
      <c r="B36" s="40">
        <f>MAX(Table1.2[Total private new housing])-MIN(Table1.2[Total private new housing])</f>
        <v>42400</v>
      </c>
      <c r="C36" s="40">
        <f>MAX(Table1.2[Total private Infrastructure])-MIN(Table1.2[Total private Infrastructure])</f>
        <v>11836</v>
      </c>
      <c r="D36" s="40">
        <f>MAX(Table1.2[Private industrial: factories])-MIN(Table1.2[Private industrial: factories])</f>
        <v>1726</v>
      </c>
      <c r="E36" s="40">
        <f>MAX(Table1.2[Private industrial: warehouses])-MIN(Table1.2[Private industrial: warehouses])</f>
        <v>3529</v>
      </c>
      <c r="F36" s="40">
        <f>MAX(Table1.2[Private industrial: oil, steel &amp; coal])-MIN(Table1.2[Private industrial: oil, steel &amp; coal])</f>
        <v>424</v>
      </c>
      <c r="G36" s="40">
        <f>MAX(Table1.2[All private industrial])-MIN(Table1.2[All private industrial])</f>
        <v>5160</v>
      </c>
      <c r="H36" s="40">
        <f>MAX(Table1.2[Private commercial: schools &amp; universities])-MIN(Table1.2[Private commercial: schools &amp; universities])</f>
        <v>5400</v>
      </c>
      <c r="I36" s="40">
        <f>MAX(Table1.2[Private commercial: health])-MIN(Table1.2[Private commercial: health])</f>
        <v>3640</v>
      </c>
      <c r="J36" s="40">
        <f>MAX(Table1.2[Private commercial: offices])-MIN(Table1.2[Private commercial: offices])</f>
        <v>7795</v>
      </c>
      <c r="K36" s="40">
        <f>MAX(Table1.2[Private commercial: entertainment])-MIN(Table1.2[Private commercial: entertainment])</f>
        <v>5212</v>
      </c>
      <c r="L36" s="40">
        <f>MAX(Table1.2[Private commercial: garages])-MIN(Table1.2[Private commercial: garages])</f>
        <v>495</v>
      </c>
      <c r="M36" s="40">
        <f>MAX(Table1.2[Private commercial: shops])-MIN(Table1.2[Private commercial: shops])</f>
        <v>5340</v>
      </c>
      <c r="N36" s="40">
        <f>MAX(Table1.2[Private commercial: agriculture &amp; miscellaneous])-MIN(Table1.2[Private commercial: agriculture &amp; miscellaneous])</f>
        <v>2783</v>
      </c>
      <c r="O36" s="40">
        <f>MAX(Table1.2[All private commercial])-MIN(Table1.2[All private commercial])</f>
        <v>20443</v>
      </c>
      <c r="P36" s="40">
        <f>MAX(Table1.2[All Private Sector])-MIN(Table1.2[All Private Sector])</f>
        <v>67708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24"/>
  <sheetViews>
    <sheetView zoomScale="55" zoomScaleNormal="70" workbookViewId="0">
      <selection activeCell="X48" sqref="X48"/>
    </sheetView>
  </sheetViews>
  <sheetFormatPr defaultColWidth="8.7265625" defaultRowHeight="14.5"/>
  <cols>
    <col min="1" max="1" width="17.36328125" customWidth="1"/>
    <col min="2" max="27" width="8.81640625" customWidth="1"/>
  </cols>
  <sheetData>
    <row r="1" spans="1:28" ht="19">
      <c r="A1" s="3" t="s">
        <v>102</v>
      </c>
    </row>
    <row r="2" spans="1:28" ht="19">
      <c r="A2" s="3"/>
    </row>
    <row r="3" spans="1:28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256441</v>
      </c>
      <c r="P17" s="21">
        <v>253121</v>
      </c>
      <c r="Q17" s="21">
        <v>247105</v>
      </c>
      <c r="R17" s="21">
        <v>250964</v>
      </c>
      <c r="S17" s="21">
        <v>251647</v>
      </c>
      <c r="T17" s="21">
        <v>273775</v>
      </c>
      <c r="U17" s="21">
        <v>296093</v>
      </c>
      <c r="V17" s="21">
        <v>314590</v>
      </c>
      <c r="W17" s="21">
        <v>325736</v>
      </c>
      <c r="X17" s="21">
        <v>335731</v>
      </c>
      <c r="Y17" s="21">
        <v>342456</v>
      </c>
      <c r="Z17" s="21">
        <v>353365</v>
      </c>
      <c r="AA17" s="21">
        <v>374332</v>
      </c>
      <c r="AB17" s="21">
        <v>364514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</row>
    <row r="20" spans="1:28">
      <c r="A20" s="37" t="s">
        <v>105</v>
      </c>
      <c r="B20" s="39">
        <f>AVERAGE(B4:B16)</f>
        <v>12319.076923076924</v>
      </c>
      <c r="C20" s="39">
        <f t="shared" ref="C20:AB20" si="0">AVERAGE(C4:C16)</f>
        <v>12556.615384615385</v>
      </c>
      <c r="D20" s="39">
        <f t="shared" si="0"/>
        <v>12735.461538461539</v>
      </c>
      <c r="E20" s="39">
        <f t="shared" si="0"/>
        <v>12571.23076923077</v>
      </c>
      <c r="F20" s="39">
        <f t="shared" si="0"/>
        <v>12932.538461538461</v>
      </c>
      <c r="G20" s="39">
        <f t="shared" si="0"/>
        <v>12783.153846153846</v>
      </c>
      <c r="H20" s="39">
        <f t="shared" si="0"/>
        <v>13160.923076923076</v>
      </c>
      <c r="I20" s="39">
        <f t="shared" si="0"/>
        <v>13569.461538461539</v>
      </c>
      <c r="J20" s="39">
        <f t="shared" si="0"/>
        <v>14049.538461538461</v>
      </c>
      <c r="K20" s="39">
        <f t="shared" si="0"/>
        <v>14315.923076923076</v>
      </c>
      <c r="L20" s="39">
        <f t="shared" si="0"/>
        <v>14784.538461538461</v>
      </c>
      <c r="M20" s="39">
        <f t="shared" si="0"/>
        <v>15569.76923076923</v>
      </c>
      <c r="N20" s="39">
        <f t="shared" si="0"/>
        <v>14925</v>
      </c>
      <c r="O20" s="39">
        <f t="shared" si="0"/>
        <v>15941.923076923076</v>
      </c>
      <c r="P20" s="39">
        <f t="shared" si="0"/>
        <v>15938.846153846154</v>
      </c>
      <c r="Q20" s="39">
        <f t="shared" si="0"/>
        <v>15720.23076923077</v>
      </c>
      <c r="R20" s="39">
        <f t="shared" si="0"/>
        <v>16175.615384615385</v>
      </c>
      <c r="S20" s="39">
        <f t="shared" si="0"/>
        <v>16218.153846153846</v>
      </c>
      <c r="T20" s="39">
        <f t="shared" si="0"/>
        <v>18081.846153846152</v>
      </c>
      <c r="U20" s="39">
        <f t="shared" si="0"/>
        <v>19739.153846153848</v>
      </c>
      <c r="V20" s="39">
        <f t="shared" si="0"/>
        <v>21136.23076923077</v>
      </c>
      <c r="W20" s="39">
        <f t="shared" si="0"/>
        <v>22065.23076923077</v>
      </c>
      <c r="X20" s="39">
        <f t="shared" si="0"/>
        <v>22862.384615384617</v>
      </c>
      <c r="Y20" s="39">
        <f t="shared" si="0"/>
        <v>23505</v>
      </c>
      <c r="Z20" s="41">
        <f t="shared" si="0"/>
        <v>24462.538461538461</v>
      </c>
      <c r="AA20" s="39">
        <f t="shared" si="0"/>
        <v>25325.461538461539</v>
      </c>
      <c r="AB20" s="39">
        <f t="shared" si="0"/>
        <v>25158.692307692309</v>
      </c>
    </row>
    <row r="21" spans="1:28">
      <c r="A21" s="37" t="s">
        <v>106</v>
      </c>
      <c r="B21" s="39">
        <f>MEDIAN(B4:B16)</f>
        <v>1156</v>
      </c>
      <c r="C21" s="39">
        <f t="shared" ref="C21:AB21" si="1">MEDIAN(C4:C16)</f>
        <v>1201</v>
      </c>
      <c r="D21" s="39">
        <f t="shared" si="1"/>
        <v>1188</v>
      </c>
      <c r="E21" s="39">
        <f t="shared" si="1"/>
        <v>1109</v>
      </c>
      <c r="F21" s="39">
        <f t="shared" si="1"/>
        <v>999</v>
      </c>
      <c r="G21" s="39">
        <f t="shared" si="1"/>
        <v>1782</v>
      </c>
      <c r="H21" s="41">
        <f t="shared" si="1"/>
        <v>1821</v>
      </c>
      <c r="I21" s="39">
        <f t="shared" si="1"/>
        <v>1906</v>
      </c>
      <c r="J21" s="39">
        <f t="shared" si="1"/>
        <v>1928</v>
      </c>
      <c r="K21" s="41">
        <f t="shared" si="1"/>
        <v>2034</v>
      </c>
      <c r="L21" s="39">
        <f t="shared" si="1"/>
        <v>2128</v>
      </c>
      <c r="M21" s="39">
        <f t="shared" si="1"/>
        <v>2211</v>
      </c>
      <c r="N21" s="39">
        <f t="shared" si="1"/>
        <v>2064</v>
      </c>
      <c r="O21" s="39">
        <f t="shared" si="1"/>
        <v>1864</v>
      </c>
      <c r="P21" s="39">
        <f t="shared" si="1"/>
        <v>1713</v>
      </c>
      <c r="Q21" s="39">
        <f t="shared" si="1"/>
        <v>1796</v>
      </c>
      <c r="R21" s="39">
        <f t="shared" si="1"/>
        <v>1756</v>
      </c>
      <c r="S21" s="39">
        <f t="shared" si="1"/>
        <v>1752</v>
      </c>
      <c r="T21" s="39">
        <f t="shared" si="1"/>
        <v>1722</v>
      </c>
      <c r="U21" s="39">
        <f t="shared" si="1"/>
        <v>1842</v>
      </c>
      <c r="V21" s="39">
        <f t="shared" si="1"/>
        <v>1879</v>
      </c>
      <c r="W21" s="39">
        <f t="shared" si="1"/>
        <v>1932</v>
      </c>
      <c r="X21" s="39">
        <f t="shared" si="1"/>
        <v>1905</v>
      </c>
      <c r="Y21" s="39">
        <f t="shared" si="1"/>
        <v>1913</v>
      </c>
      <c r="Z21" s="39">
        <f t="shared" si="1"/>
        <v>1847</v>
      </c>
      <c r="AA21" s="39">
        <f t="shared" si="1"/>
        <v>1860</v>
      </c>
      <c r="AB21" s="39">
        <f t="shared" si="1"/>
        <v>1888</v>
      </c>
    </row>
    <row r="22" spans="1:28">
      <c r="A22" s="37" t="s">
        <v>107</v>
      </c>
      <c r="B22" s="37" t="e">
        <f>_xlfn.MODE.SNGL(B4:B16)</f>
        <v>#N/A</v>
      </c>
      <c r="C22" s="37" t="e">
        <f t="shared" ref="C22:AB22" si="2">_xlfn.MODE.SNGL(C4:C16)</f>
        <v>#N/A</v>
      </c>
      <c r="D22" s="37" t="e">
        <f t="shared" si="2"/>
        <v>#N/A</v>
      </c>
      <c r="E22" s="37" t="e">
        <f t="shared" si="2"/>
        <v>#N/A</v>
      </c>
      <c r="F22" s="37" t="e">
        <f t="shared" si="2"/>
        <v>#N/A</v>
      </c>
      <c r="G22" s="37" t="e">
        <f t="shared" si="2"/>
        <v>#N/A</v>
      </c>
      <c r="H22" s="37" t="e">
        <f t="shared" si="2"/>
        <v>#N/A</v>
      </c>
      <c r="I22" s="37" t="e">
        <f t="shared" si="2"/>
        <v>#N/A</v>
      </c>
      <c r="J22" s="37" t="e">
        <f t="shared" si="2"/>
        <v>#N/A</v>
      </c>
      <c r="K22" s="37" t="e">
        <f t="shared" si="2"/>
        <v>#N/A</v>
      </c>
      <c r="L22" s="37" t="e">
        <f t="shared" si="2"/>
        <v>#N/A</v>
      </c>
      <c r="M22" s="37" t="e">
        <f t="shared" si="2"/>
        <v>#N/A</v>
      </c>
      <c r="N22" s="37">
        <f t="shared" si="2"/>
        <v>62</v>
      </c>
      <c r="O22" s="37" t="e">
        <f t="shared" si="2"/>
        <v>#N/A</v>
      </c>
      <c r="P22" s="37" t="e">
        <f t="shared" si="2"/>
        <v>#N/A</v>
      </c>
      <c r="Q22" s="37" t="e">
        <f t="shared" si="2"/>
        <v>#N/A</v>
      </c>
      <c r="R22" s="37" t="e">
        <f t="shared" si="2"/>
        <v>#N/A</v>
      </c>
      <c r="S22" s="37" t="e">
        <f t="shared" si="2"/>
        <v>#N/A</v>
      </c>
      <c r="T22" s="37" t="e">
        <f t="shared" si="2"/>
        <v>#N/A</v>
      </c>
      <c r="U22" s="37">
        <f t="shared" si="2"/>
        <v>57</v>
      </c>
      <c r="V22" s="37" t="e">
        <f t="shared" si="2"/>
        <v>#N/A</v>
      </c>
      <c r="W22" s="37" t="e">
        <f t="shared" si="2"/>
        <v>#N/A</v>
      </c>
      <c r="X22" s="37" t="e">
        <f t="shared" si="2"/>
        <v>#N/A</v>
      </c>
      <c r="Y22" s="37" t="e">
        <f t="shared" si="2"/>
        <v>#N/A</v>
      </c>
      <c r="Z22" s="37">
        <f t="shared" si="2"/>
        <v>56</v>
      </c>
      <c r="AA22" s="37" t="e">
        <f t="shared" si="2"/>
        <v>#N/A</v>
      </c>
      <c r="AB22" s="37" t="e">
        <f t="shared" si="2"/>
        <v>#N/A</v>
      </c>
    </row>
    <row r="23" spans="1:28">
      <c r="A23" s="37" t="s">
        <v>108</v>
      </c>
      <c r="B23" s="37">
        <f>_xlfn.STDEV.P(B4:B16)</f>
        <v>24828.878507036112</v>
      </c>
      <c r="C23" s="37">
        <f t="shared" ref="C23:AB23" si="3">_xlfn.STDEV.P(C4:C16)</f>
        <v>25207.704870774553</v>
      </c>
      <c r="D23" s="37">
        <f t="shared" si="3"/>
        <v>25409.784259113152</v>
      </c>
      <c r="E23" s="37">
        <f t="shared" si="3"/>
        <v>25297.870223989656</v>
      </c>
      <c r="F23" s="37">
        <f t="shared" si="3"/>
        <v>23306.77225652989</v>
      </c>
      <c r="G23" s="37">
        <f t="shared" si="3"/>
        <v>21866.702237547437</v>
      </c>
      <c r="H23" s="37">
        <f t="shared" si="3"/>
        <v>22058.098465578572</v>
      </c>
      <c r="I23" s="37">
        <f t="shared" si="3"/>
        <v>22621.343667550867</v>
      </c>
      <c r="J23">
        <f t="shared" si="3"/>
        <v>23300.151431054244</v>
      </c>
      <c r="K23" s="37">
        <f t="shared" si="3"/>
        <v>23386.584226075291</v>
      </c>
      <c r="L23" s="37">
        <f t="shared" si="3"/>
        <v>24099.197151055545</v>
      </c>
      <c r="M23" s="37">
        <f t="shared" si="3"/>
        <v>25405.931003950926</v>
      </c>
      <c r="N23" s="37">
        <f t="shared" si="3"/>
        <v>24433.504799132497</v>
      </c>
      <c r="O23" s="37">
        <f t="shared" si="3"/>
        <v>27224.451352701697</v>
      </c>
      <c r="P23" s="37">
        <f t="shared" si="3"/>
        <v>27779.24310827491</v>
      </c>
      <c r="Q23" s="37">
        <f t="shared" si="3"/>
        <v>27537.942127890623</v>
      </c>
      <c r="R23" s="37">
        <f t="shared" si="3"/>
        <v>28498.239169730259</v>
      </c>
      <c r="S23" s="37">
        <f t="shared" si="3"/>
        <v>28572.741501287699</v>
      </c>
      <c r="T23" s="37">
        <f t="shared" si="3"/>
        <v>32705.631502484881</v>
      </c>
      <c r="U23" s="37">
        <f t="shared" si="3"/>
        <v>36513.263998477116</v>
      </c>
      <c r="V23" s="37">
        <f t="shared" si="3"/>
        <v>39438.366373082885</v>
      </c>
      <c r="W23" s="37">
        <f t="shared" si="3"/>
        <v>41139.208178599285</v>
      </c>
      <c r="X23" s="37">
        <f t="shared" si="3"/>
        <v>42931.466465193931</v>
      </c>
      <c r="Y23" s="37">
        <f t="shared" si="3"/>
        <v>44229.125750068641</v>
      </c>
      <c r="Z23" s="37">
        <f t="shared" si="3"/>
        <v>46051.693934626557</v>
      </c>
      <c r="AA23" s="37">
        <f t="shared" si="3"/>
        <v>47286.501639743277</v>
      </c>
      <c r="AB23" s="37">
        <f t="shared" si="3"/>
        <v>47008.135136189441</v>
      </c>
    </row>
    <row r="24" spans="1:28">
      <c r="A24" s="37" t="s">
        <v>109</v>
      </c>
      <c r="B24" s="39">
        <f>MAX(B4:B16)-MIN(B4:B16)</f>
        <v>86231</v>
      </c>
      <c r="C24" s="39">
        <f t="shared" ref="C24:AB24" si="4">MAX(C4:C16)-MIN(C4:C16)</f>
        <v>87797</v>
      </c>
      <c r="D24" s="39">
        <f t="shared" si="4"/>
        <v>87976</v>
      </c>
      <c r="E24" s="39">
        <f t="shared" si="4"/>
        <v>87677</v>
      </c>
      <c r="F24" s="39">
        <f t="shared" si="4"/>
        <v>77870</v>
      </c>
      <c r="G24" s="39">
        <f t="shared" si="4"/>
        <v>71374</v>
      </c>
      <c r="H24" s="39">
        <f t="shared" si="4"/>
        <v>70306</v>
      </c>
      <c r="I24" s="39">
        <f t="shared" si="4"/>
        <v>71560</v>
      </c>
      <c r="J24" s="39">
        <f t="shared" si="4"/>
        <v>73061</v>
      </c>
      <c r="K24" s="39">
        <f t="shared" si="4"/>
        <v>71906</v>
      </c>
      <c r="L24" s="39">
        <f t="shared" si="4"/>
        <v>74265</v>
      </c>
      <c r="M24" s="39">
        <f t="shared" si="4"/>
        <v>78767</v>
      </c>
      <c r="N24" s="39">
        <f t="shared" si="4"/>
        <v>75320</v>
      </c>
      <c r="O24" s="39">
        <f t="shared" si="4"/>
        <v>86214</v>
      </c>
      <c r="P24" s="39">
        <f t="shared" si="4"/>
        <v>89076</v>
      </c>
      <c r="Q24" s="39">
        <f t="shared" si="4"/>
        <v>90592</v>
      </c>
      <c r="R24" s="39">
        <f t="shared" si="4"/>
        <v>92584</v>
      </c>
      <c r="S24" s="39">
        <f t="shared" si="4"/>
        <v>92878</v>
      </c>
      <c r="T24" s="39">
        <f t="shared" si="4"/>
        <v>108635</v>
      </c>
      <c r="U24" s="39">
        <f t="shared" si="4"/>
        <v>123432</v>
      </c>
      <c r="V24" s="39">
        <f t="shared" si="4"/>
        <v>133416</v>
      </c>
      <c r="W24" s="39">
        <f t="shared" si="4"/>
        <v>138013</v>
      </c>
      <c r="X24" s="39">
        <f t="shared" si="4"/>
        <v>144175</v>
      </c>
      <c r="Y24" s="39">
        <f t="shared" si="4"/>
        <v>148530</v>
      </c>
      <c r="Z24" s="39">
        <f t="shared" si="4"/>
        <v>153566</v>
      </c>
      <c r="AA24" s="39">
        <f t="shared" si="4"/>
        <v>156960</v>
      </c>
      <c r="AB24" s="39">
        <f t="shared" si="4"/>
        <v>156101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B20:C20 D20:AB20 D25:AB25 D21:AB24 B21:C24" formulaRange="1"/>
  </ignoredErrors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3"/>
  <sheetViews>
    <sheetView topLeftCell="A4" zoomScale="90" zoomScaleNormal="90" workbookViewId="0">
      <selection activeCell="U35" sqref="U35"/>
    </sheetView>
  </sheetViews>
  <sheetFormatPr defaultRowHeight="14.5"/>
  <cols>
    <col min="1" max="1" width="35.26953125" customWidth="1"/>
  </cols>
  <sheetData>
    <row r="1" spans="1:18" ht="19">
      <c r="A1" s="7" t="s">
        <v>101</v>
      </c>
    </row>
    <row r="2" spans="1:18" ht="19">
      <c r="A2" s="7"/>
    </row>
    <row r="3" spans="1:18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2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>
      <c r="A19" s="37" t="s">
        <v>105</v>
      </c>
      <c r="B19" s="39">
        <f>AVERAGE(B4:B15)</f>
        <v>23106.666666666668</v>
      </c>
      <c r="C19" s="39">
        <f t="shared" ref="C19:R19" si="0">AVERAGE(C4:C15)</f>
        <v>23279.666666666668</v>
      </c>
      <c r="D19" s="39">
        <f t="shared" si="0"/>
        <v>22056.583333333332</v>
      </c>
      <c r="E19" s="39">
        <f t="shared" si="0"/>
        <v>21189.166666666668</v>
      </c>
      <c r="F19" s="39">
        <f t="shared" si="0"/>
        <v>21093.416666666668</v>
      </c>
      <c r="G19" s="39">
        <f t="shared" si="0"/>
        <v>20592.083333333332</v>
      </c>
      <c r="H19" s="39">
        <f t="shared" si="0"/>
        <v>20978.916666666668</v>
      </c>
      <c r="I19" s="39">
        <f t="shared" si="0"/>
        <v>21700.333333333332</v>
      </c>
      <c r="J19" s="39">
        <f t="shared" si="0"/>
        <v>22814.583333333332</v>
      </c>
      <c r="K19" s="39">
        <f t="shared" si="0"/>
        <v>24674.416666666668</v>
      </c>
      <c r="L19" s="39">
        <f t="shared" si="0"/>
        <v>26215.833333333332</v>
      </c>
      <c r="M19" s="39">
        <f t="shared" si="0"/>
        <v>27144.666666666668</v>
      </c>
      <c r="N19" s="39">
        <f t="shared" si="0"/>
        <v>27977.583333333332</v>
      </c>
      <c r="O19" s="39">
        <f t="shared" si="0"/>
        <v>28538</v>
      </c>
      <c r="P19" s="39">
        <f t="shared" si="0"/>
        <v>29447.083333333332</v>
      </c>
      <c r="Q19" s="39">
        <f t="shared" si="0"/>
        <v>31194.333333333332</v>
      </c>
      <c r="R19" s="43">
        <f t="shared" si="0"/>
        <v>30376.166666666668</v>
      </c>
    </row>
    <row r="20" spans="1:18">
      <c r="A20" s="33" t="s">
        <v>106</v>
      </c>
      <c r="B20" s="44">
        <f>MEDIAN(B4:B15)</f>
        <v>296.5</v>
      </c>
      <c r="C20" s="44">
        <f t="shared" ref="C20:R20" si="1">MEDIAN(C4:C15)</f>
        <v>312</v>
      </c>
      <c r="D20" s="44">
        <f t="shared" si="1"/>
        <v>304</v>
      </c>
      <c r="E20" s="44">
        <f t="shared" si="1"/>
        <v>265.5</v>
      </c>
      <c r="F20" s="44">
        <f t="shared" si="1"/>
        <v>252.5</v>
      </c>
      <c r="G20" s="44">
        <f t="shared" si="1"/>
        <v>241.5</v>
      </c>
      <c r="H20" s="44">
        <f t="shared" si="1"/>
        <v>239</v>
      </c>
      <c r="I20" s="44">
        <f t="shared" si="1"/>
        <v>254.5</v>
      </c>
      <c r="J20" s="44">
        <f t="shared" si="1"/>
        <v>264.5</v>
      </c>
      <c r="K20" s="44">
        <f t="shared" si="1"/>
        <v>319.5</v>
      </c>
      <c r="L20" s="44">
        <f t="shared" si="1"/>
        <v>351.5</v>
      </c>
      <c r="M20" s="44">
        <f t="shared" si="1"/>
        <v>380</v>
      </c>
      <c r="N20" s="44">
        <f t="shared" si="1"/>
        <v>398</v>
      </c>
      <c r="O20" s="44">
        <f t="shared" si="1"/>
        <v>426</v>
      </c>
      <c r="P20" s="44">
        <f t="shared" si="1"/>
        <v>380</v>
      </c>
      <c r="Q20" s="44">
        <f t="shared" si="1"/>
        <v>354</v>
      </c>
      <c r="R20" s="42">
        <f t="shared" si="1"/>
        <v>424</v>
      </c>
    </row>
    <row r="21" spans="1:18">
      <c r="A21" s="37" t="s">
        <v>107</v>
      </c>
      <c r="B21" s="37" t="e">
        <f>_xlfn.MODE.SNGL(B4:B15)</f>
        <v>#N/A</v>
      </c>
      <c r="C21" s="37" t="e">
        <f t="shared" ref="C21:R21" si="2">_xlfn.MODE.SNGL(C4:C15)</f>
        <v>#N/A</v>
      </c>
      <c r="D21" s="37" t="e">
        <f t="shared" si="2"/>
        <v>#N/A</v>
      </c>
      <c r="E21" s="37" t="e">
        <f t="shared" si="2"/>
        <v>#N/A</v>
      </c>
      <c r="F21" s="37" t="e">
        <f t="shared" si="2"/>
        <v>#N/A</v>
      </c>
      <c r="G21" s="37" t="e">
        <f t="shared" si="2"/>
        <v>#N/A</v>
      </c>
      <c r="H21" s="37" t="e">
        <f t="shared" si="2"/>
        <v>#N/A</v>
      </c>
      <c r="I21" s="37" t="e">
        <f t="shared" si="2"/>
        <v>#N/A</v>
      </c>
      <c r="J21" s="37" t="e">
        <f t="shared" si="2"/>
        <v>#N/A</v>
      </c>
      <c r="K21" s="37" t="e">
        <f t="shared" si="2"/>
        <v>#N/A</v>
      </c>
      <c r="L21" s="37" t="e">
        <f t="shared" si="2"/>
        <v>#N/A</v>
      </c>
      <c r="M21" s="37">
        <f t="shared" si="2"/>
        <v>19</v>
      </c>
      <c r="N21" s="37" t="e">
        <f t="shared" si="2"/>
        <v>#N/A</v>
      </c>
      <c r="O21" s="37" t="e">
        <f t="shared" si="2"/>
        <v>#N/A</v>
      </c>
      <c r="P21" s="37" t="e">
        <f t="shared" si="2"/>
        <v>#N/A</v>
      </c>
      <c r="Q21" s="37" t="e">
        <f t="shared" si="2"/>
        <v>#N/A</v>
      </c>
      <c r="R21" s="38" t="e">
        <f t="shared" si="2"/>
        <v>#N/A</v>
      </c>
    </row>
    <row r="22" spans="1:18">
      <c r="A22" s="34" t="s">
        <v>108</v>
      </c>
      <c r="B22" s="34">
        <f>_xlfn.STDEV.P(B4:B15)</f>
        <v>61878.060736868247</v>
      </c>
      <c r="C22" s="34">
        <f t="shared" ref="C22:R22" si="3">_xlfn.STDEV.P(C4:C15)</f>
        <v>61535.697363851781</v>
      </c>
      <c r="D22" s="34">
        <f t="shared" si="3"/>
        <v>58560.469335064721</v>
      </c>
      <c r="E22" s="34">
        <f t="shared" si="3"/>
        <v>57541.441377545932</v>
      </c>
      <c r="F22" s="34">
        <f t="shared" si="3"/>
        <v>57676.467891244196</v>
      </c>
      <c r="G22" s="34">
        <f t="shared" si="3"/>
        <v>56553.564546452086</v>
      </c>
      <c r="H22" s="34">
        <f t="shared" si="3"/>
        <v>57551.857326615056</v>
      </c>
      <c r="I22" s="34">
        <f t="shared" si="3"/>
        <v>59658.306364011223</v>
      </c>
      <c r="J22" s="34">
        <f t="shared" si="3"/>
        <v>62480.079208574331</v>
      </c>
      <c r="K22" s="34">
        <f t="shared" si="3"/>
        <v>67315.027784116595</v>
      </c>
      <c r="L22" s="34">
        <f t="shared" si="3"/>
        <v>71320.446824915198</v>
      </c>
      <c r="M22" s="34">
        <f t="shared" si="3"/>
        <v>73583.091957701501</v>
      </c>
      <c r="N22" s="34">
        <f t="shared" si="3"/>
        <v>75651.214454294925</v>
      </c>
      <c r="O22" s="34">
        <f t="shared" si="3"/>
        <v>76726.784614848366</v>
      </c>
      <c r="P22" s="34">
        <f t="shared" si="3"/>
        <v>79131.30897065789</v>
      </c>
      <c r="Q22" s="34">
        <f t="shared" si="3"/>
        <v>85351.915804834483</v>
      </c>
      <c r="R22" s="32">
        <f t="shared" si="3"/>
        <v>80638.220216215646</v>
      </c>
    </row>
    <row r="23" spans="1:18">
      <c r="A23" s="37" t="s">
        <v>109</v>
      </c>
      <c r="B23" s="39">
        <f>MAX(B4:B15)-MIN(B4:B15)</f>
        <v>226435</v>
      </c>
      <c r="C23" s="39">
        <f t="shared" ref="C23:R23" si="4">MAX(C4:C15)-MIN(C4:C15)</f>
        <v>225221</v>
      </c>
      <c r="D23" s="39">
        <f t="shared" si="4"/>
        <v>214328</v>
      </c>
      <c r="E23" s="39">
        <f t="shared" si="4"/>
        <v>210520</v>
      </c>
      <c r="F23" s="39">
        <f t="shared" si="4"/>
        <v>210988</v>
      </c>
      <c r="G23" s="39">
        <f t="shared" si="4"/>
        <v>206868</v>
      </c>
      <c r="H23" s="39">
        <f t="shared" si="4"/>
        <v>210544</v>
      </c>
      <c r="I23" s="39">
        <f t="shared" si="4"/>
        <v>218240</v>
      </c>
      <c r="J23" s="39">
        <f t="shared" si="4"/>
        <v>228595</v>
      </c>
      <c r="K23" s="39">
        <f t="shared" si="4"/>
        <v>246331</v>
      </c>
      <c r="L23" s="39">
        <f t="shared" si="4"/>
        <v>261015</v>
      </c>
      <c r="M23" s="39">
        <f t="shared" si="4"/>
        <v>269326</v>
      </c>
      <c r="N23" s="39">
        <f t="shared" si="4"/>
        <v>276911</v>
      </c>
      <c r="O23" s="39">
        <f t="shared" si="4"/>
        <v>280845</v>
      </c>
      <c r="P23" s="39">
        <f t="shared" si="4"/>
        <v>289635</v>
      </c>
      <c r="Q23" s="39">
        <f t="shared" si="4"/>
        <v>312216</v>
      </c>
      <c r="R23" s="43">
        <f t="shared" si="4"/>
        <v>295149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ignoredErrors>
    <ignoredError sqref="B19:R22 B23:R23" formulaRange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3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2025-11-20T12:01:09Z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